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20\Fichier de base excel pour internet\"/>
    </mc:Choice>
  </mc:AlternateContent>
  <bookViews>
    <workbookView xWindow="0" yWindow="0" windowWidth="28800" windowHeight="12372" firstSheet="36" activeTab="36"/>
  </bookViews>
  <sheets>
    <sheet name="Sommaire" sheetId="47" state="hidden" r:id="rId1"/>
    <sheet name="Base de données pop." sheetId="13" state="hidden" r:id="rId2"/>
    <sheet name="Population" sheetId="1" state="hidden" r:id="rId3"/>
    <sheet name="4.1 Comptes 2020 natures" sheetId="23" state="hidden" r:id="rId4"/>
    <sheet name="Graphique par nature" sheetId="80" state="hidden" r:id="rId5"/>
    <sheet name="Résultats par commune" sheetId="79" state="hidden" r:id="rId6"/>
    <sheet name="4.2 Comptes 2020 par commune" sheetId="48" state="hidden" r:id="rId7"/>
    <sheet name="4.9 Comptes 2020 par habitant" sheetId="29" state="hidden" r:id="rId8"/>
    <sheet name="4.10 Comptes 2020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7.11 Indicateurs par commune" sheetId="43" r:id="rId37"/>
    <sheet name="Bourgeoisies Comptes 2020" sheetId="55" state="hidden" r:id="rId38"/>
    <sheet name="Comptes 2020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0" sheetId="69" state="hidden" r:id="rId52"/>
    <sheet name="Comptes 2020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24" i="32" l="1"/>
  <c r="BE24" i="32"/>
  <c r="BF24" i="32"/>
  <c r="BG24" i="32"/>
  <c r="BE21" i="32"/>
  <c r="BF21" i="32"/>
  <c r="BG21" i="32"/>
  <c r="BD21" i="32"/>
  <c r="C12" i="60" l="1"/>
  <c r="C9" i="60"/>
  <c r="C8" i="6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BC39" i="77"/>
  <c r="BB39" i="77"/>
  <c r="BA39" i="77"/>
  <c r="AZ39" i="77"/>
  <c r="AY39" i="77"/>
  <c r="AX39" i="77"/>
  <c r="AW39" i="77"/>
  <c r="AV39" i="77"/>
  <c r="AU39" i="77"/>
  <c r="AT39" i="77"/>
  <c r="AS39" i="77"/>
  <c r="AR39" i="77"/>
  <c r="AQ39" i="77"/>
  <c r="AP39" i="77"/>
  <c r="AO39" i="77"/>
  <c r="AN39" i="77"/>
  <c r="AM39" i="77"/>
  <c r="AL39" i="77"/>
  <c r="AK39" i="77"/>
  <c r="AJ39" i="77"/>
  <c r="AI39" i="77"/>
  <c r="AH39" i="77"/>
  <c r="AG39" i="77"/>
  <c r="AF39" i="77"/>
  <c r="AE39" i="77"/>
  <c r="AD39" i="77"/>
  <c r="AC39" i="77"/>
  <c r="AB39" i="77"/>
  <c r="AA39" i="77"/>
  <c r="Z39" i="77"/>
  <c r="Y39" i="77"/>
  <c r="X39" i="77"/>
  <c r="W39" i="77"/>
  <c r="V39" i="77"/>
  <c r="U39" i="77"/>
  <c r="T39" i="77"/>
  <c r="S39" i="77"/>
  <c r="R39" i="77"/>
  <c r="Q39" i="77"/>
  <c r="P39" i="77"/>
  <c r="O39" i="77"/>
  <c r="N39" i="77"/>
  <c r="M39" i="77"/>
  <c r="L39" i="77"/>
  <c r="K39" i="77"/>
  <c r="J39" i="77"/>
  <c r="I39" i="77"/>
  <c r="H39" i="77"/>
  <c r="G39" i="77"/>
  <c r="F39" i="77"/>
  <c r="E39" i="77"/>
  <c r="D39" i="77"/>
  <c r="C39" i="77"/>
  <c r="BC37" i="77"/>
  <c r="BB37" i="77"/>
  <c r="BA37" i="77"/>
  <c r="AZ37" i="77"/>
  <c r="AY37" i="77"/>
  <c r="AX37" i="77"/>
  <c r="AW37" i="77"/>
  <c r="AV37" i="77"/>
  <c r="AU37" i="77"/>
  <c r="AT37" i="77"/>
  <c r="AS37" i="77"/>
  <c r="AR37" i="77"/>
  <c r="AQ37" i="77"/>
  <c r="AP37" i="77"/>
  <c r="AO37" i="77"/>
  <c r="AN37" i="77"/>
  <c r="AM37" i="77"/>
  <c r="AL37" i="77"/>
  <c r="AK37" i="77"/>
  <c r="AJ37" i="77"/>
  <c r="AI37" i="77"/>
  <c r="AH37" i="77"/>
  <c r="AG37" i="77"/>
  <c r="AF37" i="77"/>
  <c r="AE37" i="77"/>
  <c r="AD37" i="77"/>
  <c r="AC37" i="77"/>
  <c r="AB37" i="77"/>
  <c r="AA37" i="77"/>
  <c r="Z37" i="77"/>
  <c r="Y37" i="77"/>
  <c r="X37" i="77"/>
  <c r="W37" i="77"/>
  <c r="V37" i="77"/>
  <c r="U37" i="77"/>
  <c r="T37" i="77"/>
  <c r="S37" i="77"/>
  <c r="R37" i="77"/>
  <c r="Q37" i="77"/>
  <c r="P37" i="77"/>
  <c r="O37" i="77"/>
  <c r="N37" i="77"/>
  <c r="M37" i="77"/>
  <c r="L37" i="77"/>
  <c r="K37" i="77"/>
  <c r="J37" i="77"/>
  <c r="I37" i="77"/>
  <c r="H37" i="77"/>
  <c r="G37" i="77"/>
  <c r="F37" i="77"/>
  <c r="E37" i="77"/>
  <c r="D37" i="77"/>
  <c r="C37" i="77"/>
  <c r="BC35" i="77"/>
  <c r="BB35" i="77"/>
  <c r="BA35" i="77"/>
  <c r="AZ35" i="77"/>
  <c r="AY35" i="77"/>
  <c r="AX35" i="77"/>
  <c r="AW35" i="77"/>
  <c r="AV35" i="77"/>
  <c r="AU35" i="77"/>
  <c r="AT35" i="77"/>
  <c r="AS35" i="77"/>
  <c r="AR35" i="77"/>
  <c r="AQ35" i="77"/>
  <c r="AP35" i="77"/>
  <c r="AO35" i="77"/>
  <c r="AN35" i="77"/>
  <c r="AM35" i="77"/>
  <c r="AL35" i="77"/>
  <c r="AK35" i="77"/>
  <c r="AJ35" i="77"/>
  <c r="AI35" i="77"/>
  <c r="AH35" i="77"/>
  <c r="AG35" i="77"/>
  <c r="AF35" i="77"/>
  <c r="AE35" i="77"/>
  <c r="AD35" i="77"/>
  <c r="AC35" i="77"/>
  <c r="AB35" i="77"/>
  <c r="AA35" i="77"/>
  <c r="Z35" i="77"/>
  <c r="Y35" i="77"/>
  <c r="X35" i="77"/>
  <c r="W35" i="77"/>
  <c r="V35" i="77"/>
  <c r="U35" i="77"/>
  <c r="T35" i="77"/>
  <c r="S35" i="77"/>
  <c r="R35" i="77"/>
  <c r="Q35" i="77"/>
  <c r="P35" i="77"/>
  <c r="O35" i="77"/>
  <c r="N35" i="77"/>
  <c r="M35" i="77"/>
  <c r="L35" i="77"/>
  <c r="K35" i="77"/>
  <c r="J35" i="77"/>
  <c r="I35" i="77"/>
  <c r="H35" i="77"/>
  <c r="G35" i="77"/>
  <c r="F35" i="77"/>
  <c r="E35" i="77"/>
  <c r="D35" i="77"/>
  <c r="C35" i="77"/>
  <c r="BC33" i="77"/>
  <c r="BB33" i="77"/>
  <c r="BA33" i="77"/>
  <c r="AZ33" i="77"/>
  <c r="AY33" i="77"/>
  <c r="AX33" i="77"/>
  <c r="AW33" i="77"/>
  <c r="AV33" i="77"/>
  <c r="AU33" i="77"/>
  <c r="AT33" i="77"/>
  <c r="AS33" i="77"/>
  <c r="AR33" i="77"/>
  <c r="AQ33" i="77"/>
  <c r="AP33" i="77"/>
  <c r="AO33" i="77"/>
  <c r="AN33" i="77"/>
  <c r="AM33" i="77"/>
  <c r="AL33" i="77"/>
  <c r="AK33" i="77"/>
  <c r="AJ33" i="77"/>
  <c r="AI33" i="77"/>
  <c r="AH33" i="77"/>
  <c r="AG33" i="77"/>
  <c r="AF33" i="77"/>
  <c r="AE33" i="77"/>
  <c r="AD33" i="77"/>
  <c r="AC33" i="77"/>
  <c r="AB33" i="77"/>
  <c r="AA33" i="77"/>
  <c r="Z33" i="77"/>
  <c r="Y33" i="77"/>
  <c r="X33" i="77"/>
  <c r="W33" i="77"/>
  <c r="V33" i="77"/>
  <c r="U33" i="77"/>
  <c r="T33" i="77"/>
  <c r="S33" i="77"/>
  <c r="R33" i="77"/>
  <c r="Q33" i="77"/>
  <c r="P33" i="77"/>
  <c r="O33" i="77"/>
  <c r="N33" i="77"/>
  <c r="M33" i="77"/>
  <c r="L33" i="77"/>
  <c r="K33" i="77"/>
  <c r="J33" i="77"/>
  <c r="I33" i="77"/>
  <c r="H33" i="77"/>
  <c r="G33" i="77"/>
  <c r="F33" i="77"/>
  <c r="E33" i="77"/>
  <c r="D33" i="77"/>
  <c r="C33" i="77"/>
  <c r="BC31" i="77"/>
  <c r="BB31" i="77"/>
  <c r="BA31" i="77"/>
  <c r="AZ31" i="77"/>
  <c r="AY31" i="77"/>
  <c r="AX31" i="77"/>
  <c r="AW31" i="77"/>
  <c r="AV31" i="77"/>
  <c r="AU31" i="77"/>
  <c r="AT31" i="77"/>
  <c r="AS31" i="77"/>
  <c r="AR31" i="77"/>
  <c r="AQ31" i="77"/>
  <c r="AP31" i="77"/>
  <c r="AO31" i="77"/>
  <c r="AN31" i="77"/>
  <c r="AM31" i="77"/>
  <c r="AL31" i="77"/>
  <c r="AK31" i="77"/>
  <c r="AJ31" i="77"/>
  <c r="AI31" i="77"/>
  <c r="AH31" i="77"/>
  <c r="AG31" i="77"/>
  <c r="AF31" i="77"/>
  <c r="AE31" i="77"/>
  <c r="AD31" i="77"/>
  <c r="AC31" i="77"/>
  <c r="AB31" i="77"/>
  <c r="AA31" i="77"/>
  <c r="Z31" i="77"/>
  <c r="Y31" i="77"/>
  <c r="X31" i="77"/>
  <c r="W31" i="77"/>
  <c r="V31" i="77"/>
  <c r="U31" i="77"/>
  <c r="T31" i="77"/>
  <c r="S31" i="77"/>
  <c r="R31" i="77"/>
  <c r="Q31" i="77"/>
  <c r="P31" i="77"/>
  <c r="O31" i="77"/>
  <c r="N31" i="77"/>
  <c r="M31" i="77"/>
  <c r="L31" i="77"/>
  <c r="K31" i="77"/>
  <c r="J31" i="77"/>
  <c r="I31" i="77"/>
  <c r="H31" i="77"/>
  <c r="G31" i="77"/>
  <c r="F31" i="77"/>
  <c r="E31" i="77"/>
  <c r="D31" i="77"/>
  <c r="C31" i="77"/>
  <c r="BC29" i="77"/>
  <c r="BB29" i="77"/>
  <c r="BA29" i="77"/>
  <c r="AZ29" i="77"/>
  <c r="AY29" i="77"/>
  <c r="AX29" i="77"/>
  <c r="AW29" i="77"/>
  <c r="AV29" i="77"/>
  <c r="AU29" i="77"/>
  <c r="AT29" i="77"/>
  <c r="AS29" i="77"/>
  <c r="AR29" i="77"/>
  <c r="AQ29" i="77"/>
  <c r="AP29" i="77"/>
  <c r="AO29" i="77"/>
  <c r="AN29" i="77"/>
  <c r="AM29" i="77"/>
  <c r="AL29" i="77"/>
  <c r="AK29" i="77"/>
  <c r="AJ29" i="77"/>
  <c r="AI29" i="77"/>
  <c r="AH29" i="77"/>
  <c r="AG29" i="77"/>
  <c r="AF29" i="77"/>
  <c r="AE29" i="77"/>
  <c r="AD29" i="77"/>
  <c r="AC29" i="77"/>
  <c r="AB29" i="77"/>
  <c r="AA29" i="77"/>
  <c r="Z29" i="77"/>
  <c r="Y29" i="77"/>
  <c r="X29" i="77"/>
  <c r="W29" i="77"/>
  <c r="V29" i="77"/>
  <c r="U29" i="77"/>
  <c r="T29" i="77"/>
  <c r="S29" i="77"/>
  <c r="R29" i="77"/>
  <c r="Q29" i="77"/>
  <c r="P29" i="77"/>
  <c r="O29" i="77"/>
  <c r="N29" i="77"/>
  <c r="M29" i="77"/>
  <c r="L29" i="77"/>
  <c r="K29" i="77"/>
  <c r="J29" i="77"/>
  <c r="I29" i="77"/>
  <c r="H29" i="77"/>
  <c r="G29" i="77"/>
  <c r="F29" i="77"/>
  <c r="E29" i="77"/>
  <c r="D29" i="77"/>
  <c r="C29" i="77"/>
  <c r="BC17" i="77"/>
  <c r="BB17" i="77"/>
  <c r="BA17" i="77"/>
  <c r="AZ17" i="77"/>
  <c r="AY17" i="77"/>
  <c r="AX17" i="77"/>
  <c r="AW17" i="77"/>
  <c r="AV17" i="77"/>
  <c r="AU17" i="77"/>
  <c r="AT17" i="77"/>
  <c r="AS17" i="77"/>
  <c r="AR17" i="77"/>
  <c r="AQ17" i="77"/>
  <c r="AP17" i="77"/>
  <c r="AO17" i="77"/>
  <c r="AN17" i="77"/>
  <c r="AM17" i="77"/>
  <c r="AL17" i="77"/>
  <c r="AK17" i="77"/>
  <c r="AJ17" i="77"/>
  <c r="AI17" i="77"/>
  <c r="AH17" i="77"/>
  <c r="AG17" i="77"/>
  <c r="AF17" i="77"/>
  <c r="AE17" i="77"/>
  <c r="AD17" i="77"/>
  <c r="AC17" i="77"/>
  <c r="AB17" i="77"/>
  <c r="AA17" i="77"/>
  <c r="Z17" i="77"/>
  <c r="Y17" i="77"/>
  <c r="X17" i="77"/>
  <c r="W17" i="77"/>
  <c r="V17" i="77"/>
  <c r="U17" i="77"/>
  <c r="T17" i="77"/>
  <c r="S17" i="77"/>
  <c r="R17" i="77"/>
  <c r="Q17" i="77"/>
  <c r="P17" i="77"/>
  <c r="O17" i="77"/>
  <c r="N17" i="77"/>
  <c r="M17" i="77"/>
  <c r="L17" i="77"/>
  <c r="K17" i="77"/>
  <c r="J17" i="77"/>
  <c r="I17" i="77"/>
  <c r="H17" i="77"/>
  <c r="G17" i="77"/>
  <c r="F17" i="77"/>
  <c r="E17" i="77"/>
  <c r="D17" i="77"/>
  <c r="C17" i="77"/>
  <c r="BC5" i="77"/>
  <c r="BB5" i="77"/>
  <c r="BA5" i="77"/>
  <c r="AZ5" i="77"/>
  <c r="AY5" i="77"/>
  <c r="AX5" i="77"/>
  <c r="AW5" i="77"/>
  <c r="AV5" i="77"/>
  <c r="AU5" i="77"/>
  <c r="AT5" i="77"/>
  <c r="AS5" i="77"/>
  <c r="AR5" i="77"/>
  <c r="AQ5" i="77"/>
  <c r="AP5" i="77"/>
  <c r="AO5" i="77"/>
  <c r="AN5" i="77"/>
  <c r="AM5" i="77"/>
  <c r="AL5" i="77"/>
  <c r="AK5" i="77"/>
  <c r="AJ5" i="77"/>
  <c r="AI5" i="77"/>
  <c r="AH5" i="77"/>
  <c r="AG5" i="77"/>
  <c r="AF5" i="77"/>
  <c r="AE5" i="77"/>
  <c r="AD5" i="77"/>
  <c r="AC5" i="77"/>
  <c r="AB5" i="77"/>
  <c r="AA5" i="77"/>
  <c r="Z5" i="77"/>
  <c r="Y5" i="77"/>
  <c r="X5" i="77"/>
  <c r="W5" i="77"/>
  <c r="V5" i="77"/>
  <c r="U5" i="77"/>
  <c r="T5" i="77"/>
  <c r="S5" i="77"/>
  <c r="R5" i="77"/>
  <c r="Q5" i="77"/>
  <c r="P5" i="77"/>
  <c r="O5" i="77"/>
  <c r="N5" i="77"/>
  <c r="M5" i="77"/>
  <c r="L5" i="77"/>
  <c r="K5" i="77"/>
  <c r="J5" i="77"/>
  <c r="I5" i="77"/>
  <c r="H5" i="77"/>
  <c r="G5" i="77"/>
  <c r="F5" i="77"/>
  <c r="E5" i="77"/>
  <c r="D5" i="77"/>
  <c r="C5" i="77"/>
  <c r="F220" i="76"/>
  <c r="F219" i="76"/>
  <c r="F216" i="76"/>
  <c r="F215" i="76" s="1"/>
  <c r="F213" i="76"/>
  <c r="F212" i="76" s="1"/>
  <c r="F210" i="76"/>
  <c r="F209" i="76" s="1"/>
  <c r="F207" i="76"/>
  <c r="F206" i="76" s="1"/>
  <c r="F204" i="76"/>
  <c r="F203" i="76" s="1"/>
  <c r="F201" i="76"/>
  <c r="F200" i="76" s="1"/>
  <c r="F198" i="76"/>
  <c r="F197" i="76"/>
  <c r="F194" i="76"/>
  <c r="F193" i="76" s="1"/>
  <c r="F190" i="76"/>
  <c r="F189" i="76"/>
  <c r="F188" i="76"/>
  <c r="F187" i="76"/>
  <c r="F184" i="76"/>
  <c r="F183" i="76"/>
  <c r="F182" i="76"/>
  <c r="F181" i="76"/>
  <c r="F180" i="76"/>
  <c r="F179" i="76"/>
  <c r="F178" i="76"/>
  <c r="F177" i="76"/>
  <c r="F176" i="76"/>
  <c r="F173" i="76"/>
  <c r="F172" i="76"/>
  <c r="F171" i="76"/>
  <c r="F170" i="76"/>
  <c r="F169" i="76"/>
  <c r="F168" i="76"/>
  <c r="F165" i="76"/>
  <c r="F164" i="76"/>
  <c r="F163" i="76"/>
  <c r="F162" i="76"/>
  <c r="F161" i="76"/>
  <c r="F160" i="76"/>
  <c r="F159" i="76"/>
  <c r="F158" i="76"/>
  <c r="F157" i="76"/>
  <c r="F156" i="76"/>
  <c r="F153" i="76"/>
  <c r="F152" i="76"/>
  <c r="F151" i="76"/>
  <c r="F150" i="76"/>
  <c r="F149" i="76"/>
  <c r="F148" i="76"/>
  <c r="F147" i="76"/>
  <c r="F146" i="76"/>
  <c r="F143" i="76"/>
  <c r="F142" i="76"/>
  <c r="F141" i="76"/>
  <c r="F140" i="76"/>
  <c r="F139" i="76"/>
  <c r="F138" i="76"/>
  <c r="F137" i="76"/>
  <c r="F136" i="76"/>
  <c r="F133" i="76"/>
  <c r="F132" i="76"/>
  <c r="F131" i="76"/>
  <c r="F130" i="76"/>
  <c r="F129" i="76"/>
  <c r="F128" i="76"/>
  <c r="F127" i="76"/>
  <c r="F126" i="76"/>
  <c r="F120" i="76"/>
  <c r="F119" i="76"/>
  <c r="F118" i="76"/>
  <c r="F117" i="76"/>
  <c r="F116" i="76"/>
  <c r="F115" i="76"/>
  <c r="F114" i="76"/>
  <c r="F113" i="76"/>
  <c r="F112" i="76"/>
  <c r="F111" i="76"/>
  <c r="F108" i="76"/>
  <c r="F107" i="76"/>
  <c r="F106" i="76"/>
  <c r="F105" i="76"/>
  <c r="F104" i="76"/>
  <c r="F103" i="76"/>
  <c r="F102" i="76"/>
  <c r="F101" i="76"/>
  <c r="F100" i="76"/>
  <c r="F97" i="76"/>
  <c r="F96" i="76"/>
  <c r="F95" i="76"/>
  <c r="F94" i="76"/>
  <c r="F93" i="76"/>
  <c r="F92" i="76"/>
  <c r="F91" i="76"/>
  <c r="F90" i="76"/>
  <c r="F89" i="76"/>
  <c r="F86" i="76"/>
  <c r="F85" i="76"/>
  <c r="F84" i="76"/>
  <c r="F83" i="76"/>
  <c r="F80" i="76"/>
  <c r="F79" i="76"/>
  <c r="F78" i="76"/>
  <c r="F77" i="76"/>
  <c r="F76" i="76"/>
  <c r="F75" i="76"/>
  <c r="F74" i="76"/>
  <c r="F73" i="76"/>
  <c r="F72" i="76"/>
  <c r="F68" i="76"/>
  <c r="F67" i="76"/>
  <c r="F66" i="76"/>
  <c r="F65" i="76"/>
  <c r="F62" i="76"/>
  <c r="F61" i="76"/>
  <c r="F60" i="76"/>
  <c r="F59" i="76"/>
  <c r="F58" i="76"/>
  <c r="F57" i="76"/>
  <c r="F54" i="76"/>
  <c r="F53" i="76"/>
  <c r="F52" i="76"/>
  <c r="F51" i="76"/>
  <c r="F48" i="76"/>
  <c r="F47" i="76"/>
  <c r="F46" i="76"/>
  <c r="F45" i="76"/>
  <c r="F44" i="76"/>
  <c r="F41" i="76"/>
  <c r="F40" i="76"/>
  <c r="F39" i="76"/>
  <c r="F38" i="76"/>
  <c r="F37" i="76"/>
  <c r="F36" i="76"/>
  <c r="F35" i="76"/>
  <c r="F34" i="76"/>
  <c r="F31" i="76"/>
  <c r="F30" i="76"/>
  <c r="F29" i="76"/>
  <c r="F28" i="76"/>
  <c r="F25" i="76"/>
  <c r="F24" i="76"/>
  <c r="F23" i="76"/>
  <c r="F22" i="76"/>
  <c r="F21" i="76"/>
  <c r="F20" i="76"/>
  <c r="F19" i="76"/>
  <c r="F18" i="76"/>
  <c r="F15" i="76"/>
  <c r="F14" i="76"/>
  <c r="F13" i="76"/>
  <c r="F12" i="76"/>
  <c r="F11" i="76"/>
  <c r="F10" i="76"/>
  <c r="BF221" i="75"/>
  <c r="BE221" i="75"/>
  <c r="BD221" i="75"/>
  <c r="BC221" i="75"/>
  <c r="BB221" i="75"/>
  <c r="BA221" i="75"/>
  <c r="AZ221" i="75"/>
  <c r="AY221" i="75"/>
  <c r="AX221" i="75"/>
  <c r="AW221" i="75"/>
  <c r="AV221" i="75"/>
  <c r="AU221" i="75"/>
  <c r="AT221" i="75"/>
  <c r="AS221" i="75"/>
  <c r="AR221" i="75"/>
  <c r="AQ221" i="75"/>
  <c r="AP221" i="75"/>
  <c r="AO221" i="75"/>
  <c r="AN221" i="75"/>
  <c r="AM221" i="75"/>
  <c r="AL221" i="75"/>
  <c r="AK221" i="75"/>
  <c r="AJ221" i="75"/>
  <c r="AI221" i="75"/>
  <c r="AH221" i="75"/>
  <c r="AG221" i="75"/>
  <c r="AF221" i="75"/>
  <c r="AE221" i="75"/>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BF220" i="75"/>
  <c r="BE220" i="75"/>
  <c r="BD220" i="75"/>
  <c r="BC220" i="75"/>
  <c r="BB220" i="75"/>
  <c r="BA220" i="75"/>
  <c r="AZ220" i="75"/>
  <c r="AY220" i="75"/>
  <c r="AX220" i="75"/>
  <c r="AW220" i="75"/>
  <c r="AV220" i="75"/>
  <c r="AU220" i="75"/>
  <c r="AT220" i="75"/>
  <c r="AS220" i="75"/>
  <c r="AR220" i="75"/>
  <c r="AQ220" i="75"/>
  <c r="AP220" i="75"/>
  <c r="AO220" i="75"/>
  <c r="AN220" i="75"/>
  <c r="AM220" i="75"/>
  <c r="AL220" i="75"/>
  <c r="AK220" i="75"/>
  <c r="AJ220" i="75"/>
  <c r="AI220" i="75"/>
  <c r="AH220" i="75"/>
  <c r="AG220" i="75"/>
  <c r="AF220" i="75"/>
  <c r="AE220" i="75"/>
  <c r="AD220" i="75"/>
  <c r="AC220" i="75"/>
  <c r="AB220" i="75"/>
  <c r="AA220" i="75"/>
  <c r="Z220" i="75"/>
  <c r="Y220" i="75"/>
  <c r="X220" i="75"/>
  <c r="W220" i="75"/>
  <c r="V220" i="75"/>
  <c r="U220" i="75"/>
  <c r="T220" i="75"/>
  <c r="S220" i="75"/>
  <c r="R220" i="75"/>
  <c r="Q220" i="75"/>
  <c r="P220" i="75"/>
  <c r="O220" i="75"/>
  <c r="N220" i="75"/>
  <c r="M220" i="75"/>
  <c r="L220" i="75"/>
  <c r="K220" i="75"/>
  <c r="J220" i="75"/>
  <c r="I220" i="75"/>
  <c r="H220" i="75"/>
  <c r="G220" i="75"/>
  <c r="F220" i="75"/>
  <c r="BJ217" i="75"/>
  <c r="BI217" i="75"/>
  <c r="BH217" i="75"/>
  <c r="BG217" i="75"/>
  <c r="BJ216" i="75"/>
  <c r="BJ221" i="75" s="1"/>
  <c r="BI216" i="75"/>
  <c r="BI221" i="75" s="1"/>
  <c r="BH216" i="75"/>
  <c r="BH221" i="75" s="1"/>
  <c r="BG216" i="75"/>
  <c r="BG221" i="75" s="1"/>
  <c r="BF215" i="75"/>
  <c r="BE215" i="75"/>
  <c r="BD215" i="75"/>
  <c r="BC215" i="75"/>
  <c r="BB215" i="75"/>
  <c r="BA215" i="75"/>
  <c r="AZ215" i="75"/>
  <c r="AY215" i="75"/>
  <c r="AX215" i="75"/>
  <c r="AW215" i="75"/>
  <c r="AV215" i="75"/>
  <c r="AU215" i="75"/>
  <c r="AT215" i="75"/>
  <c r="AS215" i="75"/>
  <c r="AR215" i="75"/>
  <c r="AQ215" i="75"/>
  <c r="AP215" i="75"/>
  <c r="AO215" i="75"/>
  <c r="AN215" i="75"/>
  <c r="AM215" i="75"/>
  <c r="AL215" i="75"/>
  <c r="AK215" i="75"/>
  <c r="AJ215" i="75"/>
  <c r="AI215" i="75"/>
  <c r="AH215" i="75"/>
  <c r="AG215" i="75"/>
  <c r="AF215" i="75"/>
  <c r="AE215" i="75"/>
  <c r="AD215" i="75"/>
  <c r="AC215" i="75"/>
  <c r="AB215" i="75"/>
  <c r="AA215" i="75"/>
  <c r="Z215" i="75"/>
  <c r="Y215" i="75"/>
  <c r="X215" i="75"/>
  <c r="W215" i="75"/>
  <c r="V215" i="75"/>
  <c r="U215" i="75"/>
  <c r="T215" i="75"/>
  <c r="S215" i="75"/>
  <c r="R215" i="75"/>
  <c r="Q215" i="75"/>
  <c r="P215" i="75"/>
  <c r="O215" i="75"/>
  <c r="N215" i="75"/>
  <c r="M215" i="75"/>
  <c r="L215" i="75"/>
  <c r="K215" i="75"/>
  <c r="J215" i="75"/>
  <c r="I215" i="75"/>
  <c r="H215" i="75"/>
  <c r="G215" i="75"/>
  <c r="F215" i="75"/>
  <c r="BJ213" i="75"/>
  <c r="BI213" i="75"/>
  <c r="BH213" i="75"/>
  <c r="BG213" i="75"/>
  <c r="BF212" i="75"/>
  <c r="BE212" i="75"/>
  <c r="BD212" i="75"/>
  <c r="BC212" i="75"/>
  <c r="BB212" i="75"/>
  <c r="BA212" i="75"/>
  <c r="AZ212" i="75"/>
  <c r="AY212" i="75"/>
  <c r="AX212" i="75"/>
  <c r="AW212" i="75"/>
  <c r="AV212" i="75"/>
  <c r="AU212" i="75"/>
  <c r="AT212" i="75"/>
  <c r="AS212" i="75"/>
  <c r="AR212" i="75"/>
  <c r="AQ212" i="75"/>
  <c r="AP212" i="75"/>
  <c r="AO212" i="75"/>
  <c r="AN212" i="75"/>
  <c r="AM212" i="75"/>
  <c r="AL212" i="75"/>
  <c r="AK212" i="75"/>
  <c r="AJ212" i="75"/>
  <c r="AI212" i="75"/>
  <c r="AH212" i="75"/>
  <c r="AG212" i="75"/>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BJ210" i="75"/>
  <c r="BI210" i="75"/>
  <c r="BH210" i="75"/>
  <c r="BG210" i="75"/>
  <c r="BF209" i="75"/>
  <c r="BE209" i="75"/>
  <c r="BD209" i="75"/>
  <c r="BC209" i="75"/>
  <c r="BB209" i="75"/>
  <c r="BA209" i="75"/>
  <c r="AZ209" i="75"/>
  <c r="AY209" i="75"/>
  <c r="AX209" i="75"/>
  <c r="AW209" i="75"/>
  <c r="AV209" i="75"/>
  <c r="AU209" i="75"/>
  <c r="AT209" i="75"/>
  <c r="AS209" i="75"/>
  <c r="AR209" i="75"/>
  <c r="AQ209" i="75"/>
  <c r="AP209" i="75"/>
  <c r="AO209" i="75"/>
  <c r="AN209" i="75"/>
  <c r="AM209" i="75"/>
  <c r="AL209" i="75"/>
  <c r="AK209" i="75"/>
  <c r="AJ209" i="75"/>
  <c r="AI209" i="75"/>
  <c r="AH209" i="75"/>
  <c r="AG209" i="75"/>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BJ207" i="75"/>
  <c r="BI207" i="75"/>
  <c r="BH207" i="75"/>
  <c r="BG207" i="75"/>
  <c r="BF206" i="75"/>
  <c r="BE206" i="75"/>
  <c r="BD206" i="75"/>
  <c r="BC206" i="75"/>
  <c r="BB206" i="75"/>
  <c r="BA206" i="75"/>
  <c r="AZ206" i="75"/>
  <c r="AY206" i="75"/>
  <c r="AX206" i="75"/>
  <c r="AW206" i="75"/>
  <c r="AV206" i="75"/>
  <c r="AU206" i="75"/>
  <c r="AT206" i="75"/>
  <c r="AS206" i="75"/>
  <c r="AR206" i="75"/>
  <c r="AQ206" i="75"/>
  <c r="AP206" i="75"/>
  <c r="AO206" i="75"/>
  <c r="AN206" i="75"/>
  <c r="AM206" i="75"/>
  <c r="AL206" i="75"/>
  <c r="AK206" i="75"/>
  <c r="AJ206" i="75"/>
  <c r="AI206" i="75"/>
  <c r="AH206" i="75"/>
  <c r="AG206" i="75"/>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BJ204" i="75"/>
  <c r="BI204" i="75"/>
  <c r="BH204" i="75"/>
  <c r="BG204" i="75"/>
  <c r="BF203" i="75"/>
  <c r="BE203" i="75"/>
  <c r="BD203" i="75"/>
  <c r="BC203" i="75"/>
  <c r="BB203" i="75"/>
  <c r="BA203" i="75"/>
  <c r="AZ203" i="75"/>
  <c r="AY203" i="75"/>
  <c r="AX203" i="75"/>
  <c r="AW203" i="75"/>
  <c r="AV203" i="75"/>
  <c r="AU203" i="75"/>
  <c r="AT203" i="75"/>
  <c r="AS203" i="75"/>
  <c r="AR203" i="75"/>
  <c r="AQ203" i="75"/>
  <c r="AP203" i="75"/>
  <c r="AO203" i="75"/>
  <c r="AN203" i="75"/>
  <c r="AM203" i="75"/>
  <c r="AL203" i="75"/>
  <c r="AK203" i="75"/>
  <c r="AJ203" i="75"/>
  <c r="AI203" i="75"/>
  <c r="AH203" i="75"/>
  <c r="AG203" i="75"/>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BJ201" i="75"/>
  <c r="BI201" i="75"/>
  <c r="BH201" i="75"/>
  <c r="BG201" i="75"/>
  <c r="BF200" i="75"/>
  <c r="BE200" i="75"/>
  <c r="BD200" i="75"/>
  <c r="BC200" i="75"/>
  <c r="BB200" i="75"/>
  <c r="BA200" i="75"/>
  <c r="AZ200" i="75"/>
  <c r="AY200" i="75"/>
  <c r="AX200" i="75"/>
  <c r="AW200" i="75"/>
  <c r="AV200" i="75"/>
  <c r="AU200" i="75"/>
  <c r="AT200" i="75"/>
  <c r="AS200" i="75"/>
  <c r="AR200" i="75"/>
  <c r="AQ200" i="75"/>
  <c r="AP200" i="75"/>
  <c r="AO200" i="75"/>
  <c r="AN200" i="75"/>
  <c r="AM200" i="75"/>
  <c r="AL200" i="75"/>
  <c r="AK200" i="75"/>
  <c r="AJ200" i="75"/>
  <c r="AI200" i="75"/>
  <c r="AH200" i="75"/>
  <c r="AG200" i="75"/>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BJ198" i="75"/>
  <c r="BI198" i="75"/>
  <c r="BH198" i="75"/>
  <c r="BG198" i="75"/>
  <c r="BF197" i="75"/>
  <c r="BE197" i="75"/>
  <c r="BD197" i="75"/>
  <c r="BC197" i="75"/>
  <c r="BB197" i="75"/>
  <c r="BA197" i="75"/>
  <c r="AZ197" i="75"/>
  <c r="AY197" i="75"/>
  <c r="AX197" i="75"/>
  <c r="AW197" i="75"/>
  <c r="AV197" i="75"/>
  <c r="AU197" i="75"/>
  <c r="AT197" i="75"/>
  <c r="AS197" i="75"/>
  <c r="AR197" i="75"/>
  <c r="AQ197" i="75"/>
  <c r="AP197" i="75"/>
  <c r="AO197" i="75"/>
  <c r="AN197" i="75"/>
  <c r="AM197" i="75"/>
  <c r="AL197" i="75"/>
  <c r="AK197" i="75"/>
  <c r="AJ197" i="75"/>
  <c r="AI197" i="75"/>
  <c r="AH197" i="75"/>
  <c r="AG197" i="75"/>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BJ195" i="75"/>
  <c r="BI195" i="75"/>
  <c r="BH195" i="75"/>
  <c r="BG195" i="75"/>
  <c r="BJ194" i="75"/>
  <c r="BI194" i="75"/>
  <c r="BH194" i="75"/>
  <c r="BG194" i="75"/>
  <c r="BF193" i="75"/>
  <c r="BE193" i="75"/>
  <c r="BD193" i="75"/>
  <c r="BC193" i="75"/>
  <c r="BB193" i="75"/>
  <c r="BA193" i="75"/>
  <c r="AZ193" i="75"/>
  <c r="AY193" i="75"/>
  <c r="AX193" i="75"/>
  <c r="AW193" i="75"/>
  <c r="AV193" i="75"/>
  <c r="AU193" i="75"/>
  <c r="AT193" i="75"/>
  <c r="AS193" i="75"/>
  <c r="AR193" i="75"/>
  <c r="AQ193" i="75"/>
  <c r="AP193" i="75"/>
  <c r="AO193" i="75"/>
  <c r="AN193" i="75"/>
  <c r="AM193" i="75"/>
  <c r="AL193" i="75"/>
  <c r="AK193" i="75"/>
  <c r="AJ193" i="75"/>
  <c r="AI193" i="75"/>
  <c r="AH193" i="75"/>
  <c r="AG193" i="75"/>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BJ191" i="75"/>
  <c r="BI191" i="75"/>
  <c r="BH191" i="75"/>
  <c r="BG191" i="75"/>
  <c r="BF190" i="75"/>
  <c r="BE190" i="75"/>
  <c r="BD190" i="75"/>
  <c r="BC190" i="75"/>
  <c r="BB190" i="75"/>
  <c r="BA190" i="75"/>
  <c r="AZ190" i="75"/>
  <c r="AY190" i="75"/>
  <c r="AX190" i="75"/>
  <c r="AW190" i="75"/>
  <c r="AV190" i="75"/>
  <c r="AU190" i="75"/>
  <c r="AT190" i="75"/>
  <c r="AS190" i="75"/>
  <c r="AR190" i="75"/>
  <c r="AQ190" i="75"/>
  <c r="AP190" i="75"/>
  <c r="AO190" i="75"/>
  <c r="AN190" i="75"/>
  <c r="AM190" i="75"/>
  <c r="AL190" i="75"/>
  <c r="AK190" i="75"/>
  <c r="AJ190" i="75"/>
  <c r="AI190" i="75"/>
  <c r="AH190" i="75"/>
  <c r="AG190" i="75"/>
  <c r="AF190" i="75"/>
  <c r="AE190" i="75"/>
  <c r="AD190" i="75"/>
  <c r="AC190" i="75"/>
  <c r="AB190" i="75"/>
  <c r="AA190" i="75"/>
  <c r="Z190" i="75"/>
  <c r="Y190" i="75"/>
  <c r="X190" i="75"/>
  <c r="W190" i="75"/>
  <c r="V190" i="75"/>
  <c r="U190" i="75"/>
  <c r="T190" i="75"/>
  <c r="S190" i="75"/>
  <c r="R190" i="75"/>
  <c r="Q190" i="75"/>
  <c r="P190" i="75"/>
  <c r="O190" i="75"/>
  <c r="N190" i="75"/>
  <c r="M190" i="75"/>
  <c r="L190" i="75"/>
  <c r="K190" i="75"/>
  <c r="J190" i="75"/>
  <c r="I190" i="75"/>
  <c r="H190" i="75"/>
  <c r="G190" i="75"/>
  <c r="F190" i="75"/>
  <c r="BJ187" i="75"/>
  <c r="BI187" i="75"/>
  <c r="BH187" i="75"/>
  <c r="BG187" i="75"/>
  <c r="BJ186" i="75"/>
  <c r="BI186" i="75"/>
  <c r="BH186" i="75"/>
  <c r="BG186" i="75"/>
  <c r="BJ185" i="75"/>
  <c r="BI185" i="75"/>
  <c r="BH185" i="75"/>
  <c r="BG185" i="75"/>
  <c r="BJ184" i="75"/>
  <c r="BI184" i="75"/>
  <c r="BH184" i="75"/>
  <c r="BG184" i="75"/>
  <c r="BF183" i="75"/>
  <c r="BE183" i="75"/>
  <c r="BD183" i="75"/>
  <c r="BC183" i="75"/>
  <c r="BB183" i="75"/>
  <c r="BA183" i="75"/>
  <c r="AZ183" i="75"/>
  <c r="AY183" i="75"/>
  <c r="AX183" i="75"/>
  <c r="AW183" i="75"/>
  <c r="AV183" i="75"/>
  <c r="AU183" i="75"/>
  <c r="AT183" i="75"/>
  <c r="AS183" i="75"/>
  <c r="AR183" i="75"/>
  <c r="AQ183" i="75"/>
  <c r="AP183" i="75"/>
  <c r="AO183" i="75"/>
  <c r="AN183" i="75"/>
  <c r="AM183" i="75"/>
  <c r="AL183" i="75"/>
  <c r="AK183" i="75"/>
  <c r="AJ183" i="75"/>
  <c r="AI183" i="75"/>
  <c r="AH183" i="75"/>
  <c r="AG183" i="75"/>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BJ181" i="75"/>
  <c r="BI181" i="75"/>
  <c r="BH181" i="75"/>
  <c r="BG181" i="75"/>
  <c r="BJ180" i="75"/>
  <c r="BI180" i="75"/>
  <c r="BH180" i="75"/>
  <c r="BG180" i="75"/>
  <c r="BJ179" i="75"/>
  <c r="BI179" i="75"/>
  <c r="BH179" i="75"/>
  <c r="BG179" i="75"/>
  <c r="BJ178" i="75"/>
  <c r="BI178" i="75"/>
  <c r="BH178" i="75"/>
  <c r="BG178" i="75"/>
  <c r="BJ177" i="75"/>
  <c r="BI177" i="75"/>
  <c r="BH177" i="75"/>
  <c r="BG177" i="75"/>
  <c r="BJ176" i="75"/>
  <c r="BI176" i="75"/>
  <c r="BH176" i="75"/>
  <c r="BG176" i="75"/>
  <c r="BJ175" i="75"/>
  <c r="BI175" i="75"/>
  <c r="BH175" i="75"/>
  <c r="BG175" i="75"/>
  <c r="BJ174" i="75"/>
  <c r="BI174" i="75"/>
  <c r="BH174" i="75"/>
  <c r="BG174" i="75"/>
  <c r="BJ173" i="75"/>
  <c r="BI173" i="75"/>
  <c r="BH173" i="75"/>
  <c r="BG173" i="75"/>
  <c r="BF172" i="75"/>
  <c r="BE172" i="75"/>
  <c r="BD172" i="75"/>
  <c r="BC172" i="75"/>
  <c r="BB172" i="75"/>
  <c r="BA172" i="75"/>
  <c r="AZ172" i="75"/>
  <c r="AY172" i="75"/>
  <c r="AX172" i="75"/>
  <c r="AW172" i="75"/>
  <c r="AV172" i="75"/>
  <c r="AU172" i="75"/>
  <c r="AT172" i="75"/>
  <c r="AS172" i="75"/>
  <c r="AR172" i="75"/>
  <c r="AQ172" i="75"/>
  <c r="AP172" i="75"/>
  <c r="AO172" i="75"/>
  <c r="AN172" i="75"/>
  <c r="AM172" i="75"/>
  <c r="AL172" i="75"/>
  <c r="AK172" i="75"/>
  <c r="AJ172" i="75"/>
  <c r="AI172" i="75"/>
  <c r="AH172" i="75"/>
  <c r="AG172" i="75"/>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BJ170" i="75"/>
  <c r="BI170" i="75"/>
  <c r="BH170" i="75"/>
  <c r="BG170" i="75"/>
  <c r="BJ169" i="75"/>
  <c r="BI169" i="75"/>
  <c r="BH169" i="75"/>
  <c r="BG169" i="75"/>
  <c r="BJ168" i="75"/>
  <c r="BI168" i="75"/>
  <c r="BH168" i="75"/>
  <c r="BG168" i="75"/>
  <c r="BJ167" i="75"/>
  <c r="BI167" i="75"/>
  <c r="BH167" i="75"/>
  <c r="BG167" i="75"/>
  <c r="BJ166" i="75"/>
  <c r="BI166" i="75"/>
  <c r="BH166" i="75"/>
  <c r="BG166" i="75"/>
  <c r="BJ165" i="75"/>
  <c r="BI165" i="75"/>
  <c r="BH165" i="75"/>
  <c r="BG165" i="75"/>
  <c r="BF164" i="75"/>
  <c r="BE164" i="75"/>
  <c r="BD164" i="75"/>
  <c r="BC164" i="75"/>
  <c r="BB164" i="75"/>
  <c r="BA164" i="75"/>
  <c r="AZ164" i="75"/>
  <c r="AY164" i="75"/>
  <c r="AX164" i="75"/>
  <c r="AW164" i="75"/>
  <c r="AV164" i="75"/>
  <c r="AU164" i="75"/>
  <c r="AT164" i="75"/>
  <c r="AS164" i="75"/>
  <c r="AR164" i="75"/>
  <c r="AQ164" i="75"/>
  <c r="AP164" i="75"/>
  <c r="AO164" i="75"/>
  <c r="AN164" i="75"/>
  <c r="AM164" i="75"/>
  <c r="AL164" i="75"/>
  <c r="AK164" i="75"/>
  <c r="AJ164" i="75"/>
  <c r="AI164" i="75"/>
  <c r="AH164" i="75"/>
  <c r="AG164" i="75"/>
  <c r="AF164" i="75"/>
  <c r="AE164" i="75"/>
  <c r="AD164" i="75"/>
  <c r="AC164" i="75"/>
  <c r="AB164" i="75"/>
  <c r="AA164" i="75"/>
  <c r="Z164" i="75"/>
  <c r="Y164" i="75"/>
  <c r="X164" i="75"/>
  <c r="W164" i="75"/>
  <c r="V164" i="75"/>
  <c r="U164" i="75"/>
  <c r="T164" i="75"/>
  <c r="S164" i="75"/>
  <c r="R164" i="75"/>
  <c r="Q164" i="75"/>
  <c r="P164" i="75"/>
  <c r="O164" i="75"/>
  <c r="N164" i="75"/>
  <c r="M164" i="75"/>
  <c r="L164" i="75"/>
  <c r="K164" i="75"/>
  <c r="J164" i="75"/>
  <c r="I164" i="75"/>
  <c r="H164" i="75"/>
  <c r="G164" i="75"/>
  <c r="F164" i="75"/>
  <c r="BJ162" i="75"/>
  <c r="BI162" i="75"/>
  <c r="BH162" i="75"/>
  <c r="BG162" i="75"/>
  <c r="BJ161" i="75"/>
  <c r="BI161" i="75"/>
  <c r="BH161" i="75"/>
  <c r="BG161" i="75"/>
  <c r="BJ160" i="75"/>
  <c r="BI160" i="75"/>
  <c r="BH160" i="75"/>
  <c r="BG160" i="75"/>
  <c r="BJ159" i="75"/>
  <c r="BI159" i="75"/>
  <c r="BH159" i="75"/>
  <c r="BG159" i="75"/>
  <c r="BJ158" i="75"/>
  <c r="BI158" i="75"/>
  <c r="BH158" i="75"/>
  <c r="BG158" i="75"/>
  <c r="BJ157" i="75"/>
  <c r="BI157" i="75"/>
  <c r="BH157" i="75"/>
  <c r="BG157" i="75"/>
  <c r="BJ156" i="75"/>
  <c r="BI156" i="75"/>
  <c r="BH156" i="75"/>
  <c r="BG156" i="75"/>
  <c r="BJ155" i="75"/>
  <c r="BI155" i="75"/>
  <c r="BH155" i="75"/>
  <c r="BG155" i="75"/>
  <c r="BJ154" i="75"/>
  <c r="BI154" i="75"/>
  <c r="BH154" i="75"/>
  <c r="BG154" i="75"/>
  <c r="BJ153" i="75"/>
  <c r="BI153" i="75"/>
  <c r="BH153" i="75"/>
  <c r="BG153" i="75"/>
  <c r="BF152" i="75"/>
  <c r="BE152" i="75"/>
  <c r="BD152" i="75"/>
  <c r="BC152" i="75"/>
  <c r="BB152" i="75"/>
  <c r="BA152" i="75"/>
  <c r="AZ152" i="75"/>
  <c r="AY152" i="75"/>
  <c r="AX152" i="75"/>
  <c r="AW152" i="75"/>
  <c r="AV152" i="75"/>
  <c r="AU152" i="75"/>
  <c r="AT152" i="75"/>
  <c r="AS152" i="75"/>
  <c r="AR152" i="75"/>
  <c r="AQ152" i="75"/>
  <c r="AP152" i="75"/>
  <c r="AO152" i="75"/>
  <c r="AN152" i="75"/>
  <c r="AM152" i="75"/>
  <c r="AL152" i="75"/>
  <c r="AK152" i="75"/>
  <c r="AJ152" i="75"/>
  <c r="AI152" i="75"/>
  <c r="AH152" i="75"/>
  <c r="AG152" i="75"/>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BJ150" i="75"/>
  <c r="BI150" i="75"/>
  <c r="BH150" i="75"/>
  <c r="BG150" i="75"/>
  <c r="BJ149" i="75"/>
  <c r="BI149" i="75"/>
  <c r="BH149" i="75"/>
  <c r="BG149" i="75"/>
  <c r="BJ148" i="75"/>
  <c r="BI148" i="75"/>
  <c r="BH148" i="75"/>
  <c r="BG148" i="75"/>
  <c r="BJ147" i="75"/>
  <c r="BI147" i="75"/>
  <c r="BH147" i="75"/>
  <c r="BG147" i="75"/>
  <c r="BJ146" i="75"/>
  <c r="BI146" i="75"/>
  <c r="BH146" i="75"/>
  <c r="BG146" i="75"/>
  <c r="BJ145" i="75"/>
  <c r="BI145" i="75"/>
  <c r="BH145" i="75"/>
  <c r="BG145" i="75"/>
  <c r="BJ144" i="75"/>
  <c r="BI144" i="75"/>
  <c r="BH144" i="75"/>
  <c r="BG144" i="75"/>
  <c r="BJ143" i="75"/>
  <c r="BI143" i="75"/>
  <c r="BH143" i="75"/>
  <c r="BG143" i="75"/>
  <c r="BF142" i="75"/>
  <c r="BE142" i="75"/>
  <c r="BD142" i="75"/>
  <c r="BC142" i="75"/>
  <c r="BB142" i="75"/>
  <c r="BA142" i="75"/>
  <c r="AZ142" i="75"/>
  <c r="AY142" i="75"/>
  <c r="AX142" i="75"/>
  <c r="AW142" i="75"/>
  <c r="AV142" i="75"/>
  <c r="AU142" i="75"/>
  <c r="AT142" i="75"/>
  <c r="AS142" i="75"/>
  <c r="AR142" i="75"/>
  <c r="AQ142" i="75"/>
  <c r="AP142" i="75"/>
  <c r="AO142" i="75"/>
  <c r="AN142" i="75"/>
  <c r="AM142" i="75"/>
  <c r="AL142" i="75"/>
  <c r="AK142" i="75"/>
  <c r="AJ142" i="75"/>
  <c r="AI142" i="75"/>
  <c r="AH142" i="75"/>
  <c r="AG142" i="75"/>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BJ140" i="75"/>
  <c r="BI140" i="75"/>
  <c r="BH140" i="75"/>
  <c r="BG140" i="75"/>
  <c r="BJ139" i="75"/>
  <c r="BI139" i="75"/>
  <c r="BH139" i="75"/>
  <c r="BG139" i="75"/>
  <c r="BJ138" i="75"/>
  <c r="BI138" i="75"/>
  <c r="BH138" i="75"/>
  <c r="BG138" i="75"/>
  <c r="BJ137" i="75"/>
  <c r="BI137" i="75"/>
  <c r="BH137" i="75"/>
  <c r="BG137" i="75"/>
  <c r="BJ136" i="75"/>
  <c r="BI136" i="75"/>
  <c r="BH136" i="75"/>
  <c r="BG136" i="75"/>
  <c r="BJ135" i="75"/>
  <c r="BI135" i="75"/>
  <c r="BH135" i="75"/>
  <c r="BG135" i="75"/>
  <c r="BJ134" i="75"/>
  <c r="BI134" i="75"/>
  <c r="BH134" i="75"/>
  <c r="BG134" i="75"/>
  <c r="BJ133" i="75"/>
  <c r="BI133" i="75"/>
  <c r="BH133" i="75"/>
  <c r="BG133" i="75"/>
  <c r="BF132" i="75"/>
  <c r="BE132" i="75"/>
  <c r="BD132" i="75"/>
  <c r="BC132" i="75"/>
  <c r="BB132" i="75"/>
  <c r="BA132" i="75"/>
  <c r="AZ132" i="75"/>
  <c r="AY132" i="75"/>
  <c r="AX132" i="75"/>
  <c r="AW132" i="75"/>
  <c r="AV132" i="75"/>
  <c r="AU132" i="75"/>
  <c r="AT132" i="75"/>
  <c r="AS132" i="75"/>
  <c r="AR132" i="75"/>
  <c r="AQ132" i="75"/>
  <c r="AP132" i="75"/>
  <c r="AO132" i="75"/>
  <c r="AN132" i="75"/>
  <c r="AM132" i="75"/>
  <c r="AL132" i="75"/>
  <c r="AK132" i="75"/>
  <c r="AJ132" i="75"/>
  <c r="AI132" i="75"/>
  <c r="AH132" i="75"/>
  <c r="AG132" i="75"/>
  <c r="AF132" i="75"/>
  <c r="AE132" i="75"/>
  <c r="AD132" i="75"/>
  <c r="AC132" i="75"/>
  <c r="AB132" i="75"/>
  <c r="AA132" i="75"/>
  <c r="Z132" i="75"/>
  <c r="Y132" i="75"/>
  <c r="X132" i="75"/>
  <c r="W132" i="75"/>
  <c r="V132" i="75"/>
  <c r="U132" i="75"/>
  <c r="T132" i="75"/>
  <c r="S132" i="75"/>
  <c r="R132" i="75"/>
  <c r="Q132" i="75"/>
  <c r="P132" i="75"/>
  <c r="O132" i="75"/>
  <c r="N132" i="75"/>
  <c r="M132" i="75"/>
  <c r="L132" i="75"/>
  <c r="K132" i="75"/>
  <c r="J132" i="75"/>
  <c r="I132" i="75"/>
  <c r="H132" i="75"/>
  <c r="G132" i="75"/>
  <c r="F132" i="75"/>
  <c r="BJ130" i="75"/>
  <c r="BI130" i="75"/>
  <c r="BH130" i="75"/>
  <c r="BG130" i="75"/>
  <c r="BJ129" i="75"/>
  <c r="BI129" i="75"/>
  <c r="BH129" i="75"/>
  <c r="BG129" i="75"/>
  <c r="BJ128" i="75"/>
  <c r="BI128" i="75"/>
  <c r="BH128" i="75"/>
  <c r="BG128" i="75"/>
  <c r="BJ127" i="75"/>
  <c r="BI127" i="75"/>
  <c r="BH127" i="75"/>
  <c r="BG127" i="75"/>
  <c r="BJ126" i="75"/>
  <c r="BI126" i="75"/>
  <c r="BH126" i="75"/>
  <c r="BG126" i="75"/>
  <c r="BJ125" i="75"/>
  <c r="BI125" i="75"/>
  <c r="BH125" i="75"/>
  <c r="BG125" i="75"/>
  <c r="BJ124" i="75"/>
  <c r="BI124" i="75"/>
  <c r="BH124" i="75"/>
  <c r="BG124" i="75"/>
  <c r="BJ123" i="75"/>
  <c r="BI123" i="75"/>
  <c r="BH123" i="75"/>
  <c r="BG123" i="75"/>
  <c r="BF122" i="75"/>
  <c r="BE122" i="75"/>
  <c r="BD122" i="75"/>
  <c r="BC122" i="75"/>
  <c r="BB122" i="75"/>
  <c r="BA122" i="75"/>
  <c r="AZ122" i="75"/>
  <c r="AY122" i="75"/>
  <c r="AX122" i="75"/>
  <c r="AW122" i="75"/>
  <c r="AV122" i="75"/>
  <c r="AU122" i="75"/>
  <c r="AT122" i="75"/>
  <c r="AS122" i="75"/>
  <c r="AR122" i="75"/>
  <c r="AQ122" i="75"/>
  <c r="AP122" i="75"/>
  <c r="AO122" i="75"/>
  <c r="AN122" i="75"/>
  <c r="AM122" i="75"/>
  <c r="AL122" i="75"/>
  <c r="AK122" i="75"/>
  <c r="AJ122" i="75"/>
  <c r="AI122" i="75"/>
  <c r="AH122" i="75"/>
  <c r="AG122" i="75"/>
  <c r="AF122" i="75"/>
  <c r="AE122" i="75"/>
  <c r="AD122" i="75"/>
  <c r="AC122" i="75"/>
  <c r="AB122" i="75"/>
  <c r="AA122" i="75"/>
  <c r="Z122" i="75"/>
  <c r="Y122" i="75"/>
  <c r="X122" i="75"/>
  <c r="W122" i="75"/>
  <c r="V122" i="75"/>
  <c r="U122" i="75"/>
  <c r="T122" i="75"/>
  <c r="S122" i="75"/>
  <c r="R122" i="75"/>
  <c r="Q122" i="75"/>
  <c r="P122" i="75"/>
  <c r="O122" i="75"/>
  <c r="N122" i="75"/>
  <c r="M122" i="75"/>
  <c r="L122" i="75"/>
  <c r="K122" i="75"/>
  <c r="J122" i="75"/>
  <c r="I122" i="75"/>
  <c r="H122" i="75"/>
  <c r="G122" i="75"/>
  <c r="F122" i="75"/>
  <c r="BJ117" i="75"/>
  <c r="BI117" i="75"/>
  <c r="BH117" i="75"/>
  <c r="BG117" i="75"/>
  <c r="BJ116" i="75"/>
  <c r="BI116" i="75"/>
  <c r="BH116" i="75"/>
  <c r="BG116" i="75"/>
  <c r="BJ115" i="75"/>
  <c r="BI115" i="75"/>
  <c r="BH115" i="75"/>
  <c r="BG115" i="75"/>
  <c r="BJ114" i="75"/>
  <c r="BI114" i="75"/>
  <c r="BH114" i="75"/>
  <c r="BG114" i="75"/>
  <c r="BJ113" i="75"/>
  <c r="BI113" i="75"/>
  <c r="BH113" i="75"/>
  <c r="BG113" i="75"/>
  <c r="BJ112" i="75"/>
  <c r="BI112" i="75"/>
  <c r="BH112" i="75"/>
  <c r="BG112" i="75"/>
  <c r="BJ111" i="75"/>
  <c r="BI111" i="75"/>
  <c r="BH111" i="75"/>
  <c r="BG111" i="75"/>
  <c r="BJ110" i="75"/>
  <c r="BI110" i="75"/>
  <c r="BH110" i="75"/>
  <c r="BG110" i="75"/>
  <c r="BJ109" i="75"/>
  <c r="BI109" i="75"/>
  <c r="BH109" i="75"/>
  <c r="BG109" i="75"/>
  <c r="BJ108" i="75"/>
  <c r="BI108" i="75"/>
  <c r="BH108" i="75"/>
  <c r="BG108" i="75"/>
  <c r="BF107" i="75"/>
  <c r="BE107" i="75"/>
  <c r="BD107" i="75"/>
  <c r="BC107" i="75"/>
  <c r="BB107" i="75"/>
  <c r="BA107" i="75"/>
  <c r="AZ107" i="75"/>
  <c r="AY107" i="75"/>
  <c r="AX107" i="75"/>
  <c r="AW107" i="75"/>
  <c r="AV107" i="75"/>
  <c r="AU107" i="75"/>
  <c r="AT107" i="75"/>
  <c r="AS107" i="75"/>
  <c r="AR107" i="75"/>
  <c r="AQ107" i="75"/>
  <c r="AP107" i="75"/>
  <c r="AO107" i="75"/>
  <c r="AN107" i="75"/>
  <c r="AM107" i="75"/>
  <c r="AL107" i="75"/>
  <c r="AK107" i="75"/>
  <c r="AJ107" i="75"/>
  <c r="AI107" i="75"/>
  <c r="AH107" i="75"/>
  <c r="AG107" i="75"/>
  <c r="AF107" i="75"/>
  <c r="AE107" i="75"/>
  <c r="AD107" i="75"/>
  <c r="AC107" i="75"/>
  <c r="AB107" i="75"/>
  <c r="AA107" i="75"/>
  <c r="Z107" i="75"/>
  <c r="Y107" i="75"/>
  <c r="X107" i="75"/>
  <c r="W107" i="75"/>
  <c r="V107" i="75"/>
  <c r="U107" i="75"/>
  <c r="T107" i="75"/>
  <c r="S107" i="75"/>
  <c r="R107" i="75"/>
  <c r="Q107" i="75"/>
  <c r="P107" i="75"/>
  <c r="O107" i="75"/>
  <c r="N107" i="75"/>
  <c r="M107" i="75"/>
  <c r="L107" i="75"/>
  <c r="K107" i="75"/>
  <c r="J107" i="75"/>
  <c r="I107" i="75"/>
  <c r="H107" i="75"/>
  <c r="G107" i="75"/>
  <c r="F107" i="75"/>
  <c r="BJ105" i="75"/>
  <c r="BI105" i="75"/>
  <c r="BH105" i="75"/>
  <c r="BG105" i="75"/>
  <c r="BJ104" i="75"/>
  <c r="BI104" i="75"/>
  <c r="BH104" i="75"/>
  <c r="BG104" i="75"/>
  <c r="BJ103" i="75"/>
  <c r="BI103" i="75"/>
  <c r="BH103" i="75"/>
  <c r="BG103" i="75"/>
  <c r="BJ102" i="75"/>
  <c r="BI102" i="75"/>
  <c r="BH102" i="75"/>
  <c r="BG102" i="75"/>
  <c r="BJ101" i="75"/>
  <c r="BI101" i="75"/>
  <c r="BH101" i="75"/>
  <c r="BG101" i="75"/>
  <c r="BJ100" i="75"/>
  <c r="BI100" i="75"/>
  <c r="BH100" i="75"/>
  <c r="BG100" i="75"/>
  <c r="BJ99" i="75"/>
  <c r="BI99" i="75"/>
  <c r="BH99" i="75"/>
  <c r="BG99" i="75"/>
  <c r="BJ98" i="75"/>
  <c r="BI98" i="75"/>
  <c r="BH98" i="75"/>
  <c r="BG98" i="75"/>
  <c r="BJ97" i="75"/>
  <c r="BI97" i="75"/>
  <c r="BH97" i="75"/>
  <c r="BG97" i="75"/>
  <c r="BF96" i="75"/>
  <c r="BE96" i="75"/>
  <c r="BD96" i="75"/>
  <c r="BC96" i="75"/>
  <c r="BB96" i="75"/>
  <c r="BA96" i="75"/>
  <c r="AZ96" i="75"/>
  <c r="AY96" i="75"/>
  <c r="AX96" i="75"/>
  <c r="AW96" i="75"/>
  <c r="AV96" i="75"/>
  <c r="AU96" i="75"/>
  <c r="AT96" i="75"/>
  <c r="AS96" i="75"/>
  <c r="AR96" i="75"/>
  <c r="AQ96" i="75"/>
  <c r="AP96" i="75"/>
  <c r="AO96" i="75"/>
  <c r="AN96" i="75"/>
  <c r="AM96" i="75"/>
  <c r="AL96" i="75"/>
  <c r="AK96" i="75"/>
  <c r="AJ96" i="75"/>
  <c r="AI96" i="75"/>
  <c r="AH96" i="75"/>
  <c r="AG96" i="75"/>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BJ94" i="75"/>
  <c r="BI94" i="75"/>
  <c r="BH94" i="75"/>
  <c r="BG94" i="75"/>
  <c r="BJ93" i="75"/>
  <c r="BI93" i="75"/>
  <c r="BH93" i="75"/>
  <c r="BG93" i="75"/>
  <c r="BJ92" i="75"/>
  <c r="BI92" i="75"/>
  <c r="BH92" i="75"/>
  <c r="BG92" i="75"/>
  <c r="BJ91" i="75"/>
  <c r="BI91" i="75"/>
  <c r="BH91" i="75"/>
  <c r="BG91" i="75"/>
  <c r="BJ90" i="75"/>
  <c r="BI90" i="75"/>
  <c r="BH90" i="75"/>
  <c r="BG90" i="75"/>
  <c r="BJ89" i="75"/>
  <c r="BI89" i="75"/>
  <c r="BH89" i="75"/>
  <c r="BG89" i="75"/>
  <c r="BJ88" i="75"/>
  <c r="BI88" i="75"/>
  <c r="BH88" i="75"/>
  <c r="BG88" i="75"/>
  <c r="BJ87" i="75"/>
  <c r="BI87" i="75"/>
  <c r="BH87" i="75"/>
  <c r="BG87" i="75"/>
  <c r="BJ86" i="75"/>
  <c r="BI86" i="75"/>
  <c r="BH86" i="75"/>
  <c r="BG86"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BJ83" i="75"/>
  <c r="BI83" i="75"/>
  <c r="BH83" i="75"/>
  <c r="BG83" i="75"/>
  <c r="BJ82" i="75"/>
  <c r="BI82" i="75"/>
  <c r="BH82" i="75"/>
  <c r="BG82" i="75"/>
  <c r="BJ81" i="75"/>
  <c r="BI81" i="75"/>
  <c r="BH81" i="75"/>
  <c r="BG81" i="75"/>
  <c r="BJ80" i="75"/>
  <c r="BI80" i="75"/>
  <c r="BH80" i="75"/>
  <c r="BG80" i="75"/>
  <c r="BF79" i="75"/>
  <c r="BE79" i="75"/>
  <c r="BD79" i="75"/>
  <c r="BC79" i="75"/>
  <c r="BB79" i="75"/>
  <c r="BA79" i="75"/>
  <c r="AZ79" i="75"/>
  <c r="AY79" i="75"/>
  <c r="AX79" i="75"/>
  <c r="AW79" i="75"/>
  <c r="AV79" i="75"/>
  <c r="AU79" i="75"/>
  <c r="AT79" i="75"/>
  <c r="AS79" i="75"/>
  <c r="AR79" i="75"/>
  <c r="AQ79" i="75"/>
  <c r="AP79" i="75"/>
  <c r="AO79" i="75"/>
  <c r="AN79" i="75"/>
  <c r="AM79" i="75"/>
  <c r="AL79" i="75"/>
  <c r="AK79" i="75"/>
  <c r="AJ79" i="75"/>
  <c r="AI79" i="75"/>
  <c r="AH79" i="75"/>
  <c r="AG79" i="75"/>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BJ77" i="75"/>
  <c r="BI77" i="75"/>
  <c r="BH77" i="75"/>
  <c r="BG77" i="75"/>
  <c r="BJ76" i="75"/>
  <c r="BI76" i="75"/>
  <c r="BH76" i="75"/>
  <c r="BG76" i="75"/>
  <c r="BJ75" i="75"/>
  <c r="BI75" i="75"/>
  <c r="BH75" i="75"/>
  <c r="BG75" i="75"/>
  <c r="BJ74" i="75"/>
  <c r="BI74" i="75"/>
  <c r="BH74" i="75"/>
  <c r="BG74" i="75"/>
  <c r="BJ73" i="75"/>
  <c r="BI73" i="75"/>
  <c r="BH73" i="75"/>
  <c r="BG73" i="75"/>
  <c r="BJ72" i="75"/>
  <c r="BI72" i="75"/>
  <c r="BH72" i="75"/>
  <c r="BG72" i="75"/>
  <c r="BJ71" i="75"/>
  <c r="BI71" i="75"/>
  <c r="BH71" i="75"/>
  <c r="BG71" i="75"/>
  <c r="BJ70" i="75"/>
  <c r="BI70" i="75"/>
  <c r="BH70" i="75"/>
  <c r="BG70" i="75"/>
  <c r="BJ69" i="75"/>
  <c r="BI69" i="75"/>
  <c r="BH69" i="75"/>
  <c r="BG69" i="75"/>
  <c r="BF68" i="75"/>
  <c r="BE68" i="75"/>
  <c r="BD68" i="75"/>
  <c r="BC68" i="75"/>
  <c r="BB68" i="75"/>
  <c r="BA68" i="75"/>
  <c r="AZ68" i="75"/>
  <c r="AY68" i="75"/>
  <c r="AX68" i="75"/>
  <c r="AW68" i="75"/>
  <c r="AV68" i="75"/>
  <c r="AU68" i="75"/>
  <c r="AT68" i="75"/>
  <c r="AS68" i="75"/>
  <c r="AR68" i="75"/>
  <c r="AQ68" i="75"/>
  <c r="AP68" i="75"/>
  <c r="AO68" i="75"/>
  <c r="AN68" i="75"/>
  <c r="AM68" i="75"/>
  <c r="AL68" i="75"/>
  <c r="AK68" i="75"/>
  <c r="AJ68" i="75"/>
  <c r="AI68" i="75"/>
  <c r="AH68" i="75"/>
  <c r="AG68" i="75"/>
  <c r="AF68" i="75"/>
  <c r="AE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BJ65" i="75"/>
  <c r="BI65" i="75"/>
  <c r="BH65" i="75"/>
  <c r="BG65" i="75"/>
  <c r="BJ64" i="75"/>
  <c r="BI64" i="75"/>
  <c r="BH64" i="75"/>
  <c r="BG64" i="75"/>
  <c r="BJ63" i="75"/>
  <c r="BI63" i="75"/>
  <c r="BH63" i="75"/>
  <c r="BG63" i="75"/>
  <c r="BJ62" i="75"/>
  <c r="BI62" i="75"/>
  <c r="BH62" i="75"/>
  <c r="BG62" i="75"/>
  <c r="BF61" i="75"/>
  <c r="BE61" i="75"/>
  <c r="BD61" i="75"/>
  <c r="BC61" i="75"/>
  <c r="BB61" i="75"/>
  <c r="BA61" i="75"/>
  <c r="AZ61" i="75"/>
  <c r="AY61" i="75"/>
  <c r="AX61" i="75"/>
  <c r="AW61" i="75"/>
  <c r="AV61" i="75"/>
  <c r="AU61" i="75"/>
  <c r="AT61" i="75"/>
  <c r="AS61" i="75"/>
  <c r="AR61" i="75"/>
  <c r="AQ61" i="75"/>
  <c r="AP61" i="75"/>
  <c r="AO61" i="75"/>
  <c r="AN61" i="75"/>
  <c r="AM61" i="75"/>
  <c r="AL61" i="75"/>
  <c r="AK61" i="75"/>
  <c r="AJ61" i="75"/>
  <c r="AI61" i="75"/>
  <c r="AH61" i="75"/>
  <c r="AG61" i="75"/>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BJ59" i="75"/>
  <c r="BI59" i="75"/>
  <c r="BH59" i="75"/>
  <c r="BG59" i="75"/>
  <c r="BJ58" i="75"/>
  <c r="BI58" i="75"/>
  <c r="BH58" i="75"/>
  <c r="BG58" i="75"/>
  <c r="BJ57" i="75"/>
  <c r="BI57" i="75"/>
  <c r="BH57" i="75"/>
  <c r="BG57" i="75"/>
  <c r="BJ56" i="75"/>
  <c r="BI56" i="75"/>
  <c r="BH56" i="75"/>
  <c r="BG56" i="75"/>
  <c r="BJ55" i="75"/>
  <c r="BI55" i="75"/>
  <c r="BH55" i="75"/>
  <c r="BG55" i="75"/>
  <c r="BJ54" i="75"/>
  <c r="BI54" i="75"/>
  <c r="BH54" i="75"/>
  <c r="BG54" i="75"/>
  <c r="BF53" i="75"/>
  <c r="BE53" i="75"/>
  <c r="BD53" i="75"/>
  <c r="BC53" i="75"/>
  <c r="BB53" i="75"/>
  <c r="BA53" i="75"/>
  <c r="AZ53" i="75"/>
  <c r="AY53" i="75"/>
  <c r="AX53" i="75"/>
  <c r="AW53" i="75"/>
  <c r="AV53" i="75"/>
  <c r="AU53" i="75"/>
  <c r="AT53" i="75"/>
  <c r="AS53" i="75"/>
  <c r="AR53" i="75"/>
  <c r="AQ53" i="75"/>
  <c r="AP53" i="75"/>
  <c r="AO53" i="75"/>
  <c r="AN53" i="75"/>
  <c r="AM53" i="75"/>
  <c r="AL53" i="75"/>
  <c r="AK53" i="75"/>
  <c r="AJ53" i="75"/>
  <c r="AI53" i="75"/>
  <c r="AH53" i="75"/>
  <c r="AG53" i="75"/>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BJ51" i="75"/>
  <c r="BI51" i="75"/>
  <c r="BH51" i="75"/>
  <c r="BG51" i="75"/>
  <c r="BJ50" i="75"/>
  <c r="BI50" i="75"/>
  <c r="BH50" i="75"/>
  <c r="BG50" i="75"/>
  <c r="BJ49" i="75"/>
  <c r="BI49" i="75"/>
  <c r="BH49" i="75"/>
  <c r="BG49" i="75"/>
  <c r="BJ48" i="75"/>
  <c r="BI48" i="75"/>
  <c r="BH48" i="75"/>
  <c r="BG48" i="75"/>
  <c r="BF47" i="75"/>
  <c r="BE47" i="75"/>
  <c r="BD47" i="75"/>
  <c r="BC47" i="75"/>
  <c r="BB47" i="75"/>
  <c r="BA47" i="75"/>
  <c r="AZ47" i="75"/>
  <c r="AY47" i="75"/>
  <c r="AX47" i="75"/>
  <c r="AW47" i="75"/>
  <c r="AV47" i="75"/>
  <c r="AU47" i="75"/>
  <c r="AT47" i="75"/>
  <c r="AS47" i="75"/>
  <c r="AR47" i="75"/>
  <c r="AQ47" i="75"/>
  <c r="AP47" i="75"/>
  <c r="AO47" i="75"/>
  <c r="AN47" i="75"/>
  <c r="AM47" i="75"/>
  <c r="AL47" i="75"/>
  <c r="AK47" i="75"/>
  <c r="AJ47" i="75"/>
  <c r="AI47" i="75"/>
  <c r="AH47" i="75"/>
  <c r="AG47" i="75"/>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F47" i="75"/>
  <c r="BJ45" i="75"/>
  <c r="BI45" i="75"/>
  <c r="BH45" i="75"/>
  <c r="BG45" i="75"/>
  <c r="BJ44" i="75"/>
  <c r="BI44" i="75"/>
  <c r="BH44" i="75"/>
  <c r="BG44" i="75"/>
  <c r="BJ43" i="75"/>
  <c r="BI43" i="75"/>
  <c r="BH43" i="75"/>
  <c r="BG43" i="75"/>
  <c r="BJ42" i="75"/>
  <c r="BI42" i="75"/>
  <c r="BH42" i="75"/>
  <c r="BG42" i="75"/>
  <c r="BJ41" i="75"/>
  <c r="BI41" i="75"/>
  <c r="BH41" i="75"/>
  <c r="BG41" i="75"/>
  <c r="BF40" i="75"/>
  <c r="BE40" i="75"/>
  <c r="BD40" i="75"/>
  <c r="BC40" i="75"/>
  <c r="BB40" i="75"/>
  <c r="BA40" i="75"/>
  <c r="AZ40" i="75"/>
  <c r="AY40" i="75"/>
  <c r="AX40" i="75"/>
  <c r="AW40" i="75"/>
  <c r="AV40" i="75"/>
  <c r="AU40" i="75"/>
  <c r="AT40" i="75"/>
  <c r="AS40" i="75"/>
  <c r="AR40" i="75"/>
  <c r="AQ40" i="75"/>
  <c r="AP40" i="75"/>
  <c r="AO40" i="75"/>
  <c r="AN40" i="75"/>
  <c r="AM40" i="75"/>
  <c r="AL40" i="75"/>
  <c r="AK40" i="75"/>
  <c r="AJ40" i="75"/>
  <c r="AI40" i="75"/>
  <c r="AH40" i="75"/>
  <c r="AG40" i="75"/>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BJ38" i="75"/>
  <c r="BI38" i="75"/>
  <c r="BH38" i="75"/>
  <c r="BG38" i="75"/>
  <c r="BJ37" i="75"/>
  <c r="BI37" i="75"/>
  <c r="BH37" i="75"/>
  <c r="BG37" i="75"/>
  <c r="BJ36" i="75"/>
  <c r="BI36" i="75"/>
  <c r="BH36" i="75"/>
  <c r="BG36" i="75"/>
  <c r="BJ35" i="75"/>
  <c r="BI35" i="75"/>
  <c r="BH35" i="75"/>
  <c r="BG35" i="75"/>
  <c r="BJ34" i="75"/>
  <c r="BI34" i="75"/>
  <c r="BH34" i="75"/>
  <c r="BG34" i="75"/>
  <c r="BJ33" i="75"/>
  <c r="BI33" i="75"/>
  <c r="BH33" i="75"/>
  <c r="BG33" i="75"/>
  <c r="BJ32" i="75"/>
  <c r="BI32" i="75"/>
  <c r="BH32" i="75"/>
  <c r="BG32" i="75"/>
  <c r="BJ31" i="75"/>
  <c r="BI31" i="75"/>
  <c r="BH31" i="75"/>
  <c r="BG31" i="75"/>
  <c r="BF30" i="75"/>
  <c r="BE30" i="75"/>
  <c r="BD30" i="75"/>
  <c r="BC30" i="75"/>
  <c r="BB30" i="75"/>
  <c r="BA30" i="75"/>
  <c r="AZ30" i="75"/>
  <c r="AY30" i="75"/>
  <c r="AX30" i="75"/>
  <c r="AW30" i="75"/>
  <c r="AV30" i="75"/>
  <c r="AU30" i="75"/>
  <c r="AT30" i="75"/>
  <c r="AS30" i="75"/>
  <c r="AR30" i="75"/>
  <c r="AQ30" i="75"/>
  <c r="AP30" i="75"/>
  <c r="AO30" i="75"/>
  <c r="AN30" i="75"/>
  <c r="AM30" i="75"/>
  <c r="AL30" i="75"/>
  <c r="AK30" i="75"/>
  <c r="AJ30" i="75"/>
  <c r="AI30" i="75"/>
  <c r="AH30" i="75"/>
  <c r="AG30" i="75"/>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BJ28" i="75"/>
  <c r="BI28" i="75"/>
  <c r="BH28" i="75"/>
  <c r="BG28" i="75"/>
  <c r="BJ27" i="75"/>
  <c r="BI27" i="75"/>
  <c r="BH27" i="75"/>
  <c r="BG27" i="75"/>
  <c r="BJ26" i="75"/>
  <c r="BI26" i="75"/>
  <c r="BH26" i="75"/>
  <c r="BG26" i="75"/>
  <c r="BJ25" i="75"/>
  <c r="BI25" i="75"/>
  <c r="BH25" i="75"/>
  <c r="BG25" i="75"/>
  <c r="BF24" i="75"/>
  <c r="BE24" i="75"/>
  <c r="BD24" i="75"/>
  <c r="BC24" i="75"/>
  <c r="BB24" i="75"/>
  <c r="BA24" i="75"/>
  <c r="AZ24" i="75"/>
  <c r="AY24" i="75"/>
  <c r="AX24" i="75"/>
  <c r="AW24" i="75"/>
  <c r="AV24" i="75"/>
  <c r="AU24" i="75"/>
  <c r="AT24" i="75"/>
  <c r="AS24" i="75"/>
  <c r="AR24" i="75"/>
  <c r="AQ24" i="75"/>
  <c r="AP24" i="75"/>
  <c r="AO24" i="75"/>
  <c r="AN24" i="75"/>
  <c r="AM24" i="75"/>
  <c r="AL24" i="75"/>
  <c r="AK24" i="75"/>
  <c r="AJ24" i="75"/>
  <c r="AI24" i="75"/>
  <c r="AH24" i="75"/>
  <c r="AG24" i="75"/>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BJ22" i="75"/>
  <c r="BI22" i="75"/>
  <c r="BH22" i="75"/>
  <c r="BG22" i="75"/>
  <c r="BJ21" i="75"/>
  <c r="BI21" i="75"/>
  <c r="BH21" i="75"/>
  <c r="BG21" i="75"/>
  <c r="BJ20" i="75"/>
  <c r="BI20" i="75"/>
  <c r="BH20" i="75"/>
  <c r="BG20" i="75"/>
  <c r="BJ19" i="75"/>
  <c r="BI19" i="75"/>
  <c r="BH19" i="75"/>
  <c r="BG19" i="75"/>
  <c r="BJ18" i="75"/>
  <c r="BI18" i="75"/>
  <c r="BH18" i="75"/>
  <c r="BG18" i="75"/>
  <c r="BJ17" i="75"/>
  <c r="BI17" i="75"/>
  <c r="BH17" i="75"/>
  <c r="BG17" i="75"/>
  <c r="BJ16" i="75"/>
  <c r="BI16" i="75"/>
  <c r="BH16" i="75"/>
  <c r="BG16" i="75"/>
  <c r="BJ15" i="75"/>
  <c r="BI15" i="75"/>
  <c r="BH15" i="75"/>
  <c r="BG15" i="75"/>
  <c r="BF14" i="75"/>
  <c r="BE14" i="75"/>
  <c r="BD14" i="75"/>
  <c r="BC14" i="75"/>
  <c r="BB14" i="75"/>
  <c r="BA14" i="75"/>
  <c r="AZ14" i="75"/>
  <c r="AY14" i="75"/>
  <c r="AX14" i="75"/>
  <c r="AW14" i="75"/>
  <c r="AV14" i="75"/>
  <c r="AU14" i="75"/>
  <c r="AT14" i="75"/>
  <c r="AS14" i="75"/>
  <c r="AR14" i="75"/>
  <c r="AQ14" i="75"/>
  <c r="AP14" i="75"/>
  <c r="AO14" i="75"/>
  <c r="AN14" i="75"/>
  <c r="AM14" i="75"/>
  <c r="AL14" i="75"/>
  <c r="AK14" i="75"/>
  <c r="AJ14" i="75"/>
  <c r="AI14" i="75"/>
  <c r="AH14" i="75"/>
  <c r="AG14" i="75"/>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BJ12" i="75"/>
  <c r="BI12" i="75"/>
  <c r="BH12" i="75"/>
  <c r="BG12" i="75"/>
  <c r="BJ11" i="75"/>
  <c r="BI11" i="75"/>
  <c r="BH11" i="75"/>
  <c r="BG11" i="75"/>
  <c r="BJ10" i="75"/>
  <c r="BI10" i="75"/>
  <c r="BH10" i="75"/>
  <c r="BG10" i="75"/>
  <c r="BJ9" i="75"/>
  <c r="BI9" i="75"/>
  <c r="BH9" i="75"/>
  <c r="BG9" i="75"/>
  <c r="BJ8" i="75"/>
  <c r="BI8" i="75"/>
  <c r="BH8" i="75"/>
  <c r="BG8" i="75"/>
  <c r="BJ7" i="75"/>
  <c r="BI7" i="75"/>
  <c r="BH7" i="75"/>
  <c r="BG7" i="75"/>
  <c r="BF6" i="75"/>
  <c r="BE6" i="75"/>
  <c r="BD6" i="75"/>
  <c r="BC6" i="75"/>
  <c r="BB6" i="75"/>
  <c r="BA6" i="75"/>
  <c r="AZ6" i="75"/>
  <c r="AY6" i="75"/>
  <c r="AX6" i="75"/>
  <c r="AW6" i="75"/>
  <c r="AV6" i="75"/>
  <c r="AU6" i="75"/>
  <c r="AT6" i="75"/>
  <c r="AS6" i="75"/>
  <c r="AR6" i="75"/>
  <c r="AQ6" i="75"/>
  <c r="AP6" i="75"/>
  <c r="AO6" i="75"/>
  <c r="AN6" i="75"/>
  <c r="AM6" i="75"/>
  <c r="AL6" i="75"/>
  <c r="AK6" i="75"/>
  <c r="AJ6" i="75"/>
  <c r="AI6" i="75"/>
  <c r="AH6" i="75"/>
  <c r="AG6" i="75"/>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BJ2" i="75"/>
  <c r="BI2" i="75"/>
  <c r="BH2" i="75"/>
  <c r="BG2" i="75"/>
  <c r="C14" i="72"/>
  <c r="C13" i="72"/>
  <c r="C12" i="72"/>
  <c r="C11" i="72"/>
  <c r="C10" i="72"/>
  <c r="E159" i="70"/>
  <c r="E158" i="70"/>
  <c r="E152" i="70"/>
  <c r="E151" i="70"/>
  <c r="E150" i="70"/>
  <c r="E149" i="70"/>
  <c r="E148" i="70"/>
  <c r="E147" i="70"/>
  <c r="E146" i="70"/>
  <c r="E145" i="70"/>
  <c r="E142" i="70"/>
  <c r="E141" i="70"/>
  <c r="E140" i="70"/>
  <c r="E139" i="70"/>
  <c r="E138" i="70"/>
  <c r="E137" i="70"/>
  <c r="E136" i="70"/>
  <c r="E133" i="70"/>
  <c r="E132" i="70" s="1"/>
  <c r="E130" i="70"/>
  <c r="E129" i="70"/>
  <c r="E128" i="70"/>
  <c r="E127" i="70"/>
  <c r="E126" i="70"/>
  <c r="E123" i="70"/>
  <c r="E122" i="70"/>
  <c r="E119" i="70"/>
  <c r="E118" i="70"/>
  <c r="E117" i="70"/>
  <c r="E116" i="70"/>
  <c r="E115" i="70"/>
  <c r="E114" i="70"/>
  <c r="E113" i="70"/>
  <c r="E112" i="70"/>
  <c r="E111" i="70"/>
  <c r="E110" i="70"/>
  <c r="E107" i="70"/>
  <c r="E106" i="70"/>
  <c r="E105" i="70"/>
  <c r="E104" i="70"/>
  <c r="E101" i="70"/>
  <c r="E100" i="70"/>
  <c r="E99" i="70"/>
  <c r="E98" i="70"/>
  <c r="E97" i="70"/>
  <c r="E96" i="70"/>
  <c r="E95" i="70"/>
  <c r="E94" i="70"/>
  <c r="E93" i="70"/>
  <c r="E90" i="70"/>
  <c r="E89" i="70"/>
  <c r="E88" i="70"/>
  <c r="E87" i="70"/>
  <c r="E84" i="70"/>
  <c r="E83" i="70"/>
  <c r="E82" i="70"/>
  <c r="E81" i="70"/>
  <c r="E76" i="70"/>
  <c r="E75" i="70"/>
  <c r="E74" i="70"/>
  <c r="E73" i="70"/>
  <c r="E72" i="70"/>
  <c r="E71" i="70"/>
  <c r="E70" i="70"/>
  <c r="E69" i="70"/>
  <c r="E66" i="70"/>
  <c r="E65" i="70"/>
  <c r="E64" i="70"/>
  <c r="E63" i="70"/>
  <c r="E62" i="70"/>
  <c r="E61" i="70"/>
  <c r="E58" i="70"/>
  <c r="E57" i="70" s="1"/>
  <c r="E55" i="70"/>
  <c r="E54" i="70"/>
  <c r="E53" i="70"/>
  <c r="E52" i="70"/>
  <c r="E51" i="70"/>
  <c r="E50" i="70"/>
  <c r="E49" i="70"/>
  <c r="E48" i="70"/>
  <c r="E45" i="70"/>
  <c r="E44" i="70"/>
  <c r="E41" i="70"/>
  <c r="E40" i="70"/>
  <c r="E39" i="70"/>
  <c r="E38" i="70"/>
  <c r="E37" i="70"/>
  <c r="E36" i="70"/>
  <c r="E33" i="70"/>
  <c r="E32" i="70"/>
  <c r="E29" i="70"/>
  <c r="E28" i="70"/>
  <c r="E27" i="70"/>
  <c r="E26" i="70"/>
  <c r="E25" i="70"/>
  <c r="E24" i="70"/>
  <c r="E23" i="70"/>
  <c r="E22" i="70"/>
  <c r="E21" i="70"/>
  <c r="E20" i="70"/>
  <c r="E17" i="70"/>
  <c r="E16" i="70"/>
  <c r="E15" i="70"/>
  <c r="E14" i="70"/>
  <c r="E13" i="70"/>
  <c r="E12" i="70"/>
  <c r="E11" i="70"/>
  <c r="E10" i="70"/>
  <c r="BI159" i="69"/>
  <c r="BH159" i="69"/>
  <c r="BG159" i="69"/>
  <c r="BF159" i="69"/>
  <c r="BE157" i="69"/>
  <c r="BD157" i="69"/>
  <c r="BC157" i="69"/>
  <c r="BB157" i="69"/>
  <c r="BA157" i="69"/>
  <c r="AZ157" i="69"/>
  <c r="AY157" i="69"/>
  <c r="AX157" i="69"/>
  <c r="AW157" i="69"/>
  <c r="AV157" i="69"/>
  <c r="AU157" i="69"/>
  <c r="AT157" i="69"/>
  <c r="AS157" i="69"/>
  <c r="AR157" i="69"/>
  <c r="AQ157" i="69"/>
  <c r="AP157" i="69"/>
  <c r="AO157" i="69"/>
  <c r="AN157" i="69"/>
  <c r="AM157" i="69"/>
  <c r="AL157" i="69"/>
  <c r="AK157" i="69"/>
  <c r="AJ157" i="69"/>
  <c r="AI157" i="69"/>
  <c r="AH157" i="69"/>
  <c r="AG157" i="69"/>
  <c r="AF157"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BI155" i="69"/>
  <c r="BH155" i="69"/>
  <c r="BG155" i="69"/>
  <c r="BF155" i="69"/>
  <c r="BI154" i="69"/>
  <c r="BI157" i="69" s="1"/>
  <c r="BH154" i="69"/>
  <c r="BH157" i="69" s="1"/>
  <c r="BG154" i="69"/>
  <c r="BG157" i="69" s="1"/>
  <c r="BF154" i="69"/>
  <c r="BF157" i="69" s="1"/>
  <c r="BI153" i="69"/>
  <c r="BH153" i="69"/>
  <c r="BG153" i="69"/>
  <c r="BF153" i="69"/>
  <c r="BE153" i="69"/>
  <c r="BD153" i="69"/>
  <c r="BC153" i="69"/>
  <c r="BB153" i="69"/>
  <c r="BA153" i="69"/>
  <c r="AZ153" i="69"/>
  <c r="AY153" i="69"/>
  <c r="AX153" i="69"/>
  <c r="AW153" i="69"/>
  <c r="AV153" i="69"/>
  <c r="AU153" i="69"/>
  <c r="AT153" i="69"/>
  <c r="AS153" i="69"/>
  <c r="AR153" i="69"/>
  <c r="AQ153" i="69"/>
  <c r="AP153" i="69"/>
  <c r="AO153" i="69"/>
  <c r="AN153" i="69"/>
  <c r="AM153" i="69"/>
  <c r="AL153" i="69"/>
  <c r="AK153" i="69"/>
  <c r="AJ153" i="69"/>
  <c r="AI153" i="69"/>
  <c r="AH153" i="69"/>
  <c r="AG153" i="69"/>
  <c r="AF153" i="69"/>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BI151" i="69"/>
  <c r="BH151" i="69"/>
  <c r="BG151" i="69"/>
  <c r="BF151" i="69"/>
  <c r="BI148" i="69"/>
  <c r="BH148" i="69"/>
  <c r="BG148" i="69"/>
  <c r="BF148" i="69"/>
  <c r="BI147" i="69"/>
  <c r="BH147" i="69"/>
  <c r="BG147" i="69"/>
  <c r="BF147" i="69"/>
  <c r="BI146" i="69"/>
  <c r="BH146" i="69"/>
  <c r="BG146" i="69"/>
  <c r="BF146" i="69"/>
  <c r="BI145" i="69"/>
  <c r="BH145" i="69"/>
  <c r="BG145" i="69"/>
  <c r="BF145" i="69"/>
  <c r="BI144" i="69"/>
  <c r="BH144" i="69"/>
  <c r="BG144" i="69"/>
  <c r="BF144" i="69"/>
  <c r="BI143" i="69"/>
  <c r="BH143" i="69"/>
  <c r="BG143" i="69"/>
  <c r="BF143" i="69"/>
  <c r="BI142" i="69"/>
  <c r="BH142" i="69"/>
  <c r="BG142" i="69"/>
  <c r="BF142" i="69"/>
  <c r="BI141" i="69"/>
  <c r="BH141" i="69"/>
  <c r="BG141" i="69"/>
  <c r="BF141" i="69"/>
  <c r="BI140" i="69"/>
  <c r="BH140" i="69"/>
  <c r="BG140" i="69"/>
  <c r="BF140" i="69"/>
  <c r="BE140" i="69"/>
  <c r="BD140" i="69"/>
  <c r="BC140" i="69"/>
  <c r="BB140" i="69"/>
  <c r="BA140" i="69"/>
  <c r="AZ140" i="69"/>
  <c r="AY140" i="69"/>
  <c r="AX140" i="69"/>
  <c r="AW140" i="69"/>
  <c r="AV140" i="69"/>
  <c r="AU140" i="69"/>
  <c r="AT140" i="69"/>
  <c r="AS140" i="69"/>
  <c r="AR140" i="69"/>
  <c r="AQ140" i="69"/>
  <c r="AP140" i="69"/>
  <c r="AO140" i="69"/>
  <c r="AN140" i="69"/>
  <c r="AM140" i="69"/>
  <c r="AL140" i="69"/>
  <c r="AK140" i="69"/>
  <c r="AJ140" i="69"/>
  <c r="AI140" i="69"/>
  <c r="AH140" i="69"/>
  <c r="AG140" i="69"/>
  <c r="AF140" i="69"/>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BI138" i="69"/>
  <c r="BH138" i="69"/>
  <c r="BG138" i="69"/>
  <c r="BF138" i="69"/>
  <c r="BI137" i="69"/>
  <c r="BH137" i="69"/>
  <c r="BG137" i="69"/>
  <c r="BF137" i="69"/>
  <c r="BI136" i="69"/>
  <c r="BH136" i="69"/>
  <c r="BG136" i="69"/>
  <c r="BF136" i="69"/>
  <c r="BI135" i="69"/>
  <c r="BH135" i="69"/>
  <c r="BG135" i="69"/>
  <c r="BF135" i="69"/>
  <c r="BI134" i="69"/>
  <c r="BH134" i="69"/>
  <c r="BG134" i="69"/>
  <c r="BF134" i="69"/>
  <c r="BI133" i="69"/>
  <c r="BH133" i="69"/>
  <c r="BG133" i="69"/>
  <c r="BF133" i="69"/>
  <c r="BI132" i="69"/>
  <c r="BH132" i="69"/>
  <c r="BG132" i="69"/>
  <c r="BF132" i="69"/>
  <c r="BI131" i="69"/>
  <c r="BH131" i="69"/>
  <c r="BG131" i="69"/>
  <c r="BF131" i="69"/>
  <c r="BE131" i="69"/>
  <c r="BD131" i="69"/>
  <c r="BC131" i="69"/>
  <c r="BB131" i="69"/>
  <c r="BA131" i="69"/>
  <c r="AZ131" i="69"/>
  <c r="AY131" i="69"/>
  <c r="AX131" i="69"/>
  <c r="AW131" i="69"/>
  <c r="AV131" i="69"/>
  <c r="AU131" i="69"/>
  <c r="AT131" i="69"/>
  <c r="AS131" i="69"/>
  <c r="AR131" i="69"/>
  <c r="AQ131" i="69"/>
  <c r="AP131" i="69"/>
  <c r="AO131" i="69"/>
  <c r="AN131" i="69"/>
  <c r="AM131" i="69"/>
  <c r="AL131" i="69"/>
  <c r="AK131" i="69"/>
  <c r="AJ131" i="69"/>
  <c r="AI131" i="69"/>
  <c r="AH131" i="69"/>
  <c r="AG131" i="69"/>
  <c r="AF131" i="69"/>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BI129" i="69"/>
  <c r="BH129" i="69"/>
  <c r="BG129" i="69"/>
  <c r="BF129" i="69"/>
  <c r="BF128" i="69" s="1"/>
  <c r="BI128" i="69"/>
  <c r="BH128" i="69"/>
  <c r="BG128" i="69"/>
  <c r="BE128" i="69"/>
  <c r="BD128" i="69"/>
  <c r="BC128" i="69"/>
  <c r="BB128" i="69"/>
  <c r="BA128" i="69"/>
  <c r="AZ128" i="69"/>
  <c r="AY128" i="69"/>
  <c r="AX128" i="69"/>
  <c r="AW128" i="69"/>
  <c r="AV128" i="69"/>
  <c r="AU128" i="69"/>
  <c r="AT128" i="69"/>
  <c r="AS128" i="69"/>
  <c r="AR128" i="69"/>
  <c r="AQ128" i="69"/>
  <c r="AP128" i="69"/>
  <c r="AO128" i="69"/>
  <c r="AN128" i="69"/>
  <c r="AM128" i="69"/>
  <c r="AL128" i="69"/>
  <c r="AK128" i="69"/>
  <c r="AJ128" i="69"/>
  <c r="AI128" i="69"/>
  <c r="AH128" i="69"/>
  <c r="AG128" i="69"/>
  <c r="AF128"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BI126" i="69"/>
  <c r="BH126" i="69"/>
  <c r="BG126" i="69"/>
  <c r="BF126" i="69"/>
  <c r="BI125" i="69"/>
  <c r="BH125" i="69"/>
  <c r="BG125" i="69"/>
  <c r="BF125" i="69"/>
  <c r="BI124" i="69"/>
  <c r="BH124" i="69"/>
  <c r="BG124" i="69"/>
  <c r="BF124" i="69"/>
  <c r="BI123" i="69"/>
  <c r="BH123" i="69"/>
  <c r="BG123" i="69"/>
  <c r="BF123" i="69"/>
  <c r="BI122" i="69"/>
  <c r="BH122" i="69"/>
  <c r="BG122" i="69"/>
  <c r="BF122" i="69"/>
  <c r="BI121" i="69"/>
  <c r="BH121" i="69"/>
  <c r="BG121" i="69"/>
  <c r="BF121" i="69"/>
  <c r="BE121" i="69"/>
  <c r="BD121" i="69"/>
  <c r="BC121" i="69"/>
  <c r="BB121" i="69"/>
  <c r="BA121" i="69"/>
  <c r="AZ121" i="69"/>
  <c r="AY121" i="69"/>
  <c r="AX121" i="69"/>
  <c r="AW121" i="69"/>
  <c r="AV121" i="69"/>
  <c r="AU121" i="69"/>
  <c r="AT121" i="69"/>
  <c r="AS121" i="69"/>
  <c r="AR121" i="69"/>
  <c r="AQ121" i="69"/>
  <c r="AP121" i="69"/>
  <c r="AO121" i="69"/>
  <c r="AN121" i="69"/>
  <c r="AM121" i="69"/>
  <c r="AL121" i="69"/>
  <c r="AK121" i="69"/>
  <c r="AJ121" i="69"/>
  <c r="AI121" i="69"/>
  <c r="AH121" i="69"/>
  <c r="AG121" i="69"/>
  <c r="AF121" i="69"/>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BI119" i="69"/>
  <c r="BH119" i="69"/>
  <c r="BG119" i="69"/>
  <c r="BF119" i="69"/>
  <c r="BI118" i="69"/>
  <c r="BH118" i="69"/>
  <c r="BG118" i="69"/>
  <c r="BF118" i="69"/>
  <c r="BI117" i="69"/>
  <c r="BH117" i="69"/>
  <c r="BG117" i="69"/>
  <c r="BF117" i="69"/>
  <c r="BE117" i="69"/>
  <c r="BD117" i="69"/>
  <c r="BC117" i="69"/>
  <c r="BB117" i="69"/>
  <c r="BA117" i="69"/>
  <c r="AZ117" i="69"/>
  <c r="AY117" i="69"/>
  <c r="AX117" i="69"/>
  <c r="AW117" i="69"/>
  <c r="AV117" i="69"/>
  <c r="AU117" i="69"/>
  <c r="AT117" i="69"/>
  <c r="AS117" i="69"/>
  <c r="AR117" i="69"/>
  <c r="AQ117" i="69"/>
  <c r="AP117" i="69"/>
  <c r="AO117" i="69"/>
  <c r="AN117" i="69"/>
  <c r="AM117" i="69"/>
  <c r="AL117" i="69"/>
  <c r="AK117" i="69"/>
  <c r="AJ117" i="69"/>
  <c r="AI117" i="69"/>
  <c r="AH117" i="69"/>
  <c r="AG117" i="69"/>
  <c r="AF117" i="69"/>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BI115" i="69"/>
  <c r="BH115" i="69"/>
  <c r="BG115" i="69"/>
  <c r="BF115" i="69"/>
  <c r="BI114" i="69"/>
  <c r="BH114" i="69"/>
  <c r="BG114" i="69"/>
  <c r="BF114" i="69"/>
  <c r="BI113" i="69"/>
  <c r="BH113" i="69"/>
  <c r="BG113" i="69"/>
  <c r="BF113" i="69"/>
  <c r="BI112" i="69"/>
  <c r="BH112" i="69"/>
  <c r="BG112" i="69"/>
  <c r="BF112" i="69"/>
  <c r="BI111" i="69"/>
  <c r="BH111" i="69"/>
  <c r="BG111" i="69"/>
  <c r="BF111" i="69"/>
  <c r="BI110" i="69"/>
  <c r="BH110" i="69"/>
  <c r="BG110" i="69"/>
  <c r="BF110" i="69"/>
  <c r="BI109" i="69"/>
  <c r="BH109" i="69"/>
  <c r="BG109" i="69"/>
  <c r="BF109" i="69"/>
  <c r="BI108" i="69"/>
  <c r="BH108" i="69"/>
  <c r="BG108" i="69"/>
  <c r="BF108" i="69"/>
  <c r="BI107" i="69"/>
  <c r="BH107" i="69"/>
  <c r="BG107" i="69"/>
  <c r="BF107" i="69"/>
  <c r="BI106" i="69"/>
  <c r="BH106" i="69"/>
  <c r="BG106" i="69"/>
  <c r="BF106" i="69"/>
  <c r="BI105" i="69"/>
  <c r="BH105" i="69"/>
  <c r="BG105" i="69"/>
  <c r="BF105" i="69"/>
  <c r="BE105" i="69"/>
  <c r="BD105" i="69"/>
  <c r="BC105" i="69"/>
  <c r="BB105" i="69"/>
  <c r="BA105" i="69"/>
  <c r="AZ105" i="69"/>
  <c r="AY105" i="69"/>
  <c r="AX105" i="69"/>
  <c r="AW105" i="69"/>
  <c r="AV105" i="69"/>
  <c r="AU105" i="69"/>
  <c r="AT105" i="69"/>
  <c r="AS105" i="69"/>
  <c r="AR105" i="69"/>
  <c r="AQ105" i="69"/>
  <c r="AP105" i="69"/>
  <c r="AO105" i="69"/>
  <c r="AN105" i="69"/>
  <c r="AM105" i="69"/>
  <c r="AL105" i="69"/>
  <c r="AK105" i="69"/>
  <c r="AJ105" i="69"/>
  <c r="AI105" i="69"/>
  <c r="AH105" i="69"/>
  <c r="AG105" i="69"/>
  <c r="AF105" i="69"/>
  <c r="AE105" i="69"/>
  <c r="AD105" i="69"/>
  <c r="AC105" i="69"/>
  <c r="AB105" i="69"/>
  <c r="AA105" i="69"/>
  <c r="Z105" i="69"/>
  <c r="Y105" i="69"/>
  <c r="X105" i="69"/>
  <c r="W105" i="69"/>
  <c r="V105" i="69"/>
  <c r="U105" i="69"/>
  <c r="T105" i="69"/>
  <c r="S105" i="69"/>
  <c r="R105" i="69"/>
  <c r="Q105" i="69"/>
  <c r="P105" i="69"/>
  <c r="O105" i="69"/>
  <c r="N105" i="69"/>
  <c r="M105" i="69"/>
  <c r="L105" i="69"/>
  <c r="K105" i="69"/>
  <c r="J105" i="69"/>
  <c r="I105" i="69"/>
  <c r="H105" i="69"/>
  <c r="G105" i="69"/>
  <c r="F105" i="69"/>
  <c r="E105" i="69"/>
  <c r="BI103" i="69"/>
  <c r="BH103" i="69"/>
  <c r="BG103" i="69"/>
  <c r="BF103" i="69"/>
  <c r="BI102" i="69"/>
  <c r="BH102" i="69"/>
  <c r="BG102" i="69"/>
  <c r="BF102" i="69"/>
  <c r="BI101" i="69"/>
  <c r="BH101" i="69"/>
  <c r="BG101" i="69"/>
  <c r="BF101" i="69"/>
  <c r="BI100" i="69"/>
  <c r="BH100" i="69"/>
  <c r="BG100" i="69"/>
  <c r="BF100" i="69"/>
  <c r="BI99" i="69"/>
  <c r="BH99" i="69"/>
  <c r="BG99" i="69"/>
  <c r="BF99" i="69"/>
  <c r="BE99" i="69"/>
  <c r="BD99" i="69"/>
  <c r="BC99" i="69"/>
  <c r="BB99" i="69"/>
  <c r="BA99" i="69"/>
  <c r="AZ99" i="69"/>
  <c r="AY99" i="69"/>
  <c r="AX99" i="69"/>
  <c r="AW99" i="69"/>
  <c r="AV99" i="69"/>
  <c r="AU99" i="69"/>
  <c r="AT99" i="69"/>
  <c r="AS99" i="69"/>
  <c r="AR99" i="69"/>
  <c r="AQ99" i="69"/>
  <c r="AP99" i="69"/>
  <c r="AO99" i="69"/>
  <c r="AN99" i="69"/>
  <c r="AM99" i="69"/>
  <c r="AL99" i="69"/>
  <c r="AK99" i="69"/>
  <c r="AJ99" i="69"/>
  <c r="AI99" i="69"/>
  <c r="AH99" i="69"/>
  <c r="AG99" i="69"/>
  <c r="AF99" i="69"/>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BI97" i="69"/>
  <c r="BH97" i="69"/>
  <c r="BG97" i="69"/>
  <c r="BF97" i="69"/>
  <c r="BI96" i="69"/>
  <c r="BH96" i="69"/>
  <c r="BG96" i="69"/>
  <c r="BF96" i="69"/>
  <c r="BI95" i="69"/>
  <c r="BH95" i="69"/>
  <c r="BG95" i="69"/>
  <c r="BF95" i="69"/>
  <c r="BI94" i="69"/>
  <c r="BH94" i="69"/>
  <c r="BG94" i="69"/>
  <c r="BF94" i="69"/>
  <c r="BI93" i="69"/>
  <c r="BH93" i="69"/>
  <c r="BG93" i="69"/>
  <c r="BF93" i="69"/>
  <c r="BI92" i="69"/>
  <c r="BH92" i="69"/>
  <c r="BG92" i="69"/>
  <c r="BF92" i="69"/>
  <c r="BI91" i="69"/>
  <c r="BH91" i="69"/>
  <c r="BG91" i="69"/>
  <c r="BF91" i="69"/>
  <c r="BI90" i="69"/>
  <c r="BH90" i="69"/>
  <c r="BG90" i="69"/>
  <c r="BF90" i="69"/>
  <c r="BI89" i="69"/>
  <c r="BH89" i="69"/>
  <c r="BH88" i="69" s="1"/>
  <c r="BG89" i="69"/>
  <c r="BG88" i="69" s="1"/>
  <c r="BF89" i="69"/>
  <c r="BF88" i="69" s="1"/>
  <c r="BE88" i="69"/>
  <c r="BD88" i="69"/>
  <c r="BC88" i="69"/>
  <c r="BB88" i="69"/>
  <c r="BA88" i="69"/>
  <c r="AZ88" i="69"/>
  <c r="AY88" i="69"/>
  <c r="AX88" i="69"/>
  <c r="AW88" i="69"/>
  <c r="AV88" i="69"/>
  <c r="AU88" i="69"/>
  <c r="AT88" i="69"/>
  <c r="AS88" i="69"/>
  <c r="AR88" i="69"/>
  <c r="AQ88" i="69"/>
  <c r="AP88" i="69"/>
  <c r="AO88" i="69"/>
  <c r="AN88" i="69"/>
  <c r="AM88" i="69"/>
  <c r="AL88" i="69"/>
  <c r="AK88" i="69"/>
  <c r="AJ88" i="69"/>
  <c r="AI88" i="69"/>
  <c r="AH88" i="69"/>
  <c r="AG88" i="69"/>
  <c r="AF88" i="69"/>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BI86" i="69"/>
  <c r="BH86" i="69"/>
  <c r="BG86" i="69"/>
  <c r="BF86" i="69"/>
  <c r="BI85" i="69"/>
  <c r="BH85" i="69"/>
  <c r="BG85" i="69"/>
  <c r="BF85" i="69"/>
  <c r="BI84" i="69"/>
  <c r="BH84" i="69"/>
  <c r="BG84" i="69"/>
  <c r="BF84" i="69"/>
  <c r="BI83" i="69"/>
  <c r="BH83" i="69"/>
  <c r="BG83" i="69"/>
  <c r="BF83" i="69"/>
  <c r="BI82" i="69"/>
  <c r="BH82" i="69"/>
  <c r="BG82" i="69"/>
  <c r="BF82" i="69"/>
  <c r="BE82" i="69"/>
  <c r="BD82" i="69"/>
  <c r="BC82" i="69"/>
  <c r="BB82" i="69"/>
  <c r="BA82" i="69"/>
  <c r="AZ82" i="69"/>
  <c r="AY82" i="69"/>
  <c r="AX82" i="69"/>
  <c r="AW82" i="69"/>
  <c r="AV82" i="69"/>
  <c r="AU82" i="69"/>
  <c r="AT82" i="69"/>
  <c r="AS82" i="69"/>
  <c r="AR82" i="69"/>
  <c r="AQ82" i="69"/>
  <c r="AP82" i="69"/>
  <c r="AO82" i="69"/>
  <c r="AN82" i="69"/>
  <c r="AM82" i="69"/>
  <c r="AL82" i="69"/>
  <c r="AK82" i="69"/>
  <c r="AJ82" i="69"/>
  <c r="AI82" i="69"/>
  <c r="AH82" i="69"/>
  <c r="AG82" i="69"/>
  <c r="AF82" i="69"/>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BI80" i="69"/>
  <c r="BH80" i="69"/>
  <c r="BG80" i="69"/>
  <c r="BF80" i="69"/>
  <c r="BI79" i="69"/>
  <c r="BH79" i="69"/>
  <c r="BG79" i="69"/>
  <c r="BF79" i="69"/>
  <c r="BI78" i="69"/>
  <c r="BH78" i="69"/>
  <c r="BG78" i="69"/>
  <c r="BF78" i="69"/>
  <c r="BI77" i="69"/>
  <c r="BH77" i="69"/>
  <c r="BG77" i="69"/>
  <c r="BF77" i="69"/>
  <c r="BI76" i="69"/>
  <c r="BH76" i="69"/>
  <c r="BG76" i="69"/>
  <c r="BF76" i="69"/>
  <c r="BE76" i="69"/>
  <c r="BD76" i="69"/>
  <c r="BC76" i="69"/>
  <c r="BB76" i="69"/>
  <c r="BA76" i="69"/>
  <c r="AZ76" i="69"/>
  <c r="AY76" i="69"/>
  <c r="AX76" i="69"/>
  <c r="AW76" i="69"/>
  <c r="AV76" i="69"/>
  <c r="AU76" i="69"/>
  <c r="AT76" i="69"/>
  <c r="AS76" i="69"/>
  <c r="AR76" i="69"/>
  <c r="AQ76" i="69"/>
  <c r="AP76" i="69"/>
  <c r="AO76" i="69"/>
  <c r="AN76" i="69"/>
  <c r="AM76" i="69"/>
  <c r="AL76" i="69"/>
  <c r="AK76" i="69"/>
  <c r="AJ76" i="69"/>
  <c r="AI76" i="69"/>
  <c r="AH76" i="69"/>
  <c r="AG76" i="69"/>
  <c r="AF76"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BI73" i="69"/>
  <c r="BH73" i="69"/>
  <c r="BG73" i="69"/>
  <c r="BF73" i="69"/>
  <c r="BI72" i="69"/>
  <c r="BH72" i="69"/>
  <c r="BG72" i="69"/>
  <c r="BF72" i="69"/>
  <c r="BI71" i="69"/>
  <c r="BH71" i="69"/>
  <c r="BG71" i="69"/>
  <c r="BF71" i="69"/>
  <c r="BI70" i="69"/>
  <c r="BH70" i="69"/>
  <c r="BG70" i="69"/>
  <c r="BF70" i="69"/>
  <c r="BI69" i="69"/>
  <c r="BH69" i="69"/>
  <c r="BG69" i="69"/>
  <c r="BF69" i="69"/>
  <c r="BI68" i="69"/>
  <c r="BH68" i="69"/>
  <c r="BG68" i="69"/>
  <c r="BF68" i="69"/>
  <c r="BI67" i="69"/>
  <c r="BH67" i="69"/>
  <c r="BG67" i="69"/>
  <c r="BF67" i="69"/>
  <c r="BI66" i="69"/>
  <c r="BH66" i="69"/>
  <c r="BG66" i="69"/>
  <c r="BF66" i="69"/>
  <c r="BI65" i="69"/>
  <c r="BH65" i="69"/>
  <c r="BG65" i="69"/>
  <c r="BF65" i="69"/>
  <c r="BI64" i="69"/>
  <c r="BH64" i="69"/>
  <c r="BG64" i="69"/>
  <c r="BF64" i="69"/>
  <c r="BE64" i="69"/>
  <c r="BD64" i="69"/>
  <c r="BC64" i="69"/>
  <c r="BB64" i="69"/>
  <c r="BA64" i="69"/>
  <c r="AZ64" i="69"/>
  <c r="AY64" i="69"/>
  <c r="AX64" i="69"/>
  <c r="AW64" i="69"/>
  <c r="AV64" i="69"/>
  <c r="AU64" i="69"/>
  <c r="AT64" i="69"/>
  <c r="AS64" i="69"/>
  <c r="AR64" i="69"/>
  <c r="AQ64" i="69"/>
  <c r="AP64" i="69"/>
  <c r="AO64" i="69"/>
  <c r="AN64" i="69"/>
  <c r="AM64" i="69"/>
  <c r="AL64" i="69"/>
  <c r="AK64" i="69"/>
  <c r="AJ64" i="69"/>
  <c r="AI64" i="69"/>
  <c r="AH64" i="69"/>
  <c r="AG64" i="69"/>
  <c r="AF64" i="69"/>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BI62" i="69"/>
  <c r="BH62" i="69"/>
  <c r="BG62" i="69"/>
  <c r="BF62" i="69"/>
  <c r="BI61" i="69"/>
  <c r="BH61" i="69"/>
  <c r="BG61" i="69"/>
  <c r="BF61" i="69"/>
  <c r="BI60" i="69"/>
  <c r="BH60" i="69"/>
  <c r="BG60" i="69"/>
  <c r="BF60" i="69"/>
  <c r="BI59" i="69"/>
  <c r="BH59" i="69"/>
  <c r="BG59" i="69"/>
  <c r="BF59" i="69"/>
  <c r="BI58" i="69"/>
  <c r="BH58" i="69"/>
  <c r="BG58" i="69"/>
  <c r="BF58" i="69"/>
  <c r="BI57" i="69"/>
  <c r="BH57" i="69"/>
  <c r="BG57" i="69"/>
  <c r="BF57" i="69"/>
  <c r="BI56" i="69"/>
  <c r="BH56" i="69"/>
  <c r="BG56" i="69"/>
  <c r="BF56" i="69"/>
  <c r="BE56" i="69"/>
  <c r="BD56" i="69"/>
  <c r="BC56" i="69"/>
  <c r="BB56" i="69"/>
  <c r="BA56" i="69"/>
  <c r="AZ56" i="69"/>
  <c r="AY56" i="69"/>
  <c r="AX56" i="69"/>
  <c r="AW56" i="69"/>
  <c r="AV56" i="69"/>
  <c r="AU56" i="69"/>
  <c r="AT56" i="69"/>
  <c r="AS56" i="69"/>
  <c r="AR56" i="69"/>
  <c r="AQ56" i="69"/>
  <c r="AP56" i="69"/>
  <c r="AO56" i="69"/>
  <c r="AN56" i="69"/>
  <c r="AM56" i="69"/>
  <c r="AL56" i="69"/>
  <c r="AK56" i="69"/>
  <c r="AJ56" i="69"/>
  <c r="AI56" i="69"/>
  <c r="AH56" i="69"/>
  <c r="AG56" i="69"/>
  <c r="AF56" i="69"/>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BI54" i="69"/>
  <c r="BH54" i="69"/>
  <c r="BG54" i="69"/>
  <c r="BF54" i="69"/>
  <c r="BI53" i="69"/>
  <c r="BH53" i="69"/>
  <c r="BG53" i="69"/>
  <c r="BF53" i="69"/>
  <c r="BE53" i="69"/>
  <c r="BD53" i="69"/>
  <c r="BC53" i="69"/>
  <c r="BB53" i="69"/>
  <c r="BA53" i="69"/>
  <c r="AZ53" i="69"/>
  <c r="AY53" i="69"/>
  <c r="AX53" i="69"/>
  <c r="AW53" i="69"/>
  <c r="AV53" i="69"/>
  <c r="AU53" i="69"/>
  <c r="AT53" i="69"/>
  <c r="AS53" i="69"/>
  <c r="AR53" i="69"/>
  <c r="AQ53" i="69"/>
  <c r="AP53" i="69"/>
  <c r="AO53" i="69"/>
  <c r="AN53" i="69"/>
  <c r="AM53" i="69"/>
  <c r="AL53" i="69"/>
  <c r="AK53" i="69"/>
  <c r="AJ53" i="69"/>
  <c r="AI53" i="69"/>
  <c r="AH53" i="69"/>
  <c r="AG53" i="69"/>
  <c r="AF53"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BI52" i="69"/>
  <c r="BI51" i="69"/>
  <c r="BH51" i="69"/>
  <c r="BG51" i="69"/>
  <c r="BF51" i="69"/>
  <c r="BI50" i="69"/>
  <c r="BH50" i="69"/>
  <c r="BG50" i="69"/>
  <c r="BF50" i="69"/>
  <c r="BI49" i="69"/>
  <c r="BH49" i="69"/>
  <c r="BG49" i="69"/>
  <c r="BF49" i="69"/>
  <c r="BI48" i="69"/>
  <c r="BH48" i="69"/>
  <c r="BG48" i="69"/>
  <c r="BF48" i="69"/>
  <c r="BI47" i="69"/>
  <c r="BH47" i="69"/>
  <c r="BG47" i="69"/>
  <c r="BF47" i="69"/>
  <c r="BI46" i="69"/>
  <c r="BH46" i="69"/>
  <c r="BG46" i="69"/>
  <c r="BF46" i="69"/>
  <c r="BI45" i="69"/>
  <c r="BH45" i="69"/>
  <c r="BG45" i="69"/>
  <c r="BF45" i="69"/>
  <c r="BI44" i="69"/>
  <c r="BH44" i="69"/>
  <c r="BG44" i="69"/>
  <c r="BF44" i="69"/>
  <c r="BI43" i="69"/>
  <c r="BH43" i="69"/>
  <c r="BG43" i="69"/>
  <c r="BF43" i="69"/>
  <c r="BE43" i="69"/>
  <c r="BD43" i="69"/>
  <c r="BC43" i="69"/>
  <c r="BB43" i="69"/>
  <c r="BA43" i="69"/>
  <c r="AZ43" i="69"/>
  <c r="AY43" i="69"/>
  <c r="AX43" i="69"/>
  <c r="AW43" i="69"/>
  <c r="AV43" i="69"/>
  <c r="AU43" i="69"/>
  <c r="AT43" i="69"/>
  <c r="AS43" i="69"/>
  <c r="AR43" i="69"/>
  <c r="AQ43" i="69"/>
  <c r="AP43" i="69"/>
  <c r="AO43" i="69"/>
  <c r="AN43" i="69"/>
  <c r="AM43" i="69"/>
  <c r="AL43" i="69"/>
  <c r="AK43" i="69"/>
  <c r="AJ43" i="69"/>
  <c r="AI43" i="69"/>
  <c r="AH43" i="69"/>
  <c r="AG43" i="69"/>
  <c r="AF43" i="69"/>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BI41" i="69"/>
  <c r="BH41" i="69"/>
  <c r="BG41" i="69"/>
  <c r="BI40" i="69"/>
  <c r="BH40" i="69"/>
  <c r="BG40" i="69"/>
  <c r="BF39" i="69"/>
  <c r="BE39" i="69"/>
  <c r="BD39" i="69"/>
  <c r="BC39" i="69"/>
  <c r="BB39" i="69"/>
  <c r="BA39" i="69"/>
  <c r="AZ39" i="69"/>
  <c r="AY39" i="69"/>
  <c r="AX39" i="69"/>
  <c r="AW39" i="69"/>
  <c r="AV39" i="69"/>
  <c r="AU39" i="69"/>
  <c r="AT39" i="69"/>
  <c r="AS39" i="69"/>
  <c r="AR39" i="69"/>
  <c r="AQ39" i="69"/>
  <c r="AP39" i="69"/>
  <c r="AO39" i="69"/>
  <c r="AN39" i="69"/>
  <c r="AM39" i="69"/>
  <c r="AL39" i="69"/>
  <c r="AK39" i="69"/>
  <c r="AJ39" i="69"/>
  <c r="AI39" i="69"/>
  <c r="AH39" i="69"/>
  <c r="AG39"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BI37" i="69"/>
  <c r="BH37" i="69"/>
  <c r="BG37" i="69"/>
  <c r="BF37" i="69"/>
  <c r="BI36" i="69"/>
  <c r="BH36" i="69"/>
  <c r="BG36" i="69"/>
  <c r="BF36" i="69"/>
  <c r="BI35" i="69"/>
  <c r="BH35" i="69"/>
  <c r="BG35" i="69"/>
  <c r="BF35" i="69"/>
  <c r="BI34" i="69"/>
  <c r="BH34" i="69"/>
  <c r="BG34" i="69"/>
  <c r="BF34" i="69"/>
  <c r="BI33" i="69"/>
  <c r="BH33" i="69"/>
  <c r="BG33" i="69"/>
  <c r="BF33" i="69"/>
  <c r="BI32" i="69"/>
  <c r="BH32" i="69"/>
  <c r="BG32" i="69"/>
  <c r="BF32" i="69"/>
  <c r="BI31" i="69"/>
  <c r="BH31" i="69"/>
  <c r="BG31" i="69"/>
  <c r="BF31" i="69"/>
  <c r="BE31" i="69"/>
  <c r="BD31" i="69"/>
  <c r="BC31" i="69"/>
  <c r="BB31" i="69"/>
  <c r="BA31" i="69"/>
  <c r="AZ31" i="69"/>
  <c r="AY31" i="69"/>
  <c r="AX31" i="69"/>
  <c r="AW31" i="69"/>
  <c r="AV31" i="69"/>
  <c r="AU31" i="69"/>
  <c r="AT31" i="69"/>
  <c r="AS31" i="69"/>
  <c r="AR31" i="69"/>
  <c r="AQ31" i="69"/>
  <c r="AP31" i="69"/>
  <c r="AO31" i="69"/>
  <c r="AN31" i="69"/>
  <c r="AM31" i="69"/>
  <c r="AL31" i="69"/>
  <c r="AK31" i="69"/>
  <c r="AJ31" i="69"/>
  <c r="AI31" i="69"/>
  <c r="AH31" i="69"/>
  <c r="AG31" i="69"/>
  <c r="AF31" i="69"/>
  <c r="AE31" i="69"/>
  <c r="AD31" i="69"/>
  <c r="AC31" i="69"/>
  <c r="AB31" i="69"/>
  <c r="AA31" i="69"/>
  <c r="Z31" i="69"/>
  <c r="Y31" i="69"/>
  <c r="X31" i="69"/>
  <c r="W31" i="69"/>
  <c r="V31" i="69"/>
  <c r="U31" i="69"/>
  <c r="T31" i="69"/>
  <c r="S31" i="69"/>
  <c r="R31" i="69"/>
  <c r="Q31" i="69"/>
  <c r="P31" i="69"/>
  <c r="O31" i="69"/>
  <c r="N31" i="69"/>
  <c r="M31" i="69"/>
  <c r="L31" i="69"/>
  <c r="K31" i="69"/>
  <c r="J31" i="69"/>
  <c r="I31" i="69"/>
  <c r="H31" i="69"/>
  <c r="G31" i="69"/>
  <c r="F31" i="69"/>
  <c r="E31" i="69"/>
  <c r="BI29" i="69"/>
  <c r="BH29" i="69"/>
  <c r="BG29" i="69"/>
  <c r="BF29" i="69"/>
  <c r="BI28" i="69"/>
  <c r="BH28" i="69"/>
  <c r="BG28" i="69"/>
  <c r="BG27" i="69" s="1"/>
  <c r="BF28" i="69"/>
  <c r="BF27" i="69" s="1"/>
  <c r="BI27" i="69"/>
  <c r="BH27" i="69"/>
  <c r="BE27" i="69"/>
  <c r="BD27" i="69"/>
  <c r="BC27" i="69"/>
  <c r="BB27" i="69"/>
  <c r="BA27" i="69"/>
  <c r="AZ27" i="69"/>
  <c r="AY27" i="69"/>
  <c r="AX27" i="69"/>
  <c r="AW27" i="69"/>
  <c r="AV27" i="69"/>
  <c r="AU27" i="69"/>
  <c r="AT27" i="69"/>
  <c r="AS27" i="69"/>
  <c r="AR27" i="69"/>
  <c r="AQ27" i="69"/>
  <c r="AP27" i="69"/>
  <c r="AO27" i="69"/>
  <c r="AN27" i="69"/>
  <c r="AM27" i="69"/>
  <c r="AL27" i="69"/>
  <c r="AK27" i="69"/>
  <c r="AJ27" i="69"/>
  <c r="AI27" i="69"/>
  <c r="AH27" i="69"/>
  <c r="AG27" i="69"/>
  <c r="AF27" i="69"/>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BI25" i="69"/>
  <c r="BH25" i="69"/>
  <c r="BG25" i="69"/>
  <c r="BF25" i="69"/>
  <c r="BI24" i="69"/>
  <c r="BH24" i="69"/>
  <c r="BG24" i="69"/>
  <c r="BF24" i="69"/>
  <c r="BI23" i="69"/>
  <c r="BH23" i="69"/>
  <c r="BG23" i="69"/>
  <c r="BF23" i="69"/>
  <c r="BI22" i="69"/>
  <c r="BH22" i="69"/>
  <c r="BG22" i="69"/>
  <c r="BF22" i="69"/>
  <c r="BI21" i="69"/>
  <c r="BH21" i="69"/>
  <c r="BG21" i="69"/>
  <c r="BF21" i="69"/>
  <c r="BI20" i="69"/>
  <c r="BH20" i="69"/>
  <c r="BG20" i="69"/>
  <c r="BF20" i="69"/>
  <c r="BI19" i="69"/>
  <c r="BH19" i="69"/>
  <c r="BG19" i="69"/>
  <c r="BF19" i="69"/>
  <c r="BI18" i="69"/>
  <c r="BH18" i="69"/>
  <c r="BG18" i="69"/>
  <c r="BF18" i="69"/>
  <c r="BI17" i="69"/>
  <c r="BH17" i="69"/>
  <c r="BG17" i="69"/>
  <c r="BF17" i="69"/>
  <c r="BI16" i="69"/>
  <c r="BH16" i="69"/>
  <c r="BH15" i="69" s="1"/>
  <c r="BG16" i="69"/>
  <c r="BG15" i="69" s="1"/>
  <c r="BF16" i="69"/>
  <c r="BF15" i="69" s="1"/>
  <c r="BI15" i="69"/>
  <c r="BE15" i="69"/>
  <c r="BD15" i="69"/>
  <c r="BC15" i="69"/>
  <c r="BB15" i="69"/>
  <c r="BA15" i="69"/>
  <c r="AZ15" i="69"/>
  <c r="AY15" i="69"/>
  <c r="AX15" i="69"/>
  <c r="AW15" i="69"/>
  <c r="AV15" i="69"/>
  <c r="AU15" i="69"/>
  <c r="AT15" i="69"/>
  <c r="AS15" i="69"/>
  <c r="AR15" i="69"/>
  <c r="AQ15" i="69"/>
  <c r="AP15" i="69"/>
  <c r="AO15" i="69"/>
  <c r="AN15" i="69"/>
  <c r="AM15" i="69"/>
  <c r="AL15" i="69"/>
  <c r="AK15" i="69"/>
  <c r="AJ15" i="69"/>
  <c r="AI15" i="69"/>
  <c r="AH15" i="69"/>
  <c r="AG15" i="69"/>
  <c r="AF15" i="69"/>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BI13" i="69"/>
  <c r="BH13" i="69"/>
  <c r="BG13" i="69"/>
  <c r="BF13" i="69"/>
  <c r="BI12" i="69"/>
  <c r="BH12" i="69"/>
  <c r="BG12" i="69"/>
  <c r="BF12" i="69"/>
  <c r="BI11" i="69"/>
  <c r="BH11" i="69"/>
  <c r="BG11" i="69"/>
  <c r="BF11" i="69"/>
  <c r="BI10" i="69"/>
  <c r="BH10" i="69"/>
  <c r="BG10" i="69"/>
  <c r="BF10" i="69"/>
  <c r="BI9" i="69"/>
  <c r="BH9" i="69"/>
  <c r="BG9" i="69"/>
  <c r="BF9" i="69"/>
  <c r="BI8" i="69"/>
  <c r="BH8" i="69"/>
  <c r="BG8" i="69"/>
  <c r="BF8" i="69"/>
  <c r="BI7" i="69"/>
  <c r="BH7" i="69"/>
  <c r="BG7" i="69"/>
  <c r="BF7" i="69"/>
  <c r="BI6" i="69"/>
  <c r="BI5" i="69" s="1"/>
  <c r="BH6" i="69"/>
  <c r="BH5" i="69" s="1"/>
  <c r="BG6" i="69"/>
  <c r="BG5" i="69" s="1"/>
  <c r="BF6" i="69"/>
  <c r="BF5" i="69" s="1"/>
  <c r="BE5" i="69"/>
  <c r="BD5" i="69"/>
  <c r="BC5" i="69"/>
  <c r="BB5" i="69"/>
  <c r="BA5" i="69"/>
  <c r="AZ5" i="69"/>
  <c r="AY5" i="69"/>
  <c r="AX5" i="69"/>
  <c r="AW5" i="69"/>
  <c r="AV5" i="69"/>
  <c r="AU5" i="69"/>
  <c r="AT5" i="69"/>
  <c r="AS5" i="69"/>
  <c r="AR5" i="69"/>
  <c r="AQ5" i="69"/>
  <c r="AP5" i="69"/>
  <c r="AO5" i="69"/>
  <c r="AN5" i="69"/>
  <c r="AM5" i="69"/>
  <c r="AL5" i="69"/>
  <c r="AK5" i="69"/>
  <c r="AJ5" i="69"/>
  <c r="AI5" i="69"/>
  <c r="AH5" i="69"/>
  <c r="AG5" i="69"/>
  <c r="AF5" i="69"/>
  <c r="AE5" i="69"/>
  <c r="AD5" i="69"/>
  <c r="AC5" i="69"/>
  <c r="AB5" i="69"/>
  <c r="AA5" i="69"/>
  <c r="Z5" i="69"/>
  <c r="Y5" i="69"/>
  <c r="X5" i="69"/>
  <c r="W5" i="69"/>
  <c r="V5" i="69"/>
  <c r="U5" i="69"/>
  <c r="T5" i="69"/>
  <c r="S5" i="69"/>
  <c r="R5" i="69"/>
  <c r="Q5" i="69"/>
  <c r="P5" i="69"/>
  <c r="O5" i="69"/>
  <c r="N5" i="69"/>
  <c r="M5" i="69"/>
  <c r="L5" i="69"/>
  <c r="K5" i="69"/>
  <c r="J5" i="69"/>
  <c r="I5" i="69"/>
  <c r="H5" i="69"/>
  <c r="G5" i="69"/>
  <c r="F5" i="69"/>
  <c r="E5" i="69"/>
  <c r="BI2" i="69"/>
  <c r="BH2" i="69"/>
  <c r="BG2" i="69"/>
  <c r="BF2" i="69"/>
  <c r="AC67" i="75" l="1"/>
  <c r="BI88" i="69"/>
  <c r="BI167" i="69" s="1"/>
  <c r="U4" i="69"/>
  <c r="BB75" i="69"/>
  <c r="F164" i="69"/>
  <c r="J164" i="69"/>
  <c r="L164" i="69"/>
  <c r="N164" i="69"/>
  <c r="R164" i="69"/>
  <c r="T164" i="69"/>
  <c r="V164" i="69"/>
  <c r="Z164" i="69"/>
  <c r="AB164" i="69"/>
  <c r="AD164" i="69"/>
  <c r="AH164" i="69"/>
  <c r="AJ164" i="69"/>
  <c r="AL164" i="69"/>
  <c r="AP164" i="69"/>
  <c r="AR164" i="69"/>
  <c r="AT164" i="69"/>
  <c r="AX164" i="69"/>
  <c r="AZ164" i="69"/>
  <c r="BB164" i="69"/>
  <c r="BF164" i="69"/>
  <c r="BH164" i="69"/>
  <c r="V75" i="69"/>
  <c r="AF5" i="75"/>
  <c r="I67" i="75"/>
  <c r="M67" i="75"/>
  <c r="Q67" i="75"/>
  <c r="U67" i="75"/>
  <c r="Y67" i="75"/>
  <c r="AG67" i="75"/>
  <c r="AK67" i="75"/>
  <c r="AS67" i="75"/>
  <c r="E4" i="69"/>
  <c r="AK4" i="69"/>
  <c r="AW4" i="69"/>
  <c r="BE4" i="69"/>
  <c r="E164" i="69"/>
  <c r="G164" i="69"/>
  <c r="I164" i="69"/>
  <c r="K164" i="69"/>
  <c r="M164" i="69"/>
  <c r="O164" i="69"/>
  <c r="Q164" i="69"/>
  <c r="S164" i="69"/>
  <c r="U164" i="69"/>
  <c r="W164" i="69"/>
  <c r="Y164" i="69"/>
  <c r="AA164" i="69"/>
  <c r="AC164" i="69"/>
  <c r="AE164" i="69"/>
  <c r="AG164" i="69"/>
  <c r="AI164" i="69"/>
  <c r="AK164" i="69"/>
  <c r="AM164" i="69"/>
  <c r="AO164" i="69"/>
  <c r="AQ164" i="69"/>
  <c r="AS164" i="69"/>
  <c r="AU164" i="69"/>
  <c r="AW164" i="69"/>
  <c r="AY164" i="69"/>
  <c r="BA164" i="69"/>
  <c r="S4" i="75"/>
  <c r="AY4" i="75"/>
  <c r="J121" i="75"/>
  <c r="Z121" i="75"/>
  <c r="AP121" i="75"/>
  <c r="BF121" i="75"/>
  <c r="AE120" i="75"/>
  <c r="AO67" i="75"/>
  <c r="AW67" i="75"/>
  <c r="BA67" i="75"/>
  <c r="BE67" i="75"/>
  <c r="F189" i="75"/>
  <c r="H189" i="75"/>
  <c r="J189" i="75"/>
  <c r="L189" i="75"/>
  <c r="N189" i="75"/>
  <c r="P189" i="75"/>
  <c r="R189" i="75"/>
  <c r="T189" i="75"/>
  <c r="V189" i="75"/>
  <c r="X189" i="75"/>
  <c r="Z189" i="75"/>
  <c r="AB189" i="75"/>
  <c r="AD189" i="75"/>
  <c r="AF189" i="75"/>
  <c r="AH189" i="75"/>
  <c r="AJ189" i="75"/>
  <c r="BJ190" i="75"/>
  <c r="AN189" i="75"/>
  <c r="AP189" i="75"/>
  <c r="AR189" i="75"/>
  <c r="AT189" i="75"/>
  <c r="AV189" i="75"/>
  <c r="AX189" i="75"/>
  <c r="AZ189" i="75"/>
  <c r="BB189" i="75"/>
  <c r="BD189" i="75"/>
  <c r="BF189" i="75"/>
  <c r="AY189" i="75"/>
  <c r="BG200" i="75"/>
  <c r="BI200" i="75"/>
  <c r="BJ203" i="75"/>
  <c r="BG212" i="75"/>
  <c r="BI212" i="75"/>
  <c r="BJ215" i="75"/>
  <c r="G223" i="75"/>
  <c r="I223" i="75"/>
  <c r="K223" i="75"/>
  <c r="M223" i="75"/>
  <c r="O223" i="75"/>
  <c r="Q223" i="75"/>
  <c r="S223" i="75"/>
  <c r="U223" i="75"/>
  <c r="W223" i="75"/>
  <c r="Y223" i="75"/>
  <c r="BF5" i="77"/>
  <c r="BD29" i="77"/>
  <c r="BF29" i="77"/>
  <c r="I45" i="77"/>
  <c r="I46" i="77" s="1"/>
  <c r="Q45" i="77"/>
  <c r="Q46" i="77" s="1"/>
  <c r="Y45" i="77"/>
  <c r="AG45" i="77"/>
  <c r="AG46" i="77" s="1"/>
  <c r="AO45" i="77"/>
  <c r="AO46" i="77" s="1"/>
  <c r="AW45" i="77"/>
  <c r="AW46" i="77" s="1"/>
  <c r="F42" i="77"/>
  <c r="H42" i="77"/>
  <c r="H43" i="77" s="1"/>
  <c r="J42" i="77"/>
  <c r="L42" i="77"/>
  <c r="L43" i="77" s="1"/>
  <c r="N42" i="77"/>
  <c r="N43" i="77" s="1"/>
  <c r="P42" i="77"/>
  <c r="P43" i="77" s="1"/>
  <c r="R42" i="77"/>
  <c r="R43" i="77" s="1"/>
  <c r="T42" i="77"/>
  <c r="T43" i="77" s="1"/>
  <c r="V42" i="77"/>
  <c r="X42" i="77"/>
  <c r="X43" i="77" s="1"/>
  <c r="Z42" i="77"/>
  <c r="AB42" i="77"/>
  <c r="AB43" i="77" s="1"/>
  <c r="AD42" i="77"/>
  <c r="AD43" i="77" s="1"/>
  <c r="AF42" i="77"/>
  <c r="AF43" i="77" s="1"/>
  <c r="AH42" i="77"/>
  <c r="AH43" i="77" s="1"/>
  <c r="AJ42" i="77"/>
  <c r="AJ43" i="77" s="1"/>
  <c r="AL42" i="77"/>
  <c r="AN42" i="77"/>
  <c r="AP42" i="77"/>
  <c r="AR42" i="77"/>
  <c r="AR43" i="77" s="1"/>
  <c r="AT42" i="77"/>
  <c r="AT43" i="77" s="1"/>
  <c r="AV42" i="77"/>
  <c r="AV43" i="77" s="1"/>
  <c r="AX42" i="77"/>
  <c r="AX43" i="77" s="1"/>
  <c r="AZ42" i="77"/>
  <c r="AZ43" i="77" s="1"/>
  <c r="BB42" i="77"/>
  <c r="BD37" i="77"/>
  <c r="BF37" i="77"/>
  <c r="F75" i="69"/>
  <c r="N75" i="69"/>
  <c r="AD75" i="69"/>
  <c r="AL75" i="69"/>
  <c r="AT75" i="69"/>
  <c r="H5" i="75"/>
  <c r="P5" i="75"/>
  <c r="X5" i="75"/>
  <c r="AN5" i="75"/>
  <c r="AV5" i="75"/>
  <c r="BD5" i="75"/>
  <c r="K4" i="75"/>
  <c r="AA4" i="75"/>
  <c r="AI4" i="75"/>
  <c r="AQ4" i="75"/>
  <c r="M4" i="69"/>
  <c r="AC4" i="69"/>
  <c r="AS4" i="69"/>
  <c r="BA4" i="69"/>
  <c r="BC164" i="69"/>
  <c r="BE164" i="69"/>
  <c r="BG164" i="69"/>
  <c r="BI164" i="69"/>
  <c r="J75" i="69"/>
  <c r="R75" i="69"/>
  <c r="Z75" i="69"/>
  <c r="AH75" i="69"/>
  <c r="AP75" i="69"/>
  <c r="AX75" i="69"/>
  <c r="BF75" i="69"/>
  <c r="G4" i="75"/>
  <c r="I4" i="75"/>
  <c r="M4" i="75"/>
  <c r="O4" i="75"/>
  <c r="Q4" i="75"/>
  <c r="U4" i="75"/>
  <c r="W4" i="75"/>
  <c r="Y4" i="75"/>
  <c r="AC4" i="75"/>
  <c r="AE4" i="75"/>
  <c r="AE225" i="75" s="1"/>
  <c r="AG4" i="75"/>
  <c r="AK4" i="75"/>
  <c r="AM4" i="75"/>
  <c r="AO4" i="75"/>
  <c r="AS4" i="75"/>
  <c r="AU4" i="75"/>
  <c r="AW4" i="75"/>
  <c r="BA4" i="75"/>
  <c r="BC4" i="75"/>
  <c r="BE4" i="75"/>
  <c r="L5" i="75"/>
  <c r="T5" i="75"/>
  <c r="AB5" i="75"/>
  <c r="AJ5" i="75"/>
  <c r="AR5" i="75"/>
  <c r="AZ5" i="75"/>
  <c r="G121" i="75"/>
  <c r="I121" i="75"/>
  <c r="K121" i="75"/>
  <c r="O121" i="75"/>
  <c r="Q121" i="75"/>
  <c r="U121" i="75"/>
  <c r="W121" i="75"/>
  <c r="Y121" i="75"/>
  <c r="AC121" i="75"/>
  <c r="AE121" i="75"/>
  <c r="AG121" i="75"/>
  <c r="AK121" i="75"/>
  <c r="AM121" i="75"/>
  <c r="AO121" i="75"/>
  <c r="AS121" i="75"/>
  <c r="AU121" i="75"/>
  <c r="AW121" i="75"/>
  <c r="BA121" i="75"/>
  <c r="BC121" i="75"/>
  <c r="BE121" i="75"/>
  <c r="F121" i="75"/>
  <c r="N121" i="75"/>
  <c r="R121" i="75"/>
  <c r="V121" i="75"/>
  <c r="AD121" i="75"/>
  <c r="AH121" i="75"/>
  <c r="AL121" i="75"/>
  <c r="AT121" i="75"/>
  <c r="AX121" i="75"/>
  <c r="BB121" i="75"/>
  <c r="BD17" i="77"/>
  <c r="BG17" i="77"/>
  <c r="F196" i="76"/>
  <c r="F71" i="76"/>
  <c r="F88" i="76"/>
  <c r="F110" i="76"/>
  <c r="F186" i="76"/>
  <c r="E121" i="70"/>
  <c r="E80" i="70"/>
  <c r="E157" i="70"/>
  <c r="E68" i="70"/>
  <c r="E103" i="70"/>
  <c r="E109" i="70"/>
  <c r="E144" i="70"/>
  <c r="G67" i="75"/>
  <c r="K67" i="75"/>
  <c r="O67" i="75"/>
  <c r="S67" i="75"/>
  <c r="W67" i="75"/>
  <c r="AA67" i="75"/>
  <c r="AE67" i="75"/>
  <c r="AI67" i="75"/>
  <c r="AM67" i="75"/>
  <c r="AQ67" i="75"/>
  <c r="AU67" i="75"/>
  <c r="AY67" i="75"/>
  <c r="BC67" i="75"/>
  <c r="Q120" i="75"/>
  <c r="AU120" i="75"/>
  <c r="F175" i="76"/>
  <c r="G166" i="69"/>
  <c r="I4" i="69"/>
  <c r="K4" i="69"/>
  <c r="O166" i="69"/>
  <c r="Q4" i="69"/>
  <c r="S4" i="69"/>
  <c r="W166" i="69"/>
  <c r="Y4" i="69"/>
  <c r="AA4" i="69"/>
  <c r="AE166" i="69"/>
  <c r="AG4" i="69"/>
  <c r="AI4" i="69"/>
  <c r="AM166" i="69"/>
  <c r="AO4" i="69"/>
  <c r="AQ4" i="69"/>
  <c r="AU166" i="69"/>
  <c r="AY4" i="69"/>
  <c r="BC166" i="69"/>
  <c r="F167" i="69"/>
  <c r="H75" i="69"/>
  <c r="L75" i="69"/>
  <c r="N167" i="69"/>
  <c r="P75" i="69"/>
  <c r="T75" i="69"/>
  <c r="V167" i="69"/>
  <c r="X75" i="69"/>
  <c r="Z167" i="69"/>
  <c r="AB75" i="69"/>
  <c r="AD167" i="69"/>
  <c r="AF75" i="69"/>
  <c r="AH167" i="69"/>
  <c r="AJ75" i="69"/>
  <c r="AL167" i="69"/>
  <c r="AN75" i="69"/>
  <c r="AP167" i="69"/>
  <c r="AR75" i="69"/>
  <c r="AT167" i="69"/>
  <c r="AV75" i="69"/>
  <c r="AX167" i="69"/>
  <c r="AZ75" i="69"/>
  <c r="BB167" i="69"/>
  <c r="BD75" i="69"/>
  <c r="BF167" i="69"/>
  <c r="BH75" i="69"/>
  <c r="E19" i="70"/>
  <c r="E35" i="70"/>
  <c r="E47" i="70"/>
  <c r="E60" i="70"/>
  <c r="E92" i="70"/>
  <c r="BH6" i="75"/>
  <c r="J5" i="75"/>
  <c r="N5" i="75"/>
  <c r="R5" i="75"/>
  <c r="V5" i="75"/>
  <c r="Z5" i="75"/>
  <c r="AD5" i="75"/>
  <c r="AH5" i="75"/>
  <c r="BJ6" i="75"/>
  <c r="AP5" i="75"/>
  <c r="AT5" i="75"/>
  <c r="AX5" i="75"/>
  <c r="BB5" i="75"/>
  <c r="BF5" i="75"/>
  <c r="BI14" i="75"/>
  <c r="BH24" i="75"/>
  <c r="BJ24" i="75"/>
  <c r="BI30" i="75"/>
  <c r="BH40" i="75"/>
  <c r="BJ40" i="75"/>
  <c r="BI47" i="75"/>
  <c r="BH53" i="75"/>
  <c r="BJ53" i="75"/>
  <c r="BI61" i="75"/>
  <c r="BG68" i="75"/>
  <c r="H67" i="75"/>
  <c r="J67" i="75"/>
  <c r="L67" i="75"/>
  <c r="N67" i="75"/>
  <c r="P67" i="75"/>
  <c r="R67" i="75"/>
  <c r="T67" i="75"/>
  <c r="V67" i="75"/>
  <c r="X67" i="75"/>
  <c r="Z67" i="75"/>
  <c r="AB67" i="75"/>
  <c r="AD67" i="75"/>
  <c r="AF67" i="75"/>
  <c r="AH67" i="75"/>
  <c r="AJ67" i="75"/>
  <c r="M121" i="75"/>
  <c r="M120" i="75"/>
  <c r="M225" i="75" s="1"/>
  <c r="S121" i="75"/>
  <c r="S120" i="75"/>
  <c r="AA121" i="75"/>
  <c r="AA120" i="75"/>
  <c r="AA225" i="75" s="1"/>
  <c r="AI121" i="75"/>
  <c r="AI120" i="75"/>
  <c r="AQ121" i="75"/>
  <c r="AQ120" i="75"/>
  <c r="AQ225" i="75" s="1"/>
  <c r="AY121" i="75"/>
  <c r="AY120" i="75"/>
  <c r="AY225" i="75" s="1"/>
  <c r="I120" i="75"/>
  <c r="I225" i="75" s="1"/>
  <c r="W120" i="75"/>
  <c r="W225" i="75" s="1"/>
  <c r="AM120" i="75"/>
  <c r="BC120" i="75"/>
  <c r="BC225" i="75" s="1"/>
  <c r="AL67" i="75"/>
  <c r="AN67" i="75"/>
  <c r="AP67" i="75"/>
  <c r="AR67" i="75"/>
  <c r="AT67" i="75"/>
  <c r="AV67" i="75"/>
  <c r="AX67" i="75"/>
  <c r="AZ67" i="75"/>
  <c r="BB67" i="75"/>
  <c r="BD67" i="75"/>
  <c r="BF67" i="75"/>
  <c r="BG79" i="75"/>
  <c r="BI79" i="75"/>
  <c r="BG85" i="75"/>
  <c r="BJ85" i="75"/>
  <c r="BG96" i="75"/>
  <c r="BI96" i="75"/>
  <c r="BG107" i="75"/>
  <c r="BJ107" i="75"/>
  <c r="BJ197" i="75"/>
  <c r="BJ209" i="75"/>
  <c r="F9" i="76"/>
  <c r="F27" i="76"/>
  <c r="F43" i="76"/>
  <c r="F56" i="76"/>
  <c r="F135" i="76"/>
  <c r="F145" i="76"/>
  <c r="F155" i="76"/>
  <c r="F167" i="76"/>
  <c r="BE31" i="77"/>
  <c r="C42" i="77"/>
  <c r="E42" i="77"/>
  <c r="E43" i="77" s="1"/>
  <c r="G42" i="77"/>
  <c r="G43" i="77" s="1"/>
  <c r="I42" i="77"/>
  <c r="I43" i="77" s="1"/>
  <c r="K42" i="77"/>
  <c r="M42" i="77"/>
  <c r="M43" i="77" s="1"/>
  <c r="O42" i="77"/>
  <c r="O43" i="77" s="1"/>
  <c r="Q42" i="77"/>
  <c r="Q43" i="77" s="1"/>
  <c r="S42" i="77"/>
  <c r="U42" i="77"/>
  <c r="U43" i="77" s="1"/>
  <c r="W42" i="77"/>
  <c r="W43" i="77" s="1"/>
  <c r="Y42" i="77"/>
  <c r="Y43" i="77" s="1"/>
  <c r="AA42" i="77"/>
  <c r="AC42" i="77"/>
  <c r="AC43" i="77" s="1"/>
  <c r="AE42" i="77"/>
  <c r="AE43" i="77" s="1"/>
  <c r="AG42" i="77"/>
  <c r="AG43" i="77" s="1"/>
  <c r="AI42" i="77"/>
  <c r="AK42" i="77"/>
  <c r="AK43" i="77" s="1"/>
  <c r="AM42" i="77"/>
  <c r="AM43" i="77" s="1"/>
  <c r="AO42" i="77"/>
  <c r="AO43" i="77" s="1"/>
  <c r="AQ42" i="77"/>
  <c r="AS42" i="77"/>
  <c r="AS43" i="77" s="1"/>
  <c r="AU42" i="77"/>
  <c r="AU43" i="77" s="1"/>
  <c r="AW42" i="77"/>
  <c r="AW43" i="77" s="1"/>
  <c r="AY42" i="77"/>
  <c r="BA42" i="77"/>
  <c r="BA43" i="77" s="1"/>
  <c r="BC42" i="77"/>
  <c r="BC43" i="77" s="1"/>
  <c r="BE35" i="77"/>
  <c r="BF35" i="77"/>
  <c r="BE39" i="77"/>
  <c r="BF39" i="77"/>
  <c r="BG39" i="69"/>
  <c r="BG4" i="69" s="1"/>
  <c r="BI39" i="69"/>
  <c r="BI4" i="69" s="1"/>
  <c r="BH39" i="69"/>
  <c r="BH166" i="69" s="1"/>
  <c r="H167" i="69"/>
  <c r="J167" i="69"/>
  <c r="L167" i="69"/>
  <c r="P167" i="69"/>
  <c r="R167" i="69"/>
  <c r="T167" i="69"/>
  <c r="X167" i="69"/>
  <c r="AB167" i="69"/>
  <c r="AF167" i="69"/>
  <c r="AJ167" i="69"/>
  <c r="AN167" i="69"/>
  <c r="AR167" i="69"/>
  <c r="AV167" i="69"/>
  <c r="AZ167" i="69"/>
  <c r="BD167" i="69"/>
  <c r="BH167" i="69"/>
  <c r="H164" i="69"/>
  <c r="E31" i="70"/>
  <c r="E43" i="70"/>
  <c r="E86" i="70"/>
  <c r="E125" i="70"/>
  <c r="E135" i="70"/>
  <c r="F5" i="75"/>
  <c r="AL5" i="75"/>
  <c r="G5" i="75"/>
  <c r="I5" i="75"/>
  <c r="K5" i="75"/>
  <c r="M5" i="75"/>
  <c r="O5" i="75"/>
  <c r="Q5" i="75"/>
  <c r="S5" i="75"/>
  <c r="U5" i="75"/>
  <c r="W5" i="75"/>
  <c r="Y5" i="75"/>
  <c r="AA5" i="75"/>
  <c r="AC5" i="75"/>
  <c r="AE5" i="75"/>
  <c r="AG5" i="75"/>
  <c r="AI5" i="75"/>
  <c r="AK5" i="75"/>
  <c r="AM5" i="75"/>
  <c r="AO5" i="75"/>
  <c r="AQ5" i="75"/>
  <c r="AS5" i="75"/>
  <c r="AU5" i="75"/>
  <c r="AW5" i="75"/>
  <c r="AY5" i="75"/>
  <c r="BA5" i="75"/>
  <c r="BC5" i="75"/>
  <c r="BE5" i="75"/>
  <c r="BG14" i="75"/>
  <c r="H4" i="75"/>
  <c r="J4" i="75"/>
  <c r="L4" i="75"/>
  <c r="N4" i="75"/>
  <c r="P4" i="75"/>
  <c r="R4" i="75"/>
  <c r="T4" i="75"/>
  <c r="V4" i="75"/>
  <c r="X4" i="75"/>
  <c r="Z4" i="75"/>
  <c r="AB4" i="75"/>
  <c r="AD4" i="75"/>
  <c r="AF4" i="75"/>
  <c r="AH4" i="75"/>
  <c r="AJ4" i="75"/>
  <c r="AL4" i="75"/>
  <c r="AN4" i="75"/>
  <c r="AP4" i="75"/>
  <c r="AR4" i="75"/>
  <c r="AT4" i="75"/>
  <c r="AV4" i="75"/>
  <c r="AX4" i="75"/>
  <c r="AZ4" i="75"/>
  <c r="BB4" i="75"/>
  <c r="BD4" i="75"/>
  <c r="BF4" i="75"/>
  <c r="BG24" i="75"/>
  <c r="BI24" i="75"/>
  <c r="BG30" i="75"/>
  <c r="BJ30" i="75"/>
  <c r="BG40" i="75"/>
  <c r="BI40" i="75"/>
  <c r="BG47" i="75"/>
  <c r="BJ47" i="75"/>
  <c r="BG53" i="75"/>
  <c r="BI53" i="75"/>
  <c r="BG61" i="75"/>
  <c r="BJ61" i="75"/>
  <c r="BI68" i="75"/>
  <c r="BH79" i="75"/>
  <c r="BJ79" i="75"/>
  <c r="BI85" i="75"/>
  <c r="BH96" i="75"/>
  <c r="BJ96" i="75"/>
  <c r="BI107" i="75"/>
  <c r="G120" i="75"/>
  <c r="K120" i="75"/>
  <c r="O120" i="75"/>
  <c r="O225" i="75" s="1"/>
  <c r="P164" i="69"/>
  <c r="X164" i="69"/>
  <c r="AF164" i="69"/>
  <c r="AN164" i="69"/>
  <c r="AV164" i="69"/>
  <c r="BD164" i="69"/>
  <c r="BG132" i="75"/>
  <c r="H121" i="75"/>
  <c r="J120" i="75"/>
  <c r="L121" i="75"/>
  <c r="N120" i="75"/>
  <c r="P121" i="75"/>
  <c r="R120" i="75"/>
  <c r="T120" i="75"/>
  <c r="V120" i="75"/>
  <c r="X120" i="75"/>
  <c r="Z120" i="75"/>
  <c r="AB120" i="75"/>
  <c r="AD120" i="75"/>
  <c r="AF120" i="75"/>
  <c r="AH120" i="75"/>
  <c r="AJ120" i="75"/>
  <c r="AL120" i="75"/>
  <c r="AL225" i="75" s="1"/>
  <c r="AN120" i="75"/>
  <c r="AP120" i="75"/>
  <c r="AR120" i="75"/>
  <c r="AT120" i="75"/>
  <c r="AV120" i="75"/>
  <c r="AX120" i="75"/>
  <c r="AZ120" i="75"/>
  <c r="BB120" i="75"/>
  <c r="BD120" i="75"/>
  <c r="BF120" i="75"/>
  <c r="BG142" i="75"/>
  <c r="BI142" i="75"/>
  <c r="BG152" i="75"/>
  <c r="BJ152" i="75"/>
  <c r="BG164" i="75"/>
  <c r="BI164" i="75"/>
  <c r="BG172" i="75"/>
  <c r="BJ172" i="75"/>
  <c r="BG183" i="75"/>
  <c r="BI183" i="75"/>
  <c r="AL189" i="75"/>
  <c r="G189" i="75"/>
  <c r="I189" i="75"/>
  <c r="K189" i="75"/>
  <c r="M189" i="75"/>
  <c r="O189" i="75"/>
  <c r="Q189" i="75"/>
  <c r="S189" i="75"/>
  <c r="U189" i="75"/>
  <c r="W189" i="75"/>
  <c r="AA189" i="75"/>
  <c r="AC189" i="75"/>
  <c r="AE189" i="75"/>
  <c r="AG189" i="75"/>
  <c r="AI189" i="75"/>
  <c r="AK189" i="75"/>
  <c r="AM189" i="75"/>
  <c r="AO189" i="75"/>
  <c r="AQ189" i="75"/>
  <c r="AS189" i="75"/>
  <c r="AU189" i="75"/>
  <c r="AW189" i="75"/>
  <c r="BA189" i="75"/>
  <c r="BC189" i="75"/>
  <c r="BE189" i="75"/>
  <c r="BG206" i="75"/>
  <c r="BI206" i="75"/>
  <c r="AA223" i="75"/>
  <c r="AC223" i="75"/>
  <c r="AE223" i="75"/>
  <c r="AG223" i="75"/>
  <c r="AI223" i="75"/>
  <c r="AK223" i="75"/>
  <c r="AM223" i="75"/>
  <c r="AO223" i="75"/>
  <c r="AQ223" i="75"/>
  <c r="AS223" i="75"/>
  <c r="AU223" i="75"/>
  <c r="AW223" i="75"/>
  <c r="AY223" i="75"/>
  <c r="BA223" i="75"/>
  <c r="BC223" i="75"/>
  <c r="BE223" i="75"/>
  <c r="F17" i="76"/>
  <c r="F33" i="76"/>
  <c r="F50" i="76"/>
  <c r="F64" i="76"/>
  <c r="F82" i="76"/>
  <c r="F99" i="76"/>
  <c r="F125" i="76"/>
  <c r="F218" i="76"/>
  <c r="BD5" i="77"/>
  <c r="BG5" i="77"/>
  <c r="BD33" i="77"/>
  <c r="D42" i="77"/>
  <c r="D43" i="77" s="1"/>
  <c r="J43" i="77"/>
  <c r="Z43" i="77"/>
  <c r="AP43" i="77"/>
  <c r="BF33" i="77"/>
  <c r="BF17" i="77"/>
  <c r="BE29" i="77"/>
  <c r="BG29" i="77"/>
  <c r="E45" i="77"/>
  <c r="E46" i="77" s="1"/>
  <c r="G45" i="77"/>
  <c r="G46" i="77" s="1"/>
  <c r="K45" i="77"/>
  <c r="K46" i="77" s="1"/>
  <c r="M45" i="77"/>
  <c r="M46" i="77" s="1"/>
  <c r="O45" i="77"/>
  <c r="O46" i="77" s="1"/>
  <c r="S45" i="77"/>
  <c r="S46" i="77" s="1"/>
  <c r="U45" i="77"/>
  <c r="U46" i="77" s="1"/>
  <c r="W45" i="77"/>
  <c r="W46" i="77" s="1"/>
  <c r="AA45" i="77"/>
  <c r="AA46" i="77" s="1"/>
  <c r="AC45" i="77"/>
  <c r="AC46" i="77" s="1"/>
  <c r="AE45" i="77"/>
  <c r="AE46" i="77" s="1"/>
  <c r="AI45" i="77"/>
  <c r="AI46" i="77" s="1"/>
  <c r="AK45" i="77"/>
  <c r="AK46" i="77" s="1"/>
  <c r="AM45" i="77"/>
  <c r="AM46" i="77" s="1"/>
  <c r="AQ45" i="77"/>
  <c r="AQ46" i="77" s="1"/>
  <c r="AS45" i="77"/>
  <c r="AS46" i="77" s="1"/>
  <c r="AU45" i="77"/>
  <c r="AU46" i="77" s="1"/>
  <c r="AY45" i="77"/>
  <c r="AY46" i="77" s="1"/>
  <c r="BA45" i="77"/>
  <c r="BC45" i="77"/>
  <c r="BC46" i="77" s="1"/>
  <c r="BD35" i="77"/>
  <c r="BG35" i="77"/>
  <c r="BE37" i="77"/>
  <c r="BG37" i="77"/>
  <c r="BD39" i="77"/>
  <c r="BG39" i="77"/>
  <c r="BE5" i="77"/>
  <c r="BE17" i="77"/>
  <c r="BA46" i="77"/>
  <c r="K43" i="77"/>
  <c r="S43" i="77"/>
  <c r="AA43" i="77"/>
  <c r="AI43" i="77"/>
  <c r="AQ43" i="77"/>
  <c r="AY43" i="77"/>
  <c r="C43" i="77"/>
  <c r="Y46" i="77"/>
  <c r="F43" i="77"/>
  <c r="V43" i="77"/>
  <c r="AL43" i="77"/>
  <c r="BB43" i="77"/>
  <c r="AN43" i="77"/>
  <c r="C45" i="77"/>
  <c r="C46" i="77" s="1"/>
  <c r="BD31" i="77"/>
  <c r="BG31" i="77"/>
  <c r="D45" i="77"/>
  <c r="D46" i="77" s="1"/>
  <c r="F45" i="77"/>
  <c r="F46" i="77" s="1"/>
  <c r="H45" i="77"/>
  <c r="H46" i="77" s="1"/>
  <c r="J45" i="77"/>
  <c r="J46" i="77" s="1"/>
  <c r="L45" i="77"/>
  <c r="L46" i="77" s="1"/>
  <c r="N45" i="77"/>
  <c r="N46" i="77" s="1"/>
  <c r="P45" i="77"/>
  <c r="P46" i="77" s="1"/>
  <c r="R45" i="77"/>
  <c r="R46" i="77" s="1"/>
  <c r="T45" i="77"/>
  <c r="T46" i="77" s="1"/>
  <c r="V45" i="77"/>
  <c r="V46" i="77" s="1"/>
  <c r="X45" i="77"/>
  <c r="X46" i="77" s="1"/>
  <c r="Z45" i="77"/>
  <c r="Z46" i="77" s="1"/>
  <c r="AB45" i="77"/>
  <c r="AB46" i="77" s="1"/>
  <c r="AD45" i="77"/>
  <c r="AD46" i="77" s="1"/>
  <c r="AF45" i="77"/>
  <c r="AF46" i="77" s="1"/>
  <c r="AH45" i="77"/>
  <c r="AH46" i="77" s="1"/>
  <c r="AJ45" i="77"/>
  <c r="AJ46" i="77" s="1"/>
  <c r="AL45" i="77"/>
  <c r="AL46" i="77" s="1"/>
  <c r="AN45" i="77"/>
  <c r="AN46" i="77" s="1"/>
  <c r="AP45" i="77"/>
  <c r="AP46" i="77" s="1"/>
  <c r="AR45" i="77"/>
  <c r="AR46" i="77" s="1"/>
  <c r="AT45" i="77"/>
  <c r="AT46" i="77" s="1"/>
  <c r="AV45" i="77"/>
  <c r="AV46" i="77" s="1"/>
  <c r="AX45" i="77"/>
  <c r="AX46" i="77" s="1"/>
  <c r="AZ45" i="77"/>
  <c r="AZ46" i="77" s="1"/>
  <c r="BB45" i="77"/>
  <c r="BB46" i="77" s="1"/>
  <c r="BF31" i="77"/>
  <c r="BE33" i="77"/>
  <c r="BG33" i="77"/>
  <c r="BG6" i="75"/>
  <c r="BJ14" i="75"/>
  <c r="BH47" i="75"/>
  <c r="BH61" i="75"/>
  <c r="BH68" i="75"/>
  <c r="BI6" i="75"/>
  <c r="BH14" i="75"/>
  <c r="BH30" i="75"/>
  <c r="BJ68" i="75"/>
  <c r="BH85" i="75"/>
  <c r="BH107" i="75"/>
  <c r="BG122" i="75"/>
  <c r="BJ132" i="75"/>
  <c r="BI193" i="75"/>
  <c r="Y189" i="75"/>
  <c r="BG193" i="75"/>
  <c r="F4" i="75"/>
  <c r="F67" i="75"/>
  <c r="F120" i="75"/>
  <c r="H120" i="75"/>
  <c r="L120" i="75"/>
  <c r="P120" i="75"/>
  <c r="U120" i="75"/>
  <c r="U225" i="75" s="1"/>
  <c r="Y120" i="75"/>
  <c r="AC120" i="75"/>
  <c r="AG120" i="75"/>
  <c r="AK120" i="75"/>
  <c r="AK225" i="75" s="1"/>
  <c r="AO120" i="75"/>
  <c r="AS120" i="75"/>
  <c r="AW120" i="75"/>
  <c r="BA120" i="75"/>
  <c r="BA225" i="75" s="1"/>
  <c r="BE120" i="75"/>
  <c r="T121" i="75"/>
  <c r="X121" i="75"/>
  <c r="AB121" i="75"/>
  <c r="AF121" i="75"/>
  <c r="AJ121" i="75"/>
  <c r="AN121" i="75"/>
  <c r="AR121" i="75"/>
  <c r="AV121" i="75"/>
  <c r="AZ121" i="75"/>
  <c r="BD121" i="75"/>
  <c r="BH122" i="75"/>
  <c r="BJ122" i="75"/>
  <c r="BI122" i="75"/>
  <c r="BI132" i="75"/>
  <c r="BH132" i="75"/>
  <c r="BH142" i="75"/>
  <c r="BJ142" i="75"/>
  <c r="BI152" i="75"/>
  <c r="BH152" i="75"/>
  <c r="BH164" i="75"/>
  <c r="BJ164" i="75"/>
  <c r="BI172" i="75"/>
  <c r="BH172" i="75"/>
  <c r="BH183" i="75"/>
  <c r="BJ183" i="75"/>
  <c r="BG190" i="75"/>
  <c r="BH190" i="75"/>
  <c r="BG197" i="75"/>
  <c r="BH197" i="75"/>
  <c r="BG203" i="75"/>
  <c r="BH203" i="75"/>
  <c r="BG209" i="75"/>
  <c r="BH209" i="75"/>
  <c r="BG215" i="75"/>
  <c r="BH215" i="75"/>
  <c r="BI190" i="75"/>
  <c r="BH193" i="75"/>
  <c r="BJ193" i="75"/>
  <c r="BI197" i="75"/>
  <c r="BH200" i="75"/>
  <c r="BJ200" i="75"/>
  <c r="BI203" i="75"/>
  <c r="BH206" i="75"/>
  <c r="BJ206" i="75"/>
  <c r="BI209" i="75"/>
  <c r="BH212" i="75"/>
  <c r="BJ212" i="75"/>
  <c r="BI215" i="75"/>
  <c r="F223" i="75"/>
  <c r="H223" i="75"/>
  <c r="J223" i="75"/>
  <c r="L223" i="75"/>
  <c r="N223" i="75"/>
  <c r="P223" i="75"/>
  <c r="R223" i="75"/>
  <c r="T223" i="75"/>
  <c r="V223" i="75"/>
  <c r="X223" i="75"/>
  <c r="Z223" i="75"/>
  <c r="AB223" i="75"/>
  <c r="AD223" i="75"/>
  <c r="AF223" i="75"/>
  <c r="AH223" i="75"/>
  <c r="AJ223" i="75"/>
  <c r="AL223" i="75"/>
  <c r="AN223" i="75"/>
  <c r="AP223" i="75"/>
  <c r="AR223" i="75"/>
  <c r="AT223" i="75"/>
  <c r="AV223" i="75"/>
  <c r="AX223" i="75"/>
  <c r="AZ223" i="75"/>
  <c r="BB223" i="75"/>
  <c r="BD223" i="75"/>
  <c r="BF223" i="75"/>
  <c r="F166" i="69"/>
  <c r="F4" i="69"/>
  <c r="H166" i="69"/>
  <c r="H4" i="69"/>
  <c r="H161" i="69" s="1"/>
  <c r="H162" i="69" s="1"/>
  <c r="J166" i="69"/>
  <c r="J4" i="69"/>
  <c r="J161" i="69" s="1"/>
  <c r="J162" i="69" s="1"/>
  <c r="L166" i="69"/>
  <c r="L4" i="69"/>
  <c r="N166" i="69"/>
  <c r="N4" i="69"/>
  <c r="N161" i="69" s="1"/>
  <c r="N162" i="69" s="1"/>
  <c r="P166" i="69"/>
  <c r="P4" i="69"/>
  <c r="R166" i="69"/>
  <c r="R4" i="69"/>
  <c r="T166" i="69"/>
  <c r="T4" i="69"/>
  <c r="V166" i="69"/>
  <c r="V4" i="69"/>
  <c r="X166" i="69"/>
  <c r="X4" i="69"/>
  <c r="X161" i="69" s="1"/>
  <c r="X162" i="69" s="1"/>
  <c r="Z166" i="69"/>
  <c r="Z4" i="69"/>
  <c r="Z161" i="69" s="1"/>
  <c r="Z162" i="69" s="1"/>
  <c r="AB166" i="69"/>
  <c r="AB4" i="69"/>
  <c r="AB161" i="69" s="1"/>
  <c r="AB162" i="69" s="1"/>
  <c r="AD166" i="69"/>
  <c r="AD4" i="69"/>
  <c r="AF166" i="69"/>
  <c r="AF4" i="69"/>
  <c r="AF161" i="69" s="1"/>
  <c r="AF162" i="69" s="1"/>
  <c r="AH166" i="69"/>
  <c r="AH4" i="69"/>
  <c r="AJ166" i="69"/>
  <c r="AJ4" i="69"/>
  <c r="AJ161" i="69" s="1"/>
  <c r="AJ162" i="69" s="1"/>
  <c r="AL166" i="69"/>
  <c r="AL4" i="69"/>
  <c r="AL161" i="69" s="1"/>
  <c r="AL162" i="69" s="1"/>
  <c r="AN166" i="69"/>
  <c r="AN4" i="69"/>
  <c r="AN161" i="69" s="1"/>
  <c r="AN162" i="69" s="1"/>
  <c r="AP166" i="69"/>
  <c r="AP4" i="69"/>
  <c r="AP161" i="69" s="1"/>
  <c r="AP162" i="69" s="1"/>
  <c r="AR166" i="69"/>
  <c r="AR4" i="69"/>
  <c r="AR161" i="69" s="1"/>
  <c r="AR162" i="69" s="1"/>
  <c r="AT166" i="69"/>
  <c r="AT4" i="69"/>
  <c r="AV166" i="69"/>
  <c r="AV4" i="69"/>
  <c r="AV161" i="69" s="1"/>
  <c r="AV162" i="69" s="1"/>
  <c r="AX166" i="69"/>
  <c r="AX4" i="69"/>
  <c r="AZ166" i="69"/>
  <c r="AZ4" i="69"/>
  <c r="AZ161" i="69" s="1"/>
  <c r="AZ162" i="69" s="1"/>
  <c r="BB166" i="69"/>
  <c r="BB4" i="69"/>
  <c r="BD166" i="69"/>
  <c r="BD4" i="69"/>
  <c r="BD161" i="69" s="1"/>
  <c r="BD162" i="69" s="1"/>
  <c r="BF166" i="69"/>
  <c r="BF4" i="69"/>
  <c r="BF161" i="69" s="1"/>
  <c r="BF162" i="69" s="1"/>
  <c r="K166" i="69"/>
  <c r="S166" i="69"/>
  <c r="AA166" i="69"/>
  <c r="AI166" i="69"/>
  <c r="AQ166" i="69"/>
  <c r="AY166" i="69"/>
  <c r="G4" i="69"/>
  <c r="O4" i="69"/>
  <c r="W4" i="69"/>
  <c r="AE4" i="69"/>
  <c r="AM4" i="69"/>
  <c r="AU4" i="69"/>
  <c r="BC4" i="69"/>
  <c r="E166" i="69"/>
  <c r="I166" i="69"/>
  <c r="M166" i="69"/>
  <c r="Q166" i="69"/>
  <c r="U166" i="69"/>
  <c r="Y166" i="69"/>
  <c r="AC166" i="69"/>
  <c r="AG166" i="69"/>
  <c r="AK166" i="69"/>
  <c r="AO166" i="69"/>
  <c r="AS166" i="69"/>
  <c r="AW166" i="69"/>
  <c r="BA166" i="69"/>
  <c r="BE166" i="69"/>
  <c r="E167" i="69"/>
  <c r="E75" i="69"/>
  <c r="G167" i="69"/>
  <c r="G75" i="69"/>
  <c r="I167" i="69"/>
  <c r="I75" i="69"/>
  <c r="I161" i="69" s="1"/>
  <c r="I162" i="69" s="1"/>
  <c r="K167" i="69"/>
  <c r="K75" i="69"/>
  <c r="M167" i="69"/>
  <c r="M75" i="69"/>
  <c r="M161" i="69" s="1"/>
  <c r="M162" i="69" s="1"/>
  <c r="O167" i="69"/>
  <c r="O75" i="69"/>
  <c r="Q167" i="69"/>
  <c r="Q75" i="69"/>
  <c r="S167" i="69"/>
  <c r="S75" i="69"/>
  <c r="S161" i="69" s="1"/>
  <c r="S162" i="69" s="1"/>
  <c r="U167" i="69"/>
  <c r="U75" i="69"/>
  <c r="U161" i="69" s="1"/>
  <c r="U162" i="69" s="1"/>
  <c r="W167" i="69"/>
  <c r="W75" i="69"/>
  <c r="Y167" i="69"/>
  <c r="Y75" i="69"/>
  <c r="Y161" i="69" s="1"/>
  <c r="Y162" i="69" s="1"/>
  <c r="AA167" i="69"/>
  <c r="AA75" i="69"/>
  <c r="AC167" i="69"/>
  <c r="AC75" i="69"/>
  <c r="AE167" i="69"/>
  <c r="AE75" i="69"/>
  <c r="AG167" i="69"/>
  <c r="AG75" i="69"/>
  <c r="AI167" i="69"/>
  <c r="AI75" i="69"/>
  <c r="AI161" i="69" s="1"/>
  <c r="AI162" i="69" s="1"/>
  <c r="AK167" i="69"/>
  <c r="AK75" i="69"/>
  <c r="AK161" i="69" s="1"/>
  <c r="AK162" i="69" s="1"/>
  <c r="AM167" i="69"/>
  <c r="AM75" i="69"/>
  <c r="AO167" i="69"/>
  <c r="AO75" i="69"/>
  <c r="AO161" i="69" s="1"/>
  <c r="AO162" i="69" s="1"/>
  <c r="AQ167" i="69"/>
  <c r="AQ75" i="69"/>
  <c r="AS167" i="69"/>
  <c r="AS75" i="69"/>
  <c r="AS161" i="69" s="1"/>
  <c r="AS162" i="69" s="1"/>
  <c r="AU167" i="69"/>
  <c r="AU75" i="69"/>
  <c r="AW167" i="69"/>
  <c r="AW75" i="69"/>
  <c r="AY167" i="69"/>
  <c r="AY75" i="69"/>
  <c r="BA167" i="69"/>
  <c r="BA75" i="69"/>
  <c r="BC167" i="69"/>
  <c r="BC75" i="69"/>
  <c r="BE167" i="69"/>
  <c r="BE75" i="69"/>
  <c r="BE161" i="69" s="1"/>
  <c r="BE162" i="69" s="1"/>
  <c r="BG167" i="69"/>
  <c r="BG75" i="69"/>
  <c r="BI75" i="69"/>
  <c r="BI161" i="69" s="1"/>
  <c r="BI162" i="69" s="1"/>
  <c r="R178" i="67"/>
  <c r="Q177" i="67"/>
  <c r="P177" i="67"/>
  <c r="O177" i="67"/>
  <c r="N177" i="67"/>
  <c r="M177" i="67"/>
  <c r="L177" i="67"/>
  <c r="K177" i="67"/>
  <c r="J177" i="67"/>
  <c r="I177" i="67"/>
  <c r="H177" i="67"/>
  <c r="G177" i="67"/>
  <c r="F177" i="67"/>
  <c r="E177" i="67"/>
  <c r="R176"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C9" i="58" l="1"/>
  <c r="BB161" i="69"/>
  <c r="BB162" i="69" s="1"/>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AW161" i="69"/>
  <c r="AW162" i="69" s="1"/>
  <c r="E161" i="69"/>
  <c r="E162" i="69" s="1"/>
  <c r="AT161" i="69"/>
  <c r="AT162" i="69" s="1"/>
  <c r="P161" i="69"/>
  <c r="P162" i="69" s="1"/>
  <c r="AS225" i="75"/>
  <c r="AC225" i="75"/>
  <c r="L225" i="75"/>
  <c r="BG45" i="77"/>
  <c r="BG46" i="77" s="1"/>
  <c r="BD42" i="77"/>
  <c r="BD43" i="77" s="1"/>
  <c r="BJ4" i="75"/>
  <c r="T161" i="69"/>
  <c r="T162" i="69" s="1"/>
  <c r="AU161" i="69"/>
  <c r="AU162" i="69" s="1"/>
  <c r="AE161" i="69"/>
  <c r="AE162" i="69" s="1"/>
  <c r="O161" i="69"/>
  <c r="O162" i="69" s="1"/>
  <c r="BI166" i="69"/>
  <c r="BE225" i="75"/>
  <c r="AO225" i="75"/>
  <c r="BD45" i="77"/>
  <c r="BD46" i="77" s="1"/>
  <c r="K225" i="75"/>
  <c r="AI225" i="75"/>
  <c r="S225" i="75"/>
  <c r="AU225" i="75"/>
  <c r="AX161" i="69"/>
  <c r="AX162" i="69" s="1"/>
  <c r="BI4" i="75"/>
  <c r="AD161" i="69"/>
  <c r="AD162" i="69" s="1"/>
  <c r="R76" i="55"/>
  <c r="R88" i="55"/>
  <c r="BH4" i="69"/>
  <c r="BH161" i="69" s="1"/>
  <c r="BH162" i="69" s="1"/>
  <c r="BF45" i="77"/>
  <c r="BF46" i="77" s="1"/>
  <c r="BE42" i="77"/>
  <c r="BE43" i="77" s="1"/>
  <c r="BE45" i="77"/>
  <c r="BE46" i="77" s="1"/>
  <c r="D12" i="61"/>
  <c r="E12" i="62"/>
  <c r="E15" i="62"/>
  <c r="D15" i="61"/>
  <c r="D16" i="61"/>
  <c r="E16" i="62"/>
  <c r="E17" i="62"/>
  <c r="D17" i="61"/>
  <c r="BH5" i="75"/>
  <c r="BG42" i="77"/>
  <c r="BG43" i="77" s="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BI67" i="75"/>
  <c r="L161" i="69"/>
  <c r="L162" i="69" s="1"/>
  <c r="BJ67" i="75"/>
  <c r="AH161" i="69"/>
  <c r="AH162" i="69" s="1"/>
  <c r="R161" i="69"/>
  <c r="R162" i="69" s="1"/>
  <c r="E10" i="62"/>
  <c r="D10" i="61"/>
  <c r="R5" i="55"/>
  <c r="E9" i="56" s="1"/>
  <c r="R43" i="55"/>
  <c r="R64" i="55"/>
  <c r="R105" i="55"/>
  <c r="R121" i="55"/>
  <c r="C8" i="57"/>
  <c r="R168" i="67"/>
  <c r="E171" i="68" s="1"/>
  <c r="BC161" i="69"/>
  <c r="BC162" i="69" s="1"/>
  <c r="BA161" i="69"/>
  <c r="BA162" i="69" s="1"/>
  <c r="AY161" i="69"/>
  <c r="AY162" i="69" s="1"/>
  <c r="AQ161" i="69"/>
  <c r="AQ162" i="69" s="1"/>
  <c r="AM161" i="69"/>
  <c r="AM162" i="69" s="1"/>
  <c r="AG161" i="69"/>
  <c r="AG162" i="69" s="1"/>
  <c r="AC161" i="69"/>
  <c r="AC162" i="69" s="1"/>
  <c r="AA161" i="69"/>
  <c r="AA162" i="69" s="1"/>
  <c r="W161" i="69"/>
  <c r="W162" i="69" s="1"/>
  <c r="Q161" i="69"/>
  <c r="Q162" i="69" s="1"/>
  <c r="K161" i="69"/>
  <c r="K162" i="69" s="1"/>
  <c r="G161" i="69"/>
  <c r="G162" i="69" s="1"/>
  <c r="BG166" i="69"/>
  <c r="AW225" i="75"/>
  <c r="AG225" i="75"/>
  <c r="P225" i="75"/>
  <c r="H225" i="75"/>
  <c r="BF42" i="77"/>
  <c r="BF43" i="77" s="1"/>
  <c r="G225" i="75"/>
  <c r="AM225" i="75"/>
  <c r="Q225" i="75"/>
  <c r="BH121" i="75"/>
  <c r="R140" i="55"/>
  <c r="M4" i="67"/>
  <c r="R15" i="67"/>
  <c r="E18" i="68" s="1"/>
  <c r="R74" i="67"/>
  <c r="E77" i="68" s="1"/>
  <c r="M87" i="67"/>
  <c r="R98" i="67"/>
  <c r="E101" i="68" s="1"/>
  <c r="R146" i="67"/>
  <c r="E149" i="68" s="1"/>
  <c r="R157" i="67"/>
  <c r="E160" i="68" s="1"/>
  <c r="R157" i="55"/>
  <c r="C7" i="57"/>
  <c r="BG161" i="69"/>
  <c r="BG162" i="69" s="1"/>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BG220" i="75"/>
  <c r="BG223" i="75" s="1"/>
  <c r="BI220" i="75"/>
  <c r="BI223" i="75" s="1"/>
  <c r="E87" i="67"/>
  <c r="G87" i="67"/>
  <c r="I87" i="67"/>
  <c r="K87" i="67"/>
  <c r="O87" i="67"/>
  <c r="Q87" i="67"/>
  <c r="BI121" i="75"/>
  <c r="BG121" i="75"/>
  <c r="BF225" i="75"/>
  <c r="BB225" i="75"/>
  <c r="AX225" i="75"/>
  <c r="AT225" i="75"/>
  <c r="AP225" i="75"/>
  <c r="AH225" i="75"/>
  <c r="AD225" i="75"/>
  <c r="Z225" i="75"/>
  <c r="V225" i="75"/>
  <c r="R225" i="75"/>
  <c r="N225" i="75"/>
  <c r="J225" i="75"/>
  <c r="BG5" i="75"/>
  <c r="BH220" i="75"/>
  <c r="BH223" i="75" s="1"/>
  <c r="BJ220" i="75"/>
  <c r="BJ223" i="75"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BJ189" i="75"/>
  <c r="BJ121" i="75"/>
  <c r="BD225" i="75"/>
  <c r="AZ225" i="75"/>
  <c r="AV225" i="75"/>
  <c r="AR225" i="75"/>
  <c r="AN225" i="75"/>
  <c r="AJ225" i="75"/>
  <c r="AF225" i="75"/>
  <c r="AB225" i="75"/>
  <c r="X225" i="75"/>
  <c r="T225" i="75"/>
  <c r="T226" i="75" s="1"/>
  <c r="BI5" i="75"/>
  <c r="BJ5" i="75"/>
  <c r="BI189" i="75"/>
  <c r="BG189" i="75"/>
  <c r="BH120" i="75"/>
  <c r="BG120" i="75"/>
  <c r="F225" i="75"/>
  <c r="BH4" i="75"/>
  <c r="BG4" i="75"/>
  <c r="BJ120" i="75"/>
  <c r="BJ225" i="75" s="1"/>
  <c r="BH189" i="75"/>
  <c r="BI120" i="75"/>
  <c r="BI225" i="75" s="1"/>
  <c r="BH67" i="75"/>
  <c r="BG67" i="75"/>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M225" i="63" l="1"/>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BH225" i="75"/>
  <c r="C8" i="59"/>
  <c r="R164" i="55"/>
  <c r="R4" i="55"/>
  <c r="E8" i="56" s="1"/>
  <c r="M159" i="55"/>
  <c r="M160" i="55" s="1"/>
  <c r="BG225" i="75"/>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F15" i="77" l="1"/>
  <c r="H206" i="24"/>
  <c r="H40" i="24"/>
  <c r="J24" i="24" l="1"/>
  <c r="BD177" i="34" l="1"/>
  <c r="M14" i="24" l="1"/>
  <c r="F82" i="34" l="1"/>
  <c r="R10" i="1" l="1"/>
  <c r="R9" i="1"/>
  <c r="R8" i="1"/>
  <c r="R7" i="1"/>
  <c r="R6" i="1"/>
  <c r="R5" i="1"/>
  <c r="O7" i="1"/>
  <c r="O6" i="1"/>
  <c r="O5" i="1"/>
  <c r="L15" i="1"/>
  <c r="L16" i="1"/>
  <c r="L14" i="1"/>
  <c r="L13" i="1"/>
  <c r="L12" i="1"/>
  <c r="L11" i="1"/>
  <c r="L9" i="1"/>
  <c r="L10" i="1"/>
  <c r="L8" i="1"/>
  <c r="L7" i="1"/>
  <c r="L6" i="1"/>
  <c r="L5" i="1"/>
  <c r="I15" i="1"/>
  <c r="I14" i="1"/>
  <c r="I13" i="1"/>
  <c r="I11" i="1"/>
  <c r="I12" i="1"/>
  <c r="I10" i="1"/>
  <c r="I9" i="1"/>
  <c r="I8" i="1"/>
  <c r="I6" i="1"/>
  <c r="I5" i="1"/>
  <c r="I7" i="1"/>
  <c r="F17" i="1"/>
  <c r="F16" i="1"/>
  <c r="F15" i="1"/>
  <c r="F13" i="1"/>
  <c r="F14" i="1"/>
  <c r="F12" i="1"/>
  <c r="F11" i="1"/>
  <c r="F10" i="1"/>
  <c r="F9" i="1"/>
  <c r="F8" i="1"/>
  <c r="F6" i="1"/>
  <c r="F7" i="1"/>
  <c r="F5" i="1"/>
  <c r="C12" i="1"/>
  <c r="C11"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H45" i="32" s="1"/>
  <c r="I31" i="32"/>
  <c r="J31" i="32"/>
  <c r="K31" i="32"/>
  <c r="L31" i="32"/>
  <c r="M31" i="32"/>
  <c r="N31" i="32"/>
  <c r="O31" i="32"/>
  <c r="P31" i="32"/>
  <c r="Q31" i="32"/>
  <c r="R31" i="32"/>
  <c r="S31" i="32"/>
  <c r="T31" i="32"/>
  <c r="U31" i="32"/>
  <c r="V31" i="32"/>
  <c r="V45" i="32" s="1"/>
  <c r="W31" i="32"/>
  <c r="X31" i="32"/>
  <c r="Y31" i="32"/>
  <c r="Z31" i="32"/>
  <c r="AA31" i="32"/>
  <c r="AB31" i="32"/>
  <c r="AC31" i="32"/>
  <c r="AD31" i="32"/>
  <c r="AD45" i="32" s="1"/>
  <c r="AE31" i="32"/>
  <c r="AF31" i="32"/>
  <c r="AG31" i="32"/>
  <c r="AH31" i="32"/>
  <c r="AI31" i="32"/>
  <c r="AJ31" i="32"/>
  <c r="AK31" i="32"/>
  <c r="AL31" i="32"/>
  <c r="AM31" i="32"/>
  <c r="AN31" i="32"/>
  <c r="AO31" i="32"/>
  <c r="AP31" i="32"/>
  <c r="AQ31" i="32"/>
  <c r="AR31" i="32"/>
  <c r="AS31" i="32"/>
  <c r="AT31" i="32"/>
  <c r="AU31" i="32"/>
  <c r="AV31" i="32"/>
  <c r="AW31" i="32"/>
  <c r="AX31" i="32"/>
  <c r="AX45" i="32" s="1"/>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AJ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BB45" i="32" l="1"/>
  <c r="AP45" i="32"/>
  <c r="AH45" i="32"/>
  <c r="AB45" i="32"/>
  <c r="X45" i="32"/>
  <c r="T45" i="32"/>
  <c r="N45" i="32"/>
  <c r="F45" i="32"/>
  <c r="C42" i="78"/>
  <c r="C45" i="78"/>
  <c r="C29" i="78"/>
  <c r="C31" i="78"/>
  <c r="C33" i="78"/>
  <c r="C35" i="78"/>
  <c r="C37" i="78"/>
  <c r="C39" i="78"/>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C45"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6" i="46"/>
  <c r="E15" i="46"/>
  <c r="E14" i="46"/>
  <c r="E13" i="46"/>
  <c r="E12" i="46"/>
  <c r="C14" i="44"/>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K223" i="24" s="1"/>
  <c r="L221" i="24"/>
  <c r="M221" i="24"/>
  <c r="N221" i="24"/>
  <c r="O221" i="24"/>
  <c r="P221" i="24"/>
  <c r="Q221" i="24"/>
  <c r="Q223" i="24" s="1"/>
  <c r="R221" i="24"/>
  <c r="S221" i="24"/>
  <c r="T221" i="24"/>
  <c r="U221" i="24"/>
  <c r="U223" i="24" s="1"/>
  <c r="V221" i="24"/>
  <c r="W221" i="24"/>
  <c r="X221" i="24"/>
  <c r="Y221" i="24"/>
  <c r="Y223" i="24" s="1"/>
  <c r="Z221" i="24"/>
  <c r="AA221" i="24"/>
  <c r="AA223" i="24" s="1"/>
  <c r="AB221" i="24"/>
  <c r="AC221" i="24"/>
  <c r="AC223" i="24" s="1"/>
  <c r="AD221" i="24"/>
  <c r="AE221" i="24"/>
  <c r="AE223" i="24" s="1"/>
  <c r="AF221" i="24"/>
  <c r="AG221" i="24"/>
  <c r="AG223" i="24" s="1"/>
  <c r="AH221" i="24"/>
  <c r="AI221" i="24"/>
  <c r="AJ221" i="24"/>
  <c r="AK221" i="24"/>
  <c r="AK223" i="24" s="1"/>
  <c r="AL221" i="24"/>
  <c r="AM221" i="24"/>
  <c r="AN221" i="24"/>
  <c r="AO221" i="24"/>
  <c r="AO223" i="24" s="1"/>
  <c r="AP221" i="24"/>
  <c r="AQ221" i="24"/>
  <c r="AQ223" i="24" s="1"/>
  <c r="AR221" i="24"/>
  <c r="AS221" i="24"/>
  <c r="AS223" i="24" s="1"/>
  <c r="AT221" i="24"/>
  <c r="AU221" i="24"/>
  <c r="AU223" i="24" s="1"/>
  <c r="AV221" i="24"/>
  <c r="AW221" i="24"/>
  <c r="AX221" i="24"/>
  <c r="AY221" i="24"/>
  <c r="AZ221" i="24"/>
  <c r="BA221" i="24"/>
  <c r="BA223" i="24" s="1"/>
  <c r="BB221" i="24"/>
  <c r="BC221" i="24"/>
  <c r="BC223" i="24" s="1"/>
  <c r="BD221" i="24"/>
  <c r="BE221" i="24"/>
  <c r="BE223" i="24" s="1"/>
  <c r="BF221" i="24"/>
  <c r="F221" i="24"/>
  <c r="AY223" i="24" l="1"/>
  <c r="AW223" i="24"/>
  <c r="F223" i="76"/>
  <c r="F224" i="76"/>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76" l="1"/>
  <c r="F226" i="5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BG164" i="23"/>
  <c r="BH164" i="23"/>
  <c r="BI164" i="23"/>
  <c r="BF165" i="23"/>
  <c r="BG165" i="23"/>
  <c r="BH165" i="23"/>
  <c r="BI165" i="23"/>
  <c r="BF166" i="23"/>
  <c r="BG166" i="23"/>
  <c r="BH166" i="23"/>
  <c r="BI166" i="23"/>
  <c r="BF167" i="23"/>
  <c r="BG167" i="23"/>
  <c r="BH167" i="23"/>
  <c r="BI167" i="23"/>
  <c r="BF168" i="23"/>
  <c r="BG168" i="23"/>
  <c r="BH168" i="23"/>
  <c r="BI168" i="23"/>
  <c r="BF169" i="23"/>
  <c r="BG169" i="23"/>
  <c r="BH169" i="23"/>
  <c r="BI169" i="23"/>
  <c r="BF170" i="23"/>
  <c r="BG170" i="23"/>
  <c r="BH170" i="23"/>
  <c r="BI170" i="23"/>
  <c r="BF171" i="23"/>
  <c r="BG171" i="23"/>
  <c r="BH171" i="23"/>
  <c r="BI171" i="23"/>
  <c r="BF172" i="23"/>
  <c r="BG172" i="23"/>
  <c r="BH172" i="23"/>
  <c r="BI172" i="23"/>
  <c r="BF173" i="23"/>
  <c r="BG173" i="23"/>
  <c r="BH173" i="23"/>
  <c r="BI173" i="23"/>
  <c r="BF174" i="23"/>
  <c r="BG174" i="23"/>
  <c r="BH174" i="23"/>
  <c r="BI174" i="23"/>
  <c r="BF175" i="23"/>
  <c r="BG175" i="23"/>
  <c r="BH175" i="23"/>
  <c r="BI175" i="23"/>
  <c r="E12" i="35"/>
  <c r="E13" i="35"/>
  <c r="E17" i="35"/>
  <c r="E18" i="35"/>
  <c r="E19" i="35"/>
  <c r="E20" i="35"/>
  <c r="E30" i="35"/>
  <c r="E31" i="35"/>
  <c r="E32" i="35"/>
  <c r="E33" i="35"/>
  <c r="E34" i="35"/>
  <c r="E35" i="35"/>
  <c r="E36" i="35"/>
  <c r="E37" i="35"/>
  <c r="E38" i="35"/>
  <c r="E39" i="35"/>
  <c r="E43" i="35"/>
  <c r="E44" i="35"/>
  <c r="C47" i="71" l="1"/>
  <c r="C23" i="71"/>
  <c r="C35" i="71"/>
  <c r="C11" i="71"/>
  <c r="E22" i="35"/>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6" i="39"/>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N48" i="38" s="1"/>
  <c r="N41" i="40"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AJ23" i="36" l="1"/>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D30" i="43"/>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D12" i="43"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43" i="37" s="1"/>
  <c r="AP35" i="40" s="1"/>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43" i="37" s="1"/>
  <c r="R35" i="40" s="1"/>
  <c r="R38" i="36"/>
  <c r="R40" i="36" s="1"/>
  <c r="R31" i="40" s="1"/>
  <c r="R25" i="36"/>
  <c r="R29" i="40" s="1"/>
  <c r="P26" i="38"/>
  <c r="P41" i="37"/>
  <c r="P38" i="36"/>
  <c r="P25" i="36"/>
  <c r="P29" i="40" s="1"/>
  <c r="N26" i="38"/>
  <c r="N28" i="38" s="1"/>
  <c r="N39" i="40" s="1"/>
  <c r="N41" i="37"/>
  <c r="N43" i="37" s="1"/>
  <c r="N35" i="40" s="1"/>
  <c r="N38" i="36"/>
  <c r="N40" i="36" s="1"/>
  <c r="N31" i="40" s="1"/>
  <c r="N25" i="36"/>
  <c r="N29" i="40" s="1"/>
  <c r="L26" i="38"/>
  <c r="L41" i="37"/>
  <c r="L38" i="36"/>
  <c r="L40" i="36" s="1"/>
  <c r="L31" i="40" s="1"/>
  <c r="L25" i="36"/>
  <c r="L29" i="40" s="1"/>
  <c r="J26" i="38"/>
  <c r="J41" i="37"/>
  <c r="J43" i="37" s="1"/>
  <c r="J35" i="40" s="1"/>
  <c r="J38" i="36"/>
  <c r="J40" i="36" s="1"/>
  <c r="J31" i="40" s="1"/>
  <c r="J25" i="36"/>
  <c r="J29" i="40" s="1"/>
  <c r="H26" i="38"/>
  <c r="H41" i="37"/>
  <c r="H38" i="36"/>
  <c r="H40" i="36" s="1"/>
  <c r="H31" i="40" s="1"/>
  <c r="H25" i="36"/>
  <c r="H29" i="40" s="1"/>
  <c r="F26" i="38"/>
  <c r="F41" i="37"/>
  <c r="F38" i="36"/>
  <c r="F25" i="36"/>
  <c r="F29" i="40" s="1"/>
  <c r="BH12" i="36"/>
  <c r="AK15" i="36"/>
  <c r="BH15" i="36" s="1"/>
  <c r="BE26" i="38"/>
  <c r="BE41" i="37"/>
  <c r="BE43" i="37" s="1"/>
  <c r="BE35" i="40" s="1"/>
  <c r="BE38" i="36"/>
  <c r="BE40" i="36" s="1"/>
  <c r="BE31" i="40" s="1"/>
  <c r="BE25" i="36"/>
  <c r="BE29" i="40" s="1"/>
  <c r="BC26" i="38"/>
  <c r="BC41" i="37"/>
  <c r="BC43" i="37" s="1"/>
  <c r="BC35" i="40" s="1"/>
  <c r="BC38" i="36"/>
  <c r="BC40" i="36" s="1"/>
  <c r="BC31" i="40" s="1"/>
  <c r="BC25" i="36"/>
  <c r="BC29" i="40" s="1"/>
  <c r="BA26" i="38"/>
  <c r="BA41" i="37"/>
  <c r="BA43" i="37" s="1"/>
  <c r="BA35" i="40" s="1"/>
  <c r="BA38" i="36"/>
  <c r="BA40" i="36" s="1"/>
  <c r="BA31" i="40" s="1"/>
  <c r="BA25" i="36"/>
  <c r="BA29" i="40" s="1"/>
  <c r="AY26" i="38"/>
  <c r="AY41" i="37"/>
  <c r="AY43" i="37" s="1"/>
  <c r="AY35" i="40" s="1"/>
  <c r="AY38" i="36"/>
  <c r="AY40" i="36" s="1"/>
  <c r="AY31" i="40" s="1"/>
  <c r="AY25" i="36"/>
  <c r="AY29" i="40" s="1"/>
  <c r="AW26" i="38"/>
  <c r="AW41" i="37"/>
  <c r="AW38" i="36"/>
  <c r="AW25" i="36"/>
  <c r="AW29" i="40" s="1"/>
  <c r="AU26" i="38"/>
  <c r="AU41" i="37"/>
  <c r="AU38" i="36"/>
  <c r="AU25" i="36"/>
  <c r="AU29" i="40" s="1"/>
  <c r="AS26" i="38"/>
  <c r="AS41" i="37"/>
  <c r="AS43" i="37" s="1"/>
  <c r="AS35" i="40" s="1"/>
  <c r="AS38" i="36"/>
  <c r="AS40" i="36" s="1"/>
  <c r="AS31" i="40" s="1"/>
  <c r="AS25" i="36"/>
  <c r="AS29" i="40" s="1"/>
  <c r="AQ26" i="38"/>
  <c r="AQ41" i="37"/>
  <c r="AQ38" i="36"/>
  <c r="AQ25" i="36"/>
  <c r="AQ29" i="40" s="1"/>
  <c r="AO26" i="38"/>
  <c r="AO41" i="37"/>
  <c r="AO38" i="36"/>
  <c r="AO25" i="36"/>
  <c r="AO29" i="40" s="1"/>
  <c r="AM26" i="38"/>
  <c r="AM41" i="37"/>
  <c r="AM43" i="37" s="1"/>
  <c r="AM35" i="40" s="1"/>
  <c r="AM38" i="36"/>
  <c r="AM40" i="36" s="1"/>
  <c r="AM31" i="40" s="1"/>
  <c r="AM25" i="36"/>
  <c r="AM29" i="40" s="1"/>
  <c r="AI26" i="38"/>
  <c r="AI38" i="36"/>
  <c r="AI40" i="36" s="1"/>
  <c r="AI31" i="40" s="1"/>
  <c r="AG26" i="38"/>
  <c r="AG41" i="37"/>
  <c r="AG43" i="37" s="1"/>
  <c r="AG35" i="40" s="1"/>
  <c r="AG38" i="36"/>
  <c r="AG40" i="36" s="1"/>
  <c r="AG31" i="40" s="1"/>
  <c r="AG25" i="36"/>
  <c r="AG29" i="40" s="1"/>
  <c r="AE26" i="38"/>
  <c r="AE41" i="37"/>
  <c r="AE38" i="36"/>
  <c r="AE25" i="36"/>
  <c r="AE29" i="40" s="1"/>
  <c r="AC26" i="38"/>
  <c r="AC41" i="37"/>
  <c r="AC43" i="37" s="1"/>
  <c r="AC35" i="40" s="1"/>
  <c r="AC38" i="36"/>
  <c r="AC40" i="36" s="1"/>
  <c r="AC31" i="40" s="1"/>
  <c r="AC25" i="36"/>
  <c r="AC29" i="40" s="1"/>
  <c r="AA26" i="38"/>
  <c r="AA41" i="37"/>
  <c r="AA38" i="36"/>
  <c r="AA25" i="36"/>
  <c r="AA29" i="40" s="1"/>
  <c r="Y26" i="38"/>
  <c r="Y41" i="37"/>
  <c r="Y43" i="37" s="1"/>
  <c r="Y35" i="40" s="1"/>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D28" i="43"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G46" i="35" s="1"/>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I43" i="37" l="1"/>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O46" i="35"/>
  <c r="O48" i="35" s="1"/>
  <c r="O26" i="40" s="1"/>
  <c r="BF15" i="38"/>
  <c r="Q43" i="37"/>
  <c r="Q35" i="40" s="1"/>
  <c r="AW43" i="37"/>
  <c r="AW35" i="40" s="1"/>
  <c r="F43" i="37"/>
  <c r="F35" i="40" s="1"/>
  <c r="V43" i="37"/>
  <c r="V35" i="40" s="1"/>
  <c r="Z43" i="37"/>
  <c r="Z35" i="40" s="1"/>
  <c r="D38" i="43"/>
  <c r="D26" i="43"/>
  <c r="M46" i="35"/>
  <c r="K46" i="35"/>
  <c r="I46" i="35"/>
  <c r="I48" i="35" s="1"/>
  <c r="I26" i="40" s="1"/>
  <c r="G46" i="35"/>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P46" i="35"/>
  <c r="P48" i="35" s="1"/>
  <c r="P26" i="40" s="1"/>
  <c r="N46" i="35"/>
  <c r="N48" i="35" s="1"/>
  <c r="N26" i="40" s="1"/>
  <c r="L46" i="35"/>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G48" i="35"/>
  <c r="G26" i="40" s="1"/>
  <c r="H43" i="37"/>
  <c r="H35" i="40" s="1"/>
  <c r="AJ43" i="37"/>
  <c r="AJ35" i="40" s="1"/>
  <c r="AR43" i="37"/>
  <c r="AR35" i="40" s="1"/>
  <c r="AZ43" i="37"/>
  <c r="AZ35" i="40" s="1"/>
  <c r="AT43" i="37"/>
  <c r="AT35" i="40" s="1"/>
  <c r="R48" i="35"/>
  <c r="R26" i="40" s="1"/>
  <c r="AX43" i="37"/>
  <c r="AX35" i="40" s="1"/>
  <c r="Q48" i="35"/>
  <c r="Q26"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8" i="35"/>
  <c r="L26"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D32" i="43" l="1"/>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H24" i="35" l="1"/>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W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N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D87" i="34" s="1"/>
  <c r="AE88" i="34"/>
  <c r="AF88" i="34"/>
  <c r="AG88" i="34"/>
  <c r="AG87" i="34" s="1"/>
  <c r="AH88" i="34"/>
  <c r="AH87" i="34" s="1"/>
  <c r="AI88" i="34"/>
  <c r="AJ88" i="34"/>
  <c r="AJ87" i="34" s="1"/>
  <c r="AK88" i="34"/>
  <c r="AL88" i="34"/>
  <c r="AL87" i="34" s="1"/>
  <c r="AM88" i="34"/>
  <c r="AM87" i="34" s="1"/>
  <c r="AN88" i="34"/>
  <c r="AN87" i="34" s="1"/>
  <c r="AO88" i="34"/>
  <c r="AO87" i="34" s="1"/>
  <c r="AP88" i="34"/>
  <c r="AQ88" i="34"/>
  <c r="AQ87" i="34" s="1"/>
  <c r="AR88" i="34"/>
  <c r="AS88" i="34"/>
  <c r="AS87" i="34" s="1"/>
  <c r="AT88" i="34"/>
  <c r="AT87" i="34" s="1"/>
  <c r="AU88" i="34"/>
  <c r="AU87" i="34" s="1"/>
  <c r="AV88" i="34"/>
  <c r="AV87" i="34" s="1"/>
  <c r="AW88" i="34"/>
  <c r="AW87" i="34" s="1"/>
  <c r="AX88" i="34"/>
  <c r="AX87" i="34" s="1"/>
  <c r="AY88" i="34"/>
  <c r="AY87" i="34" s="1"/>
  <c r="AZ88" i="34"/>
  <c r="AZ87" i="34" s="1"/>
  <c r="BA88" i="34"/>
  <c r="BB88" i="34"/>
  <c r="BB87" i="34" s="1"/>
  <c r="BC87" i="34"/>
  <c r="BD88" i="34"/>
  <c r="BE88" i="34"/>
  <c r="BE87" i="34" s="1"/>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X4" i="34" s="1"/>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I108" i="34" s="1"/>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C182" i="34" l="1"/>
  <c r="BC177" i="23" s="1"/>
  <c r="AY182" i="34"/>
  <c r="AY177" i="23" s="1"/>
  <c r="O4" i="34"/>
  <c r="AM182" i="34"/>
  <c r="AM177" i="23" s="1"/>
  <c r="BB182" i="34"/>
  <c r="BB177" i="23" s="1"/>
  <c r="AZ182" i="34"/>
  <c r="AZ177" i="23" s="1"/>
  <c r="AX182" i="34"/>
  <c r="AX177" i="23" s="1"/>
  <c r="AV182" i="34"/>
  <c r="AV177" i="23" s="1"/>
  <c r="AT182" i="34"/>
  <c r="AT177" i="23" s="1"/>
  <c r="AA87" i="34"/>
  <c r="O87" i="34"/>
  <c r="AL182" i="34"/>
  <c r="AL177" i="23" s="1"/>
  <c r="E7" i="53"/>
  <c r="AI87" i="34"/>
  <c r="AI182" i="34" s="1"/>
  <c r="AI177" i="23" s="1"/>
  <c r="AR87" i="34"/>
  <c r="AR182" i="34" s="1"/>
  <c r="AR177" i="23" s="1"/>
  <c r="AP87" i="34"/>
  <c r="AP182" i="34" s="1"/>
  <c r="AP177" i="23" s="1"/>
  <c r="AS182" i="34"/>
  <c r="AS177" i="23" s="1"/>
  <c r="AH182" i="34"/>
  <c r="AH177" i="23" s="1"/>
  <c r="AF87" i="34"/>
  <c r="AF182" i="34" s="1"/>
  <c r="AF177" i="23" s="1"/>
  <c r="AE87" i="34"/>
  <c r="AE182" i="34" s="1"/>
  <c r="AE177" i="23" s="1"/>
  <c r="AC87" i="34"/>
  <c r="AC182" i="34" s="1"/>
  <c r="AC177" i="23" s="1"/>
  <c r="AA182" i="34"/>
  <c r="AA177" i="23" s="1"/>
  <c r="Y87" i="34"/>
  <c r="Y182" i="34" s="1"/>
  <c r="Y177" i="23" s="1"/>
  <c r="X87" i="34"/>
  <c r="X182" i="34" s="1"/>
  <c r="X177" i="23" s="1"/>
  <c r="AQ182" i="34"/>
  <c r="AQ177" i="23" s="1"/>
  <c r="AW182" i="34"/>
  <c r="AW177" i="23" s="1"/>
  <c r="N182" i="34"/>
  <c r="N177" i="23" s="1"/>
  <c r="T87" i="34"/>
  <c r="T182" i="34" s="1"/>
  <c r="T177" i="23" s="1"/>
  <c r="R87" i="34"/>
  <c r="R182" i="34" s="1"/>
  <c r="R177" i="23" s="1"/>
  <c r="U87" i="34"/>
  <c r="U182" i="34" s="1"/>
  <c r="U177" i="23" s="1"/>
  <c r="AO182" i="34"/>
  <c r="AO177" i="23" s="1"/>
  <c r="AJ182" i="34"/>
  <c r="AJ177" i="23" s="1"/>
  <c r="AB87" i="34"/>
  <c r="AB182" i="34" s="1"/>
  <c r="AB177" i="23" s="1"/>
  <c r="V87" i="34"/>
  <c r="V182" i="34" s="1"/>
  <c r="V177" i="23" s="1"/>
  <c r="AG182" i="34"/>
  <c r="AG177" i="23" s="1"/>
  <c r="BH52" i="34"/>
  <c r="J182" i="34"/>
  <c r="J177" i="23" s="1"/>
  <c r="BE182" i="34"/>
  <c r="AN182" i="34"/>
  <c r="AN177" i="23" s="1"/>
  <c r="AU182" i="34"/>
  <c r="AU177" i="23" s="1"/>
  <c r="S87" i="34"/>
  <c r="S182" i="34" s="1"/>
  <c r="S177" i="23" s="1"/>
  <c r="W87" i="34"/>
  <c r="W182" i="34" s="1"/>
  <c r="W177" i="23" s="1"/>
  <c r="BH88" i="34"/>
  <c r="AD182" i="34"/>
  <c r="AD177" i="23" s="1"/>
  <c r="Q87" i="34"/>
  <c r="Q182" i="34" s="1"/>
  <c r="Q177" i="23" s="1"/>
  <c r="AK87" i="34"/>
  <c r="AK182" i="34" s="1"/>
  <c r="AK177" i="23" s="1"/>
  <c r="P87" i="34"/>
  <c r="P182" i="34" s="1"/>
  <c r="P177" i="23" s="1"/>
  <c r="H87" i="34"/>
  <c r="H182" i="34" s="1"/>
  <c r="H177" i="23" s="1"/>
  <c r="K87" i="34"/>
  <c r="K182" i="34" s="1"/>
  <c r="K177" i="23" s="1"/>
  <c r="G87" i="34"/>
  <c r="G182" i="34" s="1"/>
  <c r="G177" i="23" s="1"/>
  <c r="I87" i="34"/>
  <c r="I182" i="34" s="1"/>
  <c r="I177" i="23" s="1"/>
  <c r="BD87" i="34"/>
  <c r="BI88" i="34"/>
  <c r="BD182" i="34"/>
  <c r="BD177" i="23" s="1"/>
  <c r="L87" i="34"/>
  <c r="F87" i="34"/>
  <c r="F182" i="34" s="1"/>
  <c r="F177" i="23" s="1"/>
  <c r="M87" i="34"/>
  <c r="M182" i="34" s="1"/>
  <c r="M177" i="23" s="1"/>
  <c r="E87" i="34"/>
  <c r="BG74" i="34"/>
  <c r="E4" i="34"/>
  <c r="E182" i="34" s="1"/>
  <c r="E177" i="23" s="1"/>
  <c r="BH168" i="34"/>
  <c r="BH157" i="34"/>
  <c r="BH146" i="34"/>
  <c r="BH135" i="34"/>
  <c r="Z87" i="34"/>
  <c r="Z182" i="34" s="1"/>
  <c r="Z177" i="23" s="1"/>
  <c r="BH113" i="34"/>
  <c r="BH98" i="34"/>
  <c r="BH63" i="34"/>
  <c r="BH41" i="34"/>
  <c r="BH30" i="34"/>
  <c r="BH25" i="34"/>
  <c r="BI168" i="34"/>
  <c r="BI157" i="34"/>
  <c r="BI146" i="34"/>
  <c r="BI135" i="34"/>
  <c r="BI113" i="34"/>
  <c r="BI98" i="34"/>
  <c r="BA87" i="34"/>
  <c r="BA182" i="34" s="1"/>
  <c r="BA17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O182" i="34" l="1"/>
  <c r="O177" i="23" s="1"/>
  <c r="C17" i="52"/>
  <c r="C17" i="78"/>
  <c r="BE17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L177" i="23"/>
  <c r="BH87" i="34"/>
  <c r="BH4" i="34"/>
  <c r="BI87" i="34"/>
  <c r="BF87" i="34"/>
  <c r="BI4" i="34"/>
  <c r="BI182" i="34" s="1"/>
  <c r="C48" i="71" s="1"/>
  <c r="BF17" i="32"/>
  <c r="BG17" i="32"/>
  <c r="BG87" i="34"/>
  <c r="BF4" i="34"/>
  <c r="BG4" i="34"/>
  <c r="BG182" i="34" s="1"/>
  <c r="C24" i="71" s="1"/>
  <c r="BD17" i="32"/>
  <c r="BE17" i="32"/>
  <c r="BF5" i="32"/>
  <c r="BD5" i="32"/>
  <c r="BG5" i="32"/>
  <c r="BE5" i="32"/>
  <c r="C43" i="78" l="1"/>
  <c r="C46" i="78"/>
  <c r="C43" i="52"/>
  <c r="C46" i="52"/>
  <c r="BE43" i="32"/>
  <c r="BE46" i="32"/>
  <c r="BG43" i="32"/>
  <c r="BG46" i="32"/>
  <c r="BF43" i="32"/>
  <c r="BF46" i="32"/>
  <c r="BD43" i="32"/>
  <c r="BD46" i="32"/>
  <c r="D89" i="27"/>
  <c r="BI177" i="23"/>
  <c r="D43" i="27"/>
  <c r="BG177" i="23"/>
  <c r="BH182" i="34"/>
  <c r="C36" i="71" s="1"/>
  <c r="BF182" i="34"/>
  <c r="C12" i="71" s="1"/>
  <c r="C48" i="26"/>
  <c r="C24" i="26"/>
  <c r="BG7" i="24"/>
  <c r="F7" i="31" s="1"/>
  <c r="BG8" i="24"/>
  <c r="F8" i="31" s="1"/>
  <c r="BG9" i="24"/>
  <c r="F9" i="31" s="1"/>
  <c r="BG10" i="24"/>
  <c r="F10" i="31" s="1"/>
  <c r="BG11" i="24"/>
  <c r="F11" i="31" s="1"/>
  <c r="BG12" i="24"/>
  <c r="F12" i="31" s="1"/>
  <c r="BG15" i="24"/>
  <c r="F15" i="31" s="1"/>
  <c r="BG16" i="24"/>
  <c r="F16" i="31" s="1"/>
  <c r="BG17" i="24"/>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BG216" i="24"/>
  <c r="BG217" i="24"/>
  <c r="F215" i="31" s="1"/>
  <c r="F17" i="31"/>
  <c r="F87" i="31"/>
  <c r="F123" i="31"/>
  <c r="F152" i="31"/>
  <c r="F155" i="31"/>
  <c r="F193" i="31"/>
  <c r="BJ216" i="24"/>
  <c r="BJ221" i="24" s="1"/>
  <c r="BJ217" i="24"/>
  <c r="BI216" i="24"/>
  <c r="BI221" i="24" s="1"/>
  <c r="BI217" i="24"/>
  <c r="BH216" i="24"/>
  <c r="BH221" i="24" s="1"/>
  <c r="BH217" i="24"/>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W189" i="24" s="1"/>
  <c r="X190" i="24"/>
  <c r="Y190" i="24"/>
  <c r="Z190" i="24"/>
  <c r="AA190" i="24"/>
  <c r="AA189" i="24" s="1"/>
  <c r="AB190" i="24"/>
  <c r="AC190" i="24"/>
  <c r="AC189" i="24" s="1"/>
  <c r="AD190" i="24"/>
  <c r="AE190" i="24"/>
  <c r="AE189" i="24" s="1"/>
  <c r="AF190" i="24"/>
  <c r="AG190" i="24"/>
  <c r="AH190" i="24"/>
  <c r="AI190" i="24"/>
  <c r="AJ190" i="24"/>
  <c r="AK190" i="24"/>
  <c r="AL190" i="24"/>
  <c r="AM190" i="24"/>
  <c r="AN190" i="24"/>
  <c r="AO190" i="24"/>
  <c r="AO189" i="24" s="1"/>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D15" i="77" s="1"/>
  <c r="H164" i="24"/>
  <c r="E15" i="77" s="1"/>
  <c r="J164" i="24"/>
  <c r="G15" i="77" s="1"/>
  <c r="K164" i="24"/>
  <c r="H15" i="77" s="1"/>
  <c r="L164" i="24"/>
  <c r="I15" i="77" s="1"/>
  <c r="M164" i="24"/>
  <c r="J15" i="77" s="1"/>
  <c r="N164" i="24"/>
  <c r="K15" i="77" s="1"/>
  <c r="O164" i="24"/>
  <c r="L15" i="77" s="1"/>
  <c r="P164" i="24"/>
  <c r="M15" i="77" s="1"/>
  <c r="Q164" i="24"/>
  <c r="N15" i="77" s="1"/>
  <c r="R164" i="24"/>
  <c r="O15" i="77" s="1"/>
  <c r="S164" i="24"/>
  <c r="P15" i="77" s="1"/>
  <c r="T164" i="24"/>
  <c r="Q15" i="77" s="1"/>
  <c r="U164" i="24"/>
  <c r="R15" i="77" s="1"/>
  <c r="V164" i="24"/>
  <c r="S15" i="77" s="1"/>
  <c r="W164" i="24"/>
  <c r="T15" i="77" s="1"/>
  <c r="X164" i="24"/>
  <c r="U15" i="77" s="1"/>
  <c r="Y164" i="24"/>
  <c r="V15" i="77" s="1"/>
  <c r="Z164" i="24"/>
  <c r="W15" i="77" s="1"/>
  <c r="AA164" i="24"/>
  <c r="X15" i="77" s="1"/>
  <c r="AB164" i="24"/>
  <c r="Y15" i="77" s="1"/>
  <c r="AC164" i="24"/>
  <c r="Z15" i="77" s="1"/>
  <c r="AD164" i="24"/>
  <c r="AA15" i="77" s="1"/>
  <c r="AE164" i="24"/>
  <c r="AB15" i="77" s="1"/>
  <c r="AF164" i="24"/>
  <c r="AC15" i="77" s="1"/>
  <c r="AG164" i="24"/>
  <c r="AD15" i="77" s="1"/>
  <c r="AH164" i="24"/>
  <c r="AE15" i="77" s="1"/>
  <c r="AI164" i="24"/>
  <c r="AF15" i="77" s="1"/>
  <c r="AJ164" i="24"/>
  <c r="AG15" i="77" s="1"/>
  <c r="AK164" i="24"/>
  <c r="AH15" i="77" s="1"/>
  <c r="AL164" i="24"/>
  <c r="AI15" i="77" s="1"/>
  <c r="AM164" i="24"/>
  <c r="AJ15" i="77" s="1"/>
  <c r="AN164" i="24"/>
  <c r="AK15" i="77" s="1"/>
  <c r="AO164" i="24"/>
  <c r="AL15" i="77" s="1"/>
  <c r="AP164" i="24"/>
  <c r="AM15" i="77" s="1"/>
  <c r="AQ164" i="24"/>
  <c r="AN15" i="77" s="1"/>
  <c r="AR164" i="24"/>
  <c r="AO15" i="77" s="1"/>
  <c r="AS164" i="24"/>
  <c r="AP15" i="77" s="1"/>
  <c r="AT164" i="24"/>
  <c r="AQ15" i="77" s="1"/>
  <c r="AU164" i="24"/>
  <c r="AR15" i="77" s="1"/>
  <c r="AV164" i="24"/>
  <c r="AS15" i="77" s="1"/>
  <c r="AW164" i="24"/>
  <c r="AT15" i="77" s="1"/>
  <c r="AX164" i="24"/>
  <c r="AU15" i="77" s="1"/>
  <c r="AY164" i="24"/>
  <c r="AV15" i="77" s="1"/>
  <c r="AZ164" i="24"/>
  <c r="AW15" i="77" s="1"/>
  <c r="BA164" i="24"/>
  <c r="AX15" i="77" s="1"/>
  <c r="BB164" i="24"/>
  <c r="AY15" i="77" s="1"/>
  <c r="BC164" i="24"/>
  <c r="AZ15" i="77" s="1"/>
  <c r="BD164" i="24"/>
  <c r="BA15" i="77" s="1"/>
  <c r="BE164" i="24"/>
  <c r="BB15" i="77" s="1"/>
  <c r="BF164" i="24"/>
  <c r="BC15" i="77" s="1"/>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D13" i="77" s="1"/>
  <c r="H132" i="24"/>
  <c r="E13" i="77" s="1"/>
  <c r="I132" i="24"/>
  <c r="F13" i="77" s="1"/>
  <c r="J132" i="24"/>
  <c r="G13" i="77" s="1"/>
  <c r="K132" i="24"/>
  <c r="H13" i="77" s="1"/>
  <c r="L132" i="24"/>
  <c r="I13" i="77" s="1"/>
  <c r="M132" i="24"/>
  <c r="J13" i="77" s="1"/>
  <c r="N132" i="24"/>
  <c r="K13" i="77" s="1"/>
  <c r="O132" i="24"/>
  <c r="L13" i="77" s="1"/>
  <c r="P132" i="24"/>
  <c r="M13" i="77" s="1"/>
  <c r="Q132" i="24"/>
  <c r="N13" i="77" s="1"/>
  <c r="R132" i="24"/>
  <c r="O13" i="77" s="1"/>
  <c r="S132" i="24"/>
  <c r="P13" i="77" s="1"/>
  <c r="T132" i="24"/>
  <c r="Q13" i="77" s="1"/>
  <c r="U132" i="24"/>
  <c r="R13" i="77" s="1"/>
  <c r="V132" i="24"/>
  <c r="S13" i="77" s="1"/>
  <c r="W132" i="24"/>
  <c r="T13" i="77" s="1"/>
  <c r="X132" i="24"/>
  <c r="U13" i="77" s="1"/>
  <c r="Y132" i="24"/>
  <c r="V13" i="77" s="1"/>
  <c r="Z132" i="24"/>
  <c r="W13" i="77" s="1"/>
  <c r="AA132" i="24"/>
  <c r="X13" i="77" s="1"/>
  <c r="AB132" i="24"/>
  <c r="Y13" i="77" s="1"/>
  <c r="AC132" i="24"/>
  <c r="Z13" i="77" s="1"/>
  <c r="AD132" i="24"/>
  <c r="AA13" i="77" s="1"/>
  <c r="AE132" i="24"/>
  <c r="AB13" i="77" s="1"/>
  <c r="AF132" i="24"/>
  <c r="AC13" i="77" s="1"/>
  <c r="AG132" i="24"/>
  <c r="AD13" i="77" s="1"/>
  <c r="AH132" i="24"/>
  <c r="AE13" i="77" s="1"/>
  <c r="AI132" i="24"/>
  <c r="AF13" i="77" s="1"/>
  <c r="AJ132" i="24"/>
  <c r="AG13" i="77" s="1"/>
  <c r="AK132" i="24"/>
  <c r="AH13" i="77" s="1"/>
  <c r="AL132" i="24"/>
  <c r="AI13" i="77" s="1"/>
  <c r="AM132" i="24"/>
  <c r="AJ13" i="77" s="1"/>
  <c r="AN132" i="24"/>
  <c r="AK13" i="77" s="1"/>
  <c r="AO132" i="24"/>
  <c r="AL13" i="77" s="1"/>
  <c r="AP132" i="24"/>
  <c r="AM13" i="77" s="1"/>
  <c r="AQ132" i="24"/>
  <c r="AN13" i="77" s="1"/>
  <c r="AR132" i="24"/>
  <c r="AO13" i="77" s="1"/>
  <c r="AS132" i="24"/>
  <c r="AP13" i="77" s="1"/>
  <c r="AT132" i="24"/>
  <c r="AQ13" i="77" s="1"/>
  <c r="AU132" i="24"/>
  <c r="AR13" i="77" s="1"/>
  <c r="AV132" i="24"/>
  <c r="AS13" i="77" s="1"/>
  <c r="AW132" i="24"/>
  <c r="AT13" i="77" s="1"/>
  <c r="AX132" i="24"/>
  <c r="AU13" i="77" s="1"/>
  <c r="AY132" i="24"/>
  <c r="AV13" i="77" s="1"/>
  <c r="AZ132" i="24"/>
  <c r="AW13" i="77" s="1"/>
  <c r="BA132" i="24"/>
  <c r="AX13" i="77" s="1"/>
  <c r="BB132" i="24"/>
  <c r="AY13" i="77" s="1"/>
  <c r="BC132" i="24"/>
  <c r="AZ13" i="77" s="1"/>
  <c r="BD132" i="24"/>
  <c r="BA13" i="77" s="1"/>
  <c r="BE132" i="24"/>
  <c r="BB13" i="77" s="1"/>
  <c r="BF132" i="24"/>
  <c r="BC13" i="77" s="1"/>
  <c r="G122" i="24"/>
  <c r="D11" i="77" s="1"/>
  <c r="H122" i="24"/>
  <c r="E11" i="77" s="1"/>
  <c r="E20" i="77" s="1"/>
  <c r="E21" i="77" s="1"/>
  <c r="I122" i="24"/>
  <c r="F11" i="77" s="1"/>
  <c r="F20" i="77" s="1"/>
  <c r="F21" i="77" s="1"/>
  <c r="J122" i="24"/>
  <c r="G11" i="77" s="1"/>
  <c r="G20" i="77" s="1"/>
  <c r="G21" i="77" s="1"/>
  <c r="K122" i="24"/>
  <c r="H11" i="77" s="1"/>
  <c r="H20" i="77" s="1"/>
  <c r="H21" i="77" s="1"/>
  <c r="L122" i="24"/>
  <c r="I11" i="77" s="1"/>
  <c r="I20" i="77" s="1"/>
  <c r="I21" i="77" s="1"/>
  <c r="M122" i="24"/>
  <c r="J11" i="77" s="1"/>
  <c r="J20" i="77" s="1"/>
  <c r="J21" i="77" s="1"/>
  <c r="N122" i="24"/>
  <c r="K11" i="77" s="1"/>
  <c r="K20" i="77" s="1"/>
  <c r="K21" i="77" s="1"/>
  <c r="O122" i="24"/>
  <c r="L11" i="77" s="1"/>
  <c r="L20" i="77" s="1"/>
  <c r="L21" i="77" s="1"/>
  <c r="P122" i="24"/>
  <c r="M11" i="77" s="1"/>
  <c r="M20" i="77" s="1"/>
  <c r="M21" i="77" s="1"/>
  <c r="Q122" i="24"/>
  <c r="N11" i="77" s="1"/>
  <c r="N20" i="77" s="1"/>
  <c r="N21" i="77" s="1"/>
  <c r="R122" i="24"/>
  <c r="O11" i="77" s="1"/>
  <c r="O20" i="77" s="1"/>
  <c r="O21" i="77" s="1"/>
  <c r="S122" i="24"/>
  <c r="P11" i="77" s="1"/>
  <c r="P20" i="77" s="1"/>
  <c r="P21" i="77" s="1"/>
  <c r="T122" i="24"/>
  <c r="Q11" i="77" s="1"/>
  <c r="Q20" i="77" s="1"/>
  <c r="Q21" i="77" s="1"/>
  <c r="U122" i="24"/>
  <c r="R11" i="77" s="1"/>
  <c r="R20" i="77" s="1"/>
  <c r="R21" i="77" s="1"/>
  <c r="V122" i="24"/>
  <c r="S11" i="77" s="1"/>
  <c r="S20" i="77" s="1"/>
  <c r="S21" i="77" s="1"/>
  <c r="W122" i="24"/>
  <c r="T11" i="77" s="1"/>
  <c r="T20" i="77" s="1"/>
  <c r="T21" i="77" s="1"/>
  <c r="X122" i="24"/>
  <c r="U11" i="77" s="1"/>
  <c r="U20" i="77" s="1"/>
  <c r="U21" i="77" s="1"/>
  <c r="Y122" i="24"/>
  <c r="V11" i="77" s="1"/>
  <c r="Z122" i="24"/>
  <c r="W11" i="77" s="1"/>
  <c r="W20" i="77" s="1"/>
  <c r="W21" i="77" s="1"/>
  <c r="AA122" i="24"/>
  <c r="X11" i="77" s="1"/>
  <c r="X20" i="77" s="1"/>
  <c r="X21" i="77" s="1"/>
  <c r="AB122" i="24"/>
  <c r="Y11" i="77" s="1"/>
  <c r="Y20" i="77" s="1"/>
  <c r="Y21" i="77" s="1"/>
  <c r="AC122" i="24"/>
  <c r="Z11" i="77" s="1"/>
  <c r="Z20" i="77" s="1"/>
  <c r="Z21" i="77" s="1"/>
  <c r="AD122" i="24"/>
  <c r="AA11" i="77" s="1"/>
  <c r="AA20" i="77" s="1"/>
  <c r="AA21" i="77" s="1"/>
  <c r="AE122" i="24"/>
  <c r="AB11" i="77" s="1"/>
  <c r="AB20" i="77" s="1"/>
  <c r="AB21" i="77" s="1"/>
  <c r="AF122" i="24"/>
  <c r="AC11" i="77" s="1"/>
  <c r="AC20" i="77" s="1"/>
  <c r="AC21" i="77" s="1"/>
  <c r="AG122" i="24"/>
  <c r="AD11" i="77" s="1"/>
  <c r="AD20" i="77" s="1"/>
  <c r="AD21" i="77" s="1"/>
  <c r="AH122" i="24"/>
  <c r="AE11" i="77" s="1"/>
  <c r="AE20" i="77" s="1"/>
  <c r="AE21" i="77" s="1"/>
  <c r="AI122" i="24"/>
  <c r="AF11" i="77" s="1"/>
  <c r="AF20" i="77" s="1"/>
  <c r="AF21" i="77" s="1"/>
  <c r="AJ122" i="24"/>
  <c r="AG11" i="77" s="1"/>
  <c r="AG20" i="77" s="1"/>
  <c r="AG21" i="77" s="1"/>
  <c r="AK122" i="24"/>
  <c r="AH11" i="77" s="1"/>
  <c r="AH20" i="77" s="1"/>
  <c r="AH21" i="77" s="1"/>
  <c r="AL122" i="24"/>
  <c r="AI11" i="77" s="1"/>
  <c r="AM122" i="24"/>
  <c r="AJ11" i="77" s="1"/>
  <c r="AJ20" i="77" s="1"/>
  <c r="AJ21" i="77" s="1"/>
  <c r="AN122" i="24"/>
  <c r="AK11" i="77" s="1"/>
  <c r="AK20" i="77" s="1"/>
  <c r="AK21" i="77" s="1"/>
  <c r="AO122" i="24"/>
  <c r="AL11" i="77" s="1"/>
  <c r="AL20" i="77" s="1"/>
  <c r="AL21" i="77" s="1"/>
  <c r="AP122" i="24"/>
  <c r="AM11" i="77" s="1"/>
  <c r="AM20" i="77" s="1"/>
  <c r="AM21" i="77" s="1"/>
  <c r="AQ122" i="24"/>
  <c r="AN11" i="77" s="1"/>
  <c r="AN20" i="77" s="1"/>
  <c r="AN21" i="77" s="1"/>
  <c r="AR122" i="24"/>
  <c r="AO11" i="77" s="1"/>
  <c r="AO20" i="77" s="1"/>
  <c r="AO21" i="77" s="1"/>
  <c r="AS122" i="24"/>
  <c r="AP11" i="77" s="1"/>
  <c r="AP20" i="77" s="1"/>
  <c r="AP21" i="77" s="1"/>
  <c r="AT122" i="24"/>
  <c r="AQ11" i="77" s="1"/>
  <c r="AQ20" i="77" s="1"/>
  <c r="AQ21" i="77" s="1"/>
  <c r="AU122" i="24"/>
  <c r="AR11" i="77" s="1"/>
  <c r="AR20" i="77" s="1"/>
  <c r="AR21" i="77" s="1"/>
  <c r="AV122" i="24"/>
  <c r="AS11" i="77" s="1"/>
  <c r="AS20" i="77" s="1"/>
  <c r="AS21" i="77" s="1"/>
  <c r="AW122" i="24"/>
  <c r="AT11" i="77" s="1"/>
  <c r="AT20" i="77" s="1"/>
  <c r="AT21" i="77" s="1"/>
  <c r="AX122" i="24"/>
  <c r="AU11" i="77" s="1"/>
  <c r="AU20" i="77" s="1"/>
  <c r="AU21" i="77" s="1"/>
  <c r="AY122" i="24"/>
  <c r="AV11" i="77" s="1"/>
  <c r="AV20" i="77" s="1"/>
  <c r="AV21" i="77" s="1"/>
  <c r="AZ122" i="24"/>
  <c r="AW11" i="77" s="1"/>
  <c r="AW20" i="77" s="1"/>
  <c r="AW21" i="77" s="1"/>
  <c r="BA122" i="24"/>
  <c r="AX11" i="77" s="1"/>
  <c r="AX20" i="77" s="1"/>
  <c r="AX21" i="77" s="1"/>
  <c r="BB122" i="24"/>
  <c r="AY11" i="77" s="1"/>
  <c r="AY20" i="77" s="1"/>
  <c r="AY21" i="77" s="1"/>
  <c r="BC122" i="24"/>
  <c r="AZ11" i="77" s="1"/>
  <c r="AZ20" i="77" s="1"/>
  <c r="AZ21" i="77" s="1"/>
  <c r="BD122" i="24"/>
  <c r="BA11" i="77" s="1"/>
  <c r="BA20" i="77" s="1"/>
  <c r="BA21" i="77" s="1"/>
  <c r="BE122" i="24"/>
  <c r="BB11" i="77" s="1"/>
  <c r="BB20" i="77" s="1"/>
  <c r="BB21" i="77" s="1"/>
  <c r="BF122" i="24"/>
  <c r="BC11" i="77" s="1"/>
  <c r="BC20" i="77" s="1"/>
  <c r="BC21" i="77" s="1"/>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C15" i="77" s="1"/>
  <c r="F152" i="24"/>
  <c r="F142" i="24"/>
  <c r="F132" i="24"/>
  <c r="C13" i="77" s="1"/>
  <c r="F122" i="24"/>
  <c r="C11" i="77" s="1"/>
  <c r="F107" i="24"/>
  <c r="F96" i="24"/>
  <c r="F85" i="24"/>
  <c r="F68" i="24"/>
  <c r="F61" i="24"/>
  <c r="F53" i="24"/>
  <c r="F47" i="24"/>
  <c r="F40" i="24"/>
  <c r="F30" i="24"/>
  <c r="F24" i="24"/>
  <c r="F14" i="24"/>
  <c r="F6" i="24"/>
  <c r="BB4" i="24" l="1"/>
  <c r="I189" i="24"/>
  <c r="BE189" i="24"/>
  <c r="BC189" i="24"/>
  <c r="AA121" i="24"/>
  <c r="X9" i="77" s="1"/>
  <c r="G5" i="24"/>
  <c r="D7" i="77" s="1"/>
  <c r="BB5" i="24"/>
  <c r="AY7" i="77" s="1"/>
  <c r="BC4" i="24"/>
  <c r="AA5" i="24"/>
  <c r="X7" i="77" s="1"/>
  <c r="X23" i="77" s="1"/>
  <c r="X24" i="77" s="1"/>
  <c r="J120" i="24"/>
  <c r="L121" i="24"/>
  <c r="I9" i="77" s="1"/>
  <c r="BA189" i="24"/>
  <c r="BA4" i="24"/>
  <c r="AZ120" i="24"/>
  <c r="BD5" i="24"/>
  <c r="BA7" i="77" s="1"/>
  <c r="AZ5" i="24"/>
  <c r="AW7" i="77" s="1"/>
  <c r="P5" i="24"/>
  <c r="M7" i="77" s="1"/>
  <c r="N5" i="24"/>
  <c r="K7" i="77" s="1"/>
  <c r="AA120" i="24"/>
  <c r="M121" i="24"/>
  <c r="J9" i="77" s="1"/>
  <c r="AY189" i="24"/>
  <c r="AY4" i="24"/>
  <c r="P4" i="24"/>
  <c r="AY67" i="24"/>
  <c r="P120" i="24"/>
  <c r="G120" i="24"/>
  <c r="N121" i="24"/>
  <c r="K9" i="77" s="1"/>
  <c r="H121" i="24"/>
  <c r="E9" i="77" s="1"/>
  <c r="BE15" i="77"/>
  <c r="BD4" i="24"/>
  <c r="AZ4" i="24"/>
  <c r="BC67" i="24"/>
  <c r="BA67" i="24"/>
  <c r="BD120" i="24"/>
  <c r="N120" i="24"/>
  <c r="H120" i="24"/>
  <c r="BB121" i="24"/>
  <c r="AY9" i="77" s="1"/>
  <c r="AY23" i="77" s="1"/>
  <c r="AY24" i="77" s="1"/>
  <c r="P121" i="24"/>
  <c r="M9" i="77" s="1"/>
  <c r="J121" i="24"/>
  <c r="G9" i="77" s="1"/>
  <c r="G121" i="24"/>
  <c r="D9" i="77" s="1"/>
  <c r="D23" i="77" s="1"/>
  <c r="D24" i="77" s="1"/>
  <c r="D20" i="77"/>
  <c r="D21" i="77" s="1"/>
  <c r="BF189" i="24"/>
  <c r="F192" i="51" s="1"/>
  <c r="BD189" i="24"/>
  <c r="BB189" i="24"/>
  <c r="AZ189" i="24"/>
  <c r="AV189" i="24"/>
  <c r="AL189" i="24"/>
  <c r="AH189" i="24"/>
  <c r="X189" i="24"/>
  <c r="T189" i="24"/>
  <c r="R189" i="24"/>
  <c r="P189" i="24"/>
  <c r="N189" i="24"/>
  <c r="L189" i="24"/>
  <c r="J189" i="24"/>
  <c r="H189" i="24"/>
  <c r="BC5" i="24"/>
  <c r="AZ7" i="77" s="1"/>
  <c r="BA5" i="24"/>
  <c r="AX7" i="77" s="1"/>
  <c r="AY5" i="24"/>
  <c r="AV7" i="77" s="1"/>
  <c r="BD67" i="24"/>
  <c r="BB67" i="24"/>
  <c r="AZ67" i="24"/>
  <c r="P67" i="24"/>
  <c r="BB120" i="24"/>
  <c r="BB225" i="24" s="1"/>
  <c r="BD121" i="24"/>
  <c r="BA9" i="77" s="1"/>
  <c r="AZ121" i="24"/>
  <c r="AW9" i="77" s="1"/>
  <c r="AW23" i="77" s="1"/>
  <c r="AW24" i="77" s="1"/>
  <c r="AW189" i="24"/>
  <c r="AW120" i="24"/>
  <c r="AW5" i="24"/>
  <c r="AT7" i="77" s="1"/>
  <c r="AU67" i="24"/>
  <c r="AU121" i="24"/>
  <c r="AR9" i="77" s="1"/>
  <c r="AU189" i="24"/>
  <c r="AU4" i="24"/>
  <c r="BE121" i="24"/>
  <c r="BB9" i="77" s="1"/>
  <c r="BC121" i="24"/>
  <c r="AZ9" i="77" s="1"/>
  <c r="BA121" i="24"/>
  <c r="AX9" i="77" s="1"/>
  <c r="AY121" i="24"/>
  <c r="AV9" i="77" s="1"/>
  <c r="AW4" i="24"/>
  <c r="AW225" i="24" s="1"/>
  <c r="AU5" i="24"/>
  <c r="AR7" i="77" s="1"/>
  <c r="AR23" i="77" s="1"/>
  <c r="AR24" i="77" s="1"/>
  <c r="C20" i="77"/>
  <c r="BD11" i="77"/>
  <c r="BE11" i="77"/>
  <c r="AZ23" i="77"/>
  <c r="AZ24" i="77" s="1"/>
  <c r="AX23" i="77"/>
  <c r="AX24" i="77" s="1"/>
  <c r="AV23" i="77"/>
  <c r="AV24" i="77" s="1"/>
  <c r="K23" i="77"/>
  <c r="K24" i="77" s="1"/>
  <c r="AI20" i="77"/>
  <c r="BG11" i="77"/>
  <c r="BG13" i="77"/>
  <c r="BG15" i="77"/>
  <c r="BD15" i="77"/>
  <c r="BD13" i="77"/>
  <c r="BE13" i="77"/>
  <c r="V20" i="77"/>
  <c r="BF11" i="77"/>
  <c r="BF13" i="77"/>
  <c r="BF15" i="77"/>
  <c r="C15" i="32"/>
  <c r="X7" i="32"/>
  <c r="AV9" i="32"/>
  <c r="X9" i="32"/>
  <c r="K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AY9" i="32"/>
  <c r="D22" i="65"/>
  <c r="BB11" i="32"/>
  <c r="AZ11" i="32"/>
  <c r="AX11" i="32"/>
  <c r="AV11" i="32"/>
  <c r="AT11" i="32"/>
  <c r="AR11" i="32"/>
  <c r="AP11" i="32"/>
  <c r="AN11" i="32"/>
  <c r="AL11" i="32"/>
  <c r="AJ11" i="32"/>
  <c r="C11" i="78" s="1"/>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AJ9" i="77" s="1"/>
  <c r="BF177" i="23"/>
  <c r="AW67" i="24"/>
  <c r="AM67" i="24"/>
  <c r="AE67" i="24"/>
  <c r="AC67" i="24"/>
  <c r="U67" i="24"/>
  <c r="S67" i="24"/>
  <c r="O67" i="24"/>
  <c r="K67" i="24"/>
  <c r="G67" i="24"/>
  <c r="BH177" i="23"/>
  <c r="AM189" i="24"/>
  <c r="AM120" i="24"/>
  <c r="AM4" i="24"/>
  <c r="AM5" i="24"/>
  <c r="AJ7" i="77" s="1"/>
  <c r="F189" i="24"/>
  <c r="Q67" i="24"/>
  <c r="AX67" i="24"/>
  <c r="AV67" i="24"/>
  <c r="AT67" i="24"/>
  <c r="AR67" i="24"/>
  <c r="AP67" i="24"/>
  <c r="AH67" i="24"/>
  <c r="AF67" i="24"/>
  <c r="AD67" i="24"/>
  <c r="AB67" i="24"/>
  <c r="Z67" i="24"/>
  <c r="R67" i="24"/>
  <c r="N67" i="24"/>
  <c r="BE120" i="24"/>
  <c r="BC120" i="24"/>
  <c r="BA120" i="24"/>
  <c r="AY120" i="24"/>
  <c r="AU120" i="24"/>
  <c r="AW121" i="24"/>
  <c r="AT9" i="77" s="1"/>
  <c r="AS121" i="24"/>
  <c r="AP9" i="77" s="1"/>
  <c r="AQ121" i="24"/>
  <c r="AN9" i="77" s="1"/>
  <c r="AK121" i="24"/>
  <c r="AH9" i="77" s="1"/>
  <c r="AI121" i="24"/>
  <c r="AF9" i="77" s="1"/>
  <c r="AG121" i="24"/>
  <c r="AD9" i="77" s="1"/>
  <c r="S121" i="24"/>
  <c r="P9" i="77" s="1"/>
  <c r="O121" i="24"/>
  <c r="L9" i="77" s="1"/>
  <c r="M5" i="24"/>
  <c r="J7" i="77" s="1"/>
  <c r="AL121" i="24"/>
  <c r="AI9" i="77" s="1"/>
  <c r="AJ121" i="24"/>
  <c r="AG9" i="77" s="1"/>
  <c r="Z121" i="24"/>
  <c r="W9" i="77" s="1"/>
  <c r="R121" i="24"/>
  <c r="O9" i="77" s="1"/>
  <c r="M189" i="24"/>
  <c r="AT189" i="24"/>
  <c r="AT120" i="24"/>
  <c r="AT121" i="24"/>
  <c r="AQ9" i="77" s="1"/>
  <c r="AT5" i="24"/>
  <c r="AQ7" i="77" s="1"/>
  <c r="AT4" i="24"/>
  <c r="AI189" i="24"/>
  <c r="AI120" i="24"/>
  <c r="AI67" i="24"/>
  <c r="AI5" i="24"/>
  <c r="AF7" i="77" s="1"/>
  <c r="AI4" i="24"/>
  <c r="AJ189" i="24"/>
  <c r="AJ120" i="24"/>
  <c r="AJ67" i="24"/>
  <c r="AJ5" i="24"/>
  <c r="AG7" i="77" s="1"/>
  <c r="AJ4" i="24"/>
  <c r="AG189" i="24"/>
  <c r="AG120" i="24"/>
  <c r="AG67" i="24"/>
  <c r="AG5" i="24"/>
  <c r="AD7" i="77" s="1"/>
  <c r="AG4" i="24"/>
  <c r="AF189" i="24"/>
  <c r="AF120" i="24"/>
  <c r="AF121" i="24"/>
  <c r="AC9" i="77" s="1"/>
  <c r="AF5" i="24"/>
  <c r="AC7" i="77" s="1"/>
  <c r="AF4" i="24"/>
  <c r="AD189" i="24"/>
  <c r="AD120" i="24"/>
  <c r="AD121" i="24"/>
  <c r="AA9" i="77" s="1"/>
  <c r="AD5" i="24"/>
  <c r="AA7" i="77" s="1"/>
  <c r="AD4" i="24"/>
  <c r="AB189" i="24"/>
  <c r="AB120" i="24"/>
  <c r="AB121" i="24"/>
  <c r="Y9" i="77" s="1"/>
  <c r="AB5" i="24"/>
  <c r="Y7" i="77" s="1"/>
  <c r="AB4" i="24"/>
  <c r="Z189" i="24"/>
  <c r="Z120" i="24"/>
  <c r="Z5" i="24"/>
  <c r="W7" i="77" s="1"/>
  <c r="Z4" i="24"/>
  <c r="Z225" i="24" s="1"/>
  <c r="Y189" i="24"/>
  <c r="Y120" i="24"/>
  <c r="Y121" i="24"/>
  <c r="V9" i="77" s="1"/>
  <c r="Y67" i="24"/>
  <c r="Y5" i="24"/>
  <c r="V7" i="77" s="1"/>
  <c r="Y4" i="24"/>
  <c r="Y225" i="24" s="1"/>
  <c r="AS189" i="24"/>
  <c r="AS120" i="24"/>
  <c r="AS67" i="24"/>
  <c r="AS5" i="24"/>
  <c r="AP7" i="77" s="1"/>
  <c r="AS4" i="24"/>
  <c r="AR189" i="24"/>
  <c r="AR120" i="24"/>
  <c r="AR121" i="24"/>
  <c r="AO9" i="77" s="1"/>
  <c r="AR5" i="24"/>
  <c r="AO7" i="77" s="1"/>
  <c r="AR4" i="24"/>
  <c r="AQ189" i="24"/>
  <c r="AQ120" i="24"/>
  <c r="AQ67" i="24"/>
  <c r="AQ5" i="24"/>
  <c r="AN7" i="77" s="1"/>
  <c r="AQ4" i="24"/>
  <c r="AX189" i="24"/>
  <c r="AX120" i="24"/>
  <c r="AX121" i="24"/>
  <c r="AU9" i="77" s="1"/>
  <c r="AX5" i="24"/>
  <c r="AU7" i="77" s="1"/>
  <c r="AX4" i="24"/>
  <c r="O189" i="24"/>
  <c r="O120" i="24"/>
  <c r="O5" i="24"/>
  <c r="L7" i="77" s="1"/>
  <c r="O4" i="24"/>
  <c r="O225" i="24" s="1"/>
  <c r="U189" i="24"/>
  <c r="U121" i="24"/>
  <c r="R9" i="77" s="1"/>
  <c r="U120" i="24"/>
  <c r="U5" i="24"/>
  <c r="R7" i="77" s="1"/>
  <c r="U4" i="24"/>
  <c r="U225" i="24" s="1"/>
  <c r="S189" i="24"/>
  <c r="S120" i="24"/>
  <c r="S5" i="24"/>
  <c r="P7" i="77" s="1"/>
  <c r="S4" i="24"/>
  <c r="S225" i="24" s="1"/>
  <c r="V189" i="24"/>
  <c r="V120" i="24"/>
  <c r="V121" i="24"/>
  <c r="S9" i="77" s="1"/>
  <c r="V67" i="24"/>
  <c r="V5" i="24"/>
  <c r="S7" i="77" s="1"/>
  <c r="V4" i="24"/>
  <c r="V225" i="24" s="1"/>
  <c r="M120" i="24"/>
  <c r="AP189" i="24"/>
  <c r="AP120" i="24"/>
  <c r="AP121" i="24"/>
  <c r="AM9" i="77" s="1"/>
  <c r="AP5" i="24"/>
  <c r="AM7" i="77" s="1"/>
  <c r="AP4" i="24"/>
  <c r="AK189" i="24"/>
  <c r="BI193" i="24"/>
  <c r="AK120" i="24"/>
  <c r="AK67" i="24"/>
  <c r="AK5" i="24"/>
  <c r="AH7" i="77" s="1"/>
  <c r="AK4" i="24"/>
  <c r="BI190" i="24"/>
  <c r="AC120" i="24"/>
  <c r="AC121" i="24"/>
  <c r="Z9" i="77" s="1"/>
  <c r="AC5" i="24"/>
  <c r="Z7" i="77" s="1"/>
  <c r="AC4" i="24"/>
  <c r="W120" i="24"/>
  <c r="W121" i="24"/>
  <c r="T9" i="77" s="1"/>
  <c r="W67" i="24"/>
  <c r="W5" i="24"/>
  <c r="T7" i="77" s="1"/>
  <c r="W4" i="24"/>
  <c r="W225" i="24" s="1"/>
  <c r="BI215" i="24"/>
  <c r="BI172" i="24"/>
  <c r="AH120" i="24"/>
  <c r="AH121" i="24"/>
  <c r="AE9" i="77" s="1"/>
  <c r="BI96" i="24"/>
  <c r="BI47" i="24"/>
  <c r="AH5" i="24"/>
  <c r="AE7" i="77" s="1"/>
  <c r="BI14" i="24"/>
  <c r="AH4" i="24"/>
  <c r="AH225" i="24" s="1"/>
  <c r="K120" i="24"/>
  <c r="K121" i="24"/>
  <c r="H9" i="77" s="1"/>
  <c r="K5" i="24"/>
  <c r="H7" i="77" s="1"/>
  <c r="K4" i="24"/>
  <c r="BF120" i="24"/>
  <c r="BF121" i="24"/>
  <c r="BF67" i="24"/>
  <c r="F70" i="76" s="1"/>
  <c r="BF5" i="24"/>
  <c r="BF4" i="24"/>
  <c r="F7" i="76" s="1"/>
  <c r="C11" i="52"/>
  <c r="BJ206" i="24"/>
  <c r="AO67" i="24"/>
  <c r="BJ212" i="24"/>
  <c r="AO120" i="24"/>
  <c r="AO121" i="24"/>
  <c r="AL9" i="77" s="1"/>
  <c r="AO5" i="24"/>
  <c r="AL7" i="77" s="1"/>
  <c r="AO4" i="24"/>
  <c r="BJ209" i="24"/>
  <c r="AV120" i="24"/>
  <c r="AV121" i="24"/>
  <c r="AS9" i="77" s="1"/>
  <c r="AV5" i="24"/>
  <c r="AS7" i="77" s="1"/>
  <c r="AV4" i="24"/>
  <c r="T120" i="24"/>
  <c r="T121" i="24"/>
  <c r="Q9" i="77" s="1"/>
  <c r="T67" i="24"/>
  <c r="T5" i="24"/>
  <c r="Q7" i="77" s="1"/>
  <c r="T4" i="24"/>
  <c r="X120" i="24"/>
  <c r="X121" i="24"/>
  <c r="U9" i="77" s="1"/>
  <c r="X67" i="24"/>
  <c r="X5" i="24"/>
  <c r="U7" i="77" s="1"/>
  <c r="X4" i="24"/>
  <c r="X225" i="24" s="1"/>
  <c r="BI212" i="24"/>
  <c r="BI209" i="24"/>
  <c r="BI206" i="24"/>
  <c r="BI200" i="24"/>
  <c r="BI197" i="24"/>
  <c r="BI183" i="24"/>
  <c r="BI152" i="24"/>
  <c r="BI142" i="24"/>
  <c r="AE120" i="24"/>
  <c r="AE121" i="24"/>
  <c r="AB9" i="77" s="1"/>
  <c r="BI107" i="24"/>
  <c r="BI85" i="24"/>
  <c r="BI68" i="24"/>
  <c r="BI61" i="24"/>
  <c r="BI53" i="24"/>
  <c r="BI40" i="24"/>
  <c r="BI30" i="24"/>
  <c r="BI24" i="24"/>
  <c r="AE5" i="24"/>
  <c r="AB7" i="77" s="1"/>
  <c r="AE4" i="24"/>
  <c r="BI6" i="24"/>
  <c r="R120" i="24"/>
  <c r="R5" i="24"/>
  <c r="O7" i="77" s="1"/>
  <c r="R4" i="24"/>
  <c r="R225" i="24" s="1"/>
  <c r="I121" i="24"/>
  <c r="F9" i="77" s="1"/>
  <c r="I67" i="24"/>
  <c r="BJ203" i="24"/>
  <c r="BJ200" i="24"/>
  <c r="AL120" i="24"/>
  <c r="BJ107" i="24"/>
  <c r="BJ96" i="24"/>
  <c r="AL67" i="24"/>
  <c r="BJ85" i="24"/>
  <c r="AL5" i="24"/>
  <c r="AI7" i="77" s="1"/>
  <c r="AL4" i="24"/>
  <c r="AL225" i="24" s="1"/>
  <c r="Q120" i="24"/>
  <c r="Q121" i="24"/>
  <c r="N9" i="77" s="1"/>
  <c r="Q5" i="24"/>
  <c r="N7" i="77" s="1"/>
  <c r="Q4" i="24"/>
  <c r="I120" i="24"/>
  <c r="I5" i="24"/>
  <c r="F7" i="77" s="1"/>
  <c r="I4" i="24"/>
  <c r="I225" i="24" s="1"/>
  <c r="L120" i="24"/>
  <c r="L67" i="24"/>
  <c r="L5" i="24"/>
  <c r="I7" i="77" s="1"/>
  <c r="L4" i="24"/>
  <c r="H67" i="24"/>
  <c r="H5" i="24"/>
  <c r="E7" i="77" s="1"/>
  <c r="H4" i="24"/>
  <c r="J67" i="24"/>
  <c r="J5" i="24"/>
  <c r="G7" i="77" s="1"/>
  <c r="J4" i="24"/>
  <c r="BJ215" i="24"/>
  <c r="BJ197" i="24"/>
  <c r="BJ193" i="24"/>
  <c r="BJ190" i="24"/>
  <c r="BJ183" i="24"/>
  <c r="BJ172" i="24"/>
  <c r="BJ152" i="24"/>
  <c r="BJ142" i="24"/>
  <c r="BE67" i="24"/>
  <c r="BJ68" i="24"/>
  <c r="BJ61" i="24"/>
  <c r="BJ53" i="24"/>
  <c r="BJ47" i="24"/>
  <c r="BJ40" i="24"/>
  <c r="BJ30" i="24"/>
  <c r="BE5" i="24"/>
  <c r="BB7" i="77" s="1"/>
  <c r="BJ24" i="24"/>
  <c r="BJ14" i="24"/>
  <c r="BE4" i="24"/>
  <c r="BJ6" i="24"/>
  <c r="BH209" i="24"/>
  <c r="M67" i="24"/>
  <c r="M4" i="24"/>
  <c r="BH203" i="24"/>
  <c r="BH197" i="24"/>
  <c r="G4" i="24"/>
  <c r="BH47" i="24"/>
  <c r="BG203" i="24"/>
  <c r="F201" i="31" s="1"/>
  <c r="E6" i="83" s="1"/>
  <c r="N4" i="24"/>
  <c r="BH215" i="24"/>
  <c r="BG209" i="24"/>
  <c r="F207" i="31" s="1"/>
  <c r="E8" i="83" s="1"/>
  <c r="BH172" i="24"/>
  <c r="F120" i="24"/>
  <c r="F121" i="24"/>
  <c r="C9" i="77" s="1"/>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C7" i="77" s="1"/>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M225" i="24" l="1"/>
  <c r="J9" i="32"/>
  <c r="K7" i="32"/>
  <c r="K23" i="32" s="1"/>
  <c r="K24" i="32" s="1"/>
  <c r="E11" i="82" s="1"/>
  <c r="D11" i="82"/>
  <c r="G225" i="24"/>
  <c r="J225" i="24"/>
  <c r="E23" i="77"/>
  <c r="E24" i="77" s="1"/>
  <c r="D7" i="32"/>
  <c r="T225" i="24"/>
  <c r="BA23" i="77"/>
  <c r="BA24" i="77" s="1"/>
  <c r="AZ7" i="32"/>
  <c r="AL20" i="32"/>
  <c r="B38" i="82" s="1"/>
  <c r="BE225" i="24"/>
  <c r="J23" i="77"/>
  <c r="J24" i="77" s="1"/>
  <c r="BC225" i="24"/>
  <c r="X20" i="32"/>
  <c r="AY23" i="32"/>
  <c r="D51" i="82" s="1"/>
  <c r="AW7" i="32"/>
  <c r="M20" i="32"/>
  <c r="B13" i="82" s="1"/>
  <c r="F192" i="76"/>
  <c r="AZ225" i="24"/>
  <c r="P225" i="24"/>
  <c r="AA225" i="24"/>
  <c r="N225" i="24"/>
  <c r="G23" i="77"/>
  <c r="G24" i="77" s="1"/>
  <c r="I23" i="77"/>
  <c r="I24" i="77" s="1"/>
  <c r="AU225" i="24"/>
  <c r="G9" i="32"/>
  <c r="AR9" i="32"/>
  <c r="BA9" i="32"/>
  <c r="BA7" i="32"/>
  <c r="I9" i="32"/>
  <c r="AZ9" i="32"/>
  <c r="AT7" i="32"/>
  <c r="M7" i="32"/>
  <c r="M23" i="77"/>
  <c r="M24" i="77" s="1"/>
  <c r="BA225" i="24"/>
  <c r="BE13" i="32"/>
  <c r="BF13" i="32"/>
  <c r="AY225" i="24"/>
  <c r="AV7" i="32"/>
  <c r="AV23" i="32" s="1"/>
  <c r="BF225" i="24"/>
  <c r="H225" i="24"/>
  <c r="F23" i="77"/>
  <c r="F24" i="77" s="1"/>
  <c r="M9" i="32"/>
  <c r="M23" i="32" s="1"/>
  <c r="AW9" i="32"/>
  <c r="C20" i="32"/>
  <c r="BE15" i="32"/>
  <c r="BF15" i="32"/>
  <c r="AY20" i="32"/>
  <c r="BF11" i="32"/>
  <c r="E9" i="32"/>
  <c r="X23" i="32"/>
  <c r="BD225" i="24"/>
  <c r="BE11" i="32"/>
  <c r="BB23" i="77"/>
  <c r="BB24" i="77" s="1"/>
  <c r="D9" i="32"/>
  <c r="AX9" i="32"/>
  <c r="BB9" i="32"/>
  <c r="AX7" i="32"/>
  <c r="C48" i="50"/>
  <c r="C49" i="50"/>
  <c r="BE7" i="77"/>
  <c r="BG13" i="32"/>
  <c r="AT23" i="77"/>
  <c r="AT24" i="77" s="1"/>
  <c r="BG15" i="32"/>
  <c r="AR7" i="32"/>
  <c r="AR23" i="32" s="1"/>
  <c r="F123" i="51"/>
  <c r="AD23" i="77"/>
  <c r="AD24" i="77" s="1"/>
  <c r="H23" i="77"/>
  <c r="H24" i="77" s="1"/>
  <c r="Z23" i="77"/>
  <c r="Z24" i="77" s="1"/>
  <c r="AU23" i="77"/>
  <c r="AU24" i="77" s="1"/>
  <c r="AO23" i="77"/>
  <c r="AO24" i="77" s="1"/>
  <c r="Y23" i="77"/>
  <c r="Y24" i="77" s="1"/>
  <c r="AC23" i="77"/>
  <c r="AC24" i="77" s="1"/>
  <c r="AQ23" i="77"/>
  <c r="AQ24" i="77" s="1"/>
  <c r="BD15" i="32"/>
  <c r="C23" i="77"/>
  <c r="BE9" i="77"/>
  <c r="N23" i="77"/>
  <c r="N24" i="77" s="1"/>
  <c r="AB23" i="77"/>
  <c r="AB24" i="77" s="1"/>
  <c r="Q23" i="77"/>
  <c r="Q24" i="77" s="1"/>
  <c r="AS23" i="77"/>
  <c r="AS24" i="77" s="1"/>
  <c r="AL23" i="77"/>
  <c r="AL24" i="77" s="1"/>
  <c r="F123" i="76"/>
  <c r="AE23" i="77"/>
  <c r="AE24" i="77" s="1"/>
  <c r="AM23" i="77"/>
  <c r="AM24" i="77" s="1"/>
  <c r="V23" i="77"/>
  <c r="BF7" i="77"/>
  <c r="BF9" i="77"/>
  <c r="AA23" i="77"/>
  <c r="AA24" i="77" s="1"/>
  <c r="W23" i="77"/>
  <c r="W24" i="77" s="1"/>
  <c r="AI23" i="77"/>
  <c r="L23" i="77"/>
  <c r="L24" i="77" s="1"/>
  <c r="AH23" i="77"/>
  <c r="AH24" i="77" s="1"/>
  <c r="AP23" i="77"/>
  <c r="AP24" i="77" s="1"/>
  <c r="AJ23" i="77"/>
  <c r="AJ24" i="77" s="1"/>
  <c r="C15" i="78"/>
  <c r="C13" i="78"/>
  <c r="V21" i="77"/>
  <c r="BF21" i="77" s="1"/>
  <c r="BF20" i="77"/>
  <c r="F228" i="76"/>
  <c r="U23" i="77"/>
  <c r="U24" i="77" s="1"/>
  <c r="BC7" i="77"/>
  <c r="F8" i="76"/>
  <c r="BC9" i="77"/>
  <c r="BC23" i="77" s="1"/>
  <c r="BC24" i="77" s="1"/>
  <c r="F124" i="76"/>
  <c r="T23" i="77"/>
  <c r="T24" i="77" s="1"/>
  <c r="S23" i="77"/>
  <c r="S24" i="77" s="1"/>
  <c r="R23" i="77"/>
  <c r="R24" i="77" s="1"/>
  <c r="O23" i="77"/>
  <c r="O24" i="77" s="1"/>
  <c r="AG23" i="77"/>
  <c r="AG24" i="77" s="1"/>
  <c r="P23" i="77"/>
  <c r="P24" i="77" s="1"/>
  <c r="AF23" i="77"/>
  <c r="AF24" i="77" s="1"/>
  <c r="AN23" i="77"/>
  <c r="AN24" i="77" s="1"/>
  <c r="AK7" i="77"/>
  <c r="BG7" i="77" s="1"/>
  <c r="AK9" i="77"/>
  <c r="BG20" i="77"/>
  <c r="AI21" i="77"/>
  <c r="BG21" i="77" s="1"/>
  <c r="C21" i="77"/>
  <c r="BE20" i="77"/>
  <c r="B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J23" i="32" s="1"/>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9" i="78" s="1"/>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F228" i="51"/>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L21" i="32"/>
  <c r="C38" i="82" s="1"/>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AY24" i="32"/>
  <c r="E51" i="82" s="1"/>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M21" i="32" l="1"/>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C20" i="78"/>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D44" i="82"/>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K23" i="77"/>
  <c r="AK24" i="77" s="1"/>
  <c r="AE23" i="32"/>
  <c r="AL23" i="32"/>
  <c r="D38" i="82" s="1"/>
  <c r="AB23" i="32"/>
  <c r="BE9" i="32"/>
  <c r="C47" i="50"/>
  <c r="BF7" i="32"/>
  <c r="AM23" i="32"/>
  <c r="BE20" i="32"/>
  <c r="BD7" i="32"/>
  <c r="BE7" i="32"/>
  <c r="AX23" i="32"/>
  <c r="BF9" i="32"/>
  <c r="AA23" i="32"/>
  <c r="BG7" i="32"/>
  <c r="BG9" i="32"/>
  <c r="H22" i="65"/>
  <c r="BF20" i="32"/>
  <c r="BD9" i="32"/>
  <c r="C20" i="52"/>
  <c r="AN23" i="32"/>
  <c r="P23" i="32"/>
  <c r="F22" i="65"/>
  <c r="N22" i="65"/>
  <c r="P9" i="65"/>
  <c r="C9" i="66" s="1"/>
  <c r="P7" i="65"/>
  <c r="C7" i="66" s="1"/>
  <c r="C7" i="78"/>
  <c r="BG9" i="77"/>
  <c r="V24" i="77"/>
  <c r="BF24" i="77" s="1"/>
  <c r="BF23" i="77"/>
  <c r="BD21" i="77"/>
  <c r="BE21" i="77"/>
  <c r="BD7" i="77"/>
  <c r="AI24" i="77"/>
  <c r="BG23" i="77"/>
  <c r="BD9" i="77"/>
  <c r="C24" i="77"/>
  <c r="BE23" i="77"/>
  <c r="BD23" i="77"/>
  <c r="C21" i="52"/>
  <c r="AJ23" i="32"/>
  <c r="AD23" i="32"/>
  <c r="AP23" i="32"/>
  <c r="R23" i="32"/>
  <c r="S23" i="32"/>
  <c r="AH23" i="32"/>
  <c r="T23" i="32"/>
  <c r="C9" i="52"/>
  <c r="U23" i="32"/>
  <c r="O23" i="32"/>
  <c r="AJ21" i="32"/>
  <c r="C36" i="82" s="1"/>
  <c r="C22" i="65"/>
  <c r="AG23" i="32"/>
  <c r="W23" i="32"/>
  <c r="V23" i="32"/>
  <c r="L23" i="32"/>
  <c r="C7" i="52"/>
  <c r="Q23" i="32"/>
  <c r="AI23" i="32"/>
  <c r="F23" i="32"/>
  <c r="BD20" i="32"/>
  <c r="BG20" i="32"/>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C23" i="78"/>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BG24" i="77"/>
  <c r="P22" i="65"/>
  <c r="C22" i="66" s="1"/>
  <c r="BG23" i="32"/>
  <c r="BF23" i="32"/>
  <c r="C21" i="78"/>
  <c r="BE24" i="77"/>
  <c r="BD24" i="77"/>
  <c r="BE23" i="32"/>
  <c r="BD23" i="32"/>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78" l="1"/>
  <c r="C24" i="52"/>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C46" i="71" s="1"/>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C44" i="71" s="1"/>
  <c r="BI154" i="23"/>
  <c r="C43" i="71" s="1"/>
  <c r="BI141" i="23"/>
  <c r="BI132" i="23"/>
  <c r="BI129" i="23"/>
  <c r="BI122" i="23"/>
  <c r="BI118" i="23"/>
  <c r="BI106" i="23"/>
  <c r="BI100" i="23"/>
  <c r="BI89" i="23"/>
  <c r="BI83" i="23"/>
  <c r="BI77" i="23"/>
  <c r="C45" i="71" s="1"/>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C34" i="71" s="1"/>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C32" i="71" s="1"/>
  <c r="BH154" i="23"/>
  <c r="C31" i="71" s="1"/>
  <c r="BH141" i="23"/>
  <c r="BH132" i="23"/>
  <c r="BH129" i="23"/>
  <c r="BH122" i="23"/>
  <c r="BH118" i="23"/>
  <c r="BH106" i="23"/>
  <c r="BH100" i="23"/>
  <c r="BH89" i="23"/>
  <c r="BH83" i="23"/>
  <c r="BH77" i="23"/>
  <c r="C33" i="71" s="1"/>
  <c r="BH65" i="23"/>
  <c r="BH57" i="23"/>
  <c r="BH54" i="23"/>
  <c r="BH44" i="23"/>
  <c r="BH40" i="23"/>
  <c r="BH32" i="23"/>
  <c r="BH28" i="23"/>
  <c r="BH16" i="23"/>
  <c r="BG155" i="23"/>
  <c r="C20" i="71" s="1"/>
  <c r="BG142" i="23"/>
  <c r="BG143" i="23"/>
  <c r="BG144" i="23"/>
  <c r="BG145" i="23"/>
  <c r="BG146" i="23"/>
  <c r="BG147" i="23"/>
  <c r="BG148" i="23"/>
  <c r="BG133" i="23"/>
  <c r="BG134" i="23"/>
  <c r="BG135" i="23"/>
  <c r="BG136" i="23"/>
  <c r="BG137" i="23"/>
  <c r="BG138" i="23"/>
  <c r="BG123" i="23"/>
  <c r="BG124" i="23"/>
  <c r="BG125" i="23"/>
  <c r="BG126" i="23"/>
  <c r="BG154" i="23"/>
  <c r="C19" i="71" s="1"/>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C22" i="71" s="1"/>
  <c r="BG79" i="23"/>
  <c r="BG80" i="23"/>
  <c r="BG77" i="23"/>
  <c r="C21" i="71" s="1"/>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D16" i="27"/>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E150" i="49" s="1"/>
  <c r="AK144" i="29"/>
  <c r="E148" i="49" s="1"/>
  <c r="AK142" i="29"/>
  <c r="E146" i="49" s="1"/>
  <c r="AK138" i="29"/>
  <c r="E142" i="49" s="1"/>
  <c r="AK136" i="29"/>
  <c r="E140" i="49" s="1"/>
  <c r="AK133" i="29"/>
  <c r="E137" i="49" s="1"/>
  <c r="AK129" i="29"/>
  <c r="E133" i="49" s="1"/>
  <c r="E132" i="49" s="1"/>
  <c r="AK125" i="29"/>
  <c r="E129" i="49" s="1"/>
  <c r="AK123" i="29"/>
  <c r="E127" i="49" s="1"/>
  <c r="AK147" i="29"/>
  <c r="E151" i="49" s="1"/>
  <c r="AK143" i="29"/>
  <c r="E147" i="49" s="1"/>
  <c r="AK137" i="29"/>
  <c r="E141" i="49" s="1"/>
  <c r="AK134" i="29"/>
  <c r="E138" i="49" s="1"/>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E128" i="49" s="1"/>
  <c r="AK118" i="29"/>
  <c r="E122" i="49" s="1"/>
  <c r="AK112" i="29"/>
  <c r="E116" i="49" s="1"/>
  <c r="AK108" i="29"/>
  <c r="E112" i="49" s="1"/>
  <c r="AK102" i="29"/>
  <c r="E106" i="49" s="1"/>
  <c r="AK96" i="29"/>
  <c r="E100" i="49" s="1"/>
  <c r="AK92" i="29"/>
  <c r="E96" i="49" s="1"/>
  <c r="AK86" i="29"/>
  <c r="E90" i="49" s="1"/>
  <c r="AK80" i="29"/>
  <c r="E84" i="49" s="1"/>
  <c r="AK72" i="29"/>
  <c r="E76" i="49" s="1"/>
  <c r="AK68" i="29"/>
  <c r="E72" i="49" s="1"/>
  <c r="AK66" i="29"/>
  <c r="E70" i="49" s="1"/>
  <c r="AK62" i="29"/>
  <c r="E66" i="49" s="1"/>
  <c r="AK60" i="29"/>
  <c r="E64" i="49" s="1"/>
  <c r="AK58" i="29"/>
  <c r="E62" i="49" s="1"/>
  <c r="AK54" i="29"/>
  <c r="E58" i="49" s="1"/>
  <c r="E57" i="49" s="1"/>
  <c r="AK50" i="29"/>
  <c r="E54" i="49" s="1"/>
  <c r="AK48" i="29"/>
  <c r="E52" i="49" s="1"/>
  <c r="AK46" i="29"/>
  <c r="E50" i="49" s="1"/>
  <c r="AK44" i="29"/>
  <c r="E48" i="49" s="1"/>
  <c r="AK40" i="29"/>
  <c r="E44" i="49" s="1"/>
  <c r="AK36" i="29"/>
  <c r="E40" i="49" s="1"/>
  <c r="AK34" i="29"/>
  <c r="E38" i="49" s="1"/>
  <c r="AK32" i="29"/>
  <c r="E36" i="49" s="1"/>
  <c r="AK28" i="29"/>
  <c r="E32" i="49" s="1"/>
  <c r="AK24" i="29"/>
  <c r="E28" i="49" s="1"/>
  <c r="AK22" i="29"/>
  <c r="E26" i="49" s="1"/>
  <c r="AK20" i="29"/>
  <c r="E24" i="49" s="1"/>
  <c r="AK18" i="29"/>
  <c r="E22" i="49" s="1"/>
  <c r="AK16" i="29"/>
  <c r="E20" i="49" s="1"/>
  <c r="AK12" i="29"/>
  <c r="E16" i="49" s="1"/>
  <c r="AK10" i="29"/>
  <c r="E14" i="49" s="1"/>
  <c r="AK8" i="29"/>
  <c r="E12" i="49" s="1"/>
  <c r="AK6" i="29"/>
  <c r="E10" i="49" s="1"/>
  <c r="AK145" i="29"/>
  <c r="E149" i="49" s="1"/>
  <c r="AK135" i="29"/>
  <c r="E139" i="49" s="1"/>
  <c r="AK132" i="29"/>
  <c r="E136" i="49" s="1"/>
  <c r="AK122" i="29"/>
  <c r="E126" i="49" s="1"/>
  <c r="AK114" i="29"/>
  <c r="E118" i="49" s="1"/>
  <c r="AK110" i="29"/>
  <c r="E114" i="49" s="1"/>
  <c r="AK106" i="29"/>
  <c r="E110" i="49" s="1"/>
  <c r="AK94" i="29"/>
  <c r="E98" i="49" s="1"/>
  <c r="AK84" i="29"/>
  <c r="E88" i="49" s="1"/>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E104" i="49" s="1"/>
  <c r="AK90" i="29"/>
  <c r="E94" i="49" s="1"/>
  <c r="AK78" i="29"/>
  <c r="E82" i="49" s="1"/>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G2" i="23"/>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C8" i="71" s="1"/>
  <c r="BF154" i="23"/>
  <c r="C7" i="71" s="1"/>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C19" i="74" s="1"/>
  <c r="AM131" i="23"/>
  <c r="AN131" i="23"/>
  <c r="AO131" i="23"/>
  <c r="AP131" i="23"/>
  <c r="AQ131" i="23"/>
  <c r="AR131" i="23"/>
  <c r="AS131" i="23"/>
  <c r="AT131" i="23"/>
  <c r="AU131" i="23"/>
  <c r="AV131" i="23"/>
  <c r="AW131" i="23"/>
  <c r="AX131" i="23"/>
  <c r="AY131" i="23"/>
  <c r="AZ131" i="23"/>
  <c r="BA131" i="23"/>
  <c r="BB131" i="23"/>
  <c r="BC131" i="23"/>
  <c r="BD131" i="23"/>
  <c r="BE131" i="23"/>
  <c r="BG131" i="23"/>
  <c r="C40" i="73" s="1"/>
  <c r="BH131" i="23"/>
  <c r="C61" i="73" s="1"/>
  <c r="BI131" i="23"/>
  <c r="C82" i="73" s="1"/>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C13" i="74" s="1"/>
  <c r="AM105" i="23"/>
  <c r="AN105" i="23"/>
  <c r="AO105" i="23"/>
  <c r="AP105" i="23"/>
  <c r="AQ105" i="23"/>
  <c r="AR105" i="23"/>
  <c r="AS105" i="23"/>
  <c r="AT105" i="23"/>
  <c r="AU105" i="23"/>
  <c r="AV105" i="23"/>
  <c r="AW105" i="23"/>
  <c r="AX105" i="23"/>
  <c r="AY105" i="23"/>
  <c r="AZ105" i="23"/>
  <c r="BA105" i="23"/>
  <c r="BB105" i="23"/>
  <c r="BC105" i="23"/>
  <c r="BD105" i="23"/>
  <c r="BE105" i="23"/>
  <c r="BG105" i="23"/>
  <c r="C34" i="73" s="1"/>
  <c r="BH105" i="23"/>
  <c r="C55" i="73" s="1"/>
  <c r="BI105" i="23"/>
  <c r="C76" i="73" s="1"/>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C51" i="73" s="1"/>
  <c r="BI76" i="23"/>
  <c r="F64" i="23"/>
  <c r="F179" i="23" s="1"/>
  <c r="G64" i="23"/>
  <c r="H64" i="23"/>
  <c r="H179" i="23" s="1"/>
  <c r="I64" i="23"/>
  <c r="J64" i="23"/>
  <c r="J179" i="23" s="1"/>
  <c r="K64" i="23"/>
  <c r="L64" i="23"/>
  <c r="L179" i="23" s="1"/>
  <c r="M64" i="23"/>
  <c r="N64" i="23"/>
  <c r="N179" i="23" s="1"/>
  <c r="O64" i="23"/>
  <c r="P64" i="23"/>
  <c r="P179" i="23" s="1"/>
  <c r="Q64" i="23"/>
  <c r="R64" i="23"/>
  <c r="R179" i="23" s="1"/>
  <c r="S64" i="23"/>
  <c r="T64" i="23"/>
  <c r="T179" i="23" s="1"/>
  <c r="U64" i="23"/>
  <c r="V64" i="23"/>
  <c r="V179" i="23" s="1"/>
  <c r="W64" i="23"/>
  <c r="X64" i="23"/>
  <c r="X179" i="23" s="1"/>
  <c r="Y64" i="23"/>
  <c r="Z64" i="23"/>
  <c r="Z179" i="23" s="1"/>
  <c r="AA64" i="23"/>
  <c r="AB64" i="23"/>
  <c r="AB179" i="23" s="1"/>
  <c r="AC64" i="23"/>
  <c r="AD64" i="23"/>
  <c r="AD179" i="23" s="1"/>
  <c r="AE64" i="23"/>
  <c r="AF64" i="23"/>
  <c r="AF179" i="23" s="1"/>
  <c r="AG64" i="23"/>
  <c r="AH64" i="23"/>
  <c r="AH179" i="23" s="1"/>
  <c r="AI64" i="23"/>
  <c r="AJ64" i="23"/>
  <c r="AJ179" i="23" s="1"/>
  <c r="AK64" i="23"/>
  <c r="AL64" i="23"/>
  <c r="AL179" i="23" s="1"/>
  <c r="C15" i="72" s="1"/>
  <c r="AM64" i="23"/>
  <c r="AN64" i="23"/>
  <c r="AN179" i="23" s="1"/>
  <c r="E21" i="46" s="1"/>
  <c r="AO64" i="23"/>
  <c r="AP64" i="23"/>
  <c r="AP179" i="23" s="1"/>
  <c r="AQ64" i="23"/>
  <c r="AR64" i="23"/>
  <c r="AR179" i="23" s="1"/>
  <c r="AS64" i="23"/>
  <c r="AT64" i="23"/>
  <c r="AT179" i="23" s="1"/>
  <c r="AU64" i="23"/>
  <c r="AV64" i="23"/>
  <c r="AV179" i="23" s="1"/>
  <c r="AW64" i="23"/>
  <c r="AX64" i="23"/>
  <c r="AX179" i="23" s="1"/>
  <c r="AY64" i="23"/>
  <c r="AZ64" i="23"/>
  <c r="BA64" i="23"/>
  <c r="BB64" i="23"/>
  <c r="BC64" i="23"/>
  <c r="BD64" i="23"/>
  <c r="BD179" i="23" s="1"/>
  <c r="BE64" i="23"/>
  <c r="BG64" i="23"/>
  <c r="BG179" i="23" s="1"/>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C18" i="74" s="1"/>
  <c r="AM56" i="23"/>
  <c r="AN56" i="23"/>
  <c r="AO56" i="23"/>
  <c r="AP56" i="23"/>
  <c r="AQ56" i="23"/>
  <c r="AR56" i="23"/>
  <c r="AS56" i="23"/>
  <c r="AT56" i="23"/>
  <c r="AU56" i="23"/>
  <c r="AV56" i="23"/>
  <c r="AW56" i="23"/>
  <c r="AX56" i="23"/>
  <c r="AY56" i="23"/>
  <c r="AZ56" i="23"/>
  <c r="BA56" i="23"/>
  <c r="BB56" i="23"/>
  <c r="BC56" i="23"/>
  <c r="BD56" i="23"/>
  <c r="BE56" i="23"/>
  <c r="BG56" i="23"/>
  <c r="C39" i="73" s="1"/>
  <c r="BH56" i="23"/>
  <c r="C60" i="73" s="1"/>
  <c r="BI56" i="23"/>
  <c r="C81" i="73" s="1"/>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C12" i="74" s="1"/>
  <c r="AM31" i="23"/>
  <c r="AN31" i="23"/>
  <c r="AO31" i="23"/>
  <c r="AP31" i="23"/>
  <c r="AQ31" i="23"/>
  <c r="AR31" i="23"/>
  <c r="AS31" i="23"/>
  <c r="AT31" i="23"/>
  <c r="AU31" i="23"/>
  <c r="AV31" i="23"/>
  <c r="AW31" i="23"/>
  <c r="AX31" i="23"/>
  <c r="AY31" i="23"/>
  <c r="AZ31" i="23"/>
  <c r="BA31" i="23"/>
  <c r="BB31" i="23"/>
  <c r="BC31" i="23"/>
  <c r="BD31" i="23"/>
  <c r="BE31" i="23"/>
  <c r="BG31" i="23"/>
  <c r="C33" i="73" s="1"/>
  <c r="BH31" i="23"/>
  <c r="C54" i="73" s="1"/>
  <c r="BI31" i="23"/>
  <c r="C75" i="73" s="1"/>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C42" i="71" l="1"/>
  <c r="B60" i="79"/>
  <c r="C18" i="71"/>
  <c r="B58" i="79"/>
  <c r="B51" i="79"/>
  <c r="B4" i="79"/>
  <c r="C9" i="72"/>
  <c r="B37" i="79"/>
  <c r="C30" i="71"/>
  <c r="B59" i="79"/>
  <c r="M153" i="29"/>
  <c r="C12" i="79" s="1"/>
  <c r="BB179" i="23"/>
  <c r="C35" i="73"/>
  <c r="C41" i="73"/>
  <c r="BI179" i="23"/>
  <c r="AZ179" i="23"/>
  <c r="C83" i="73"/>
  <c r="C77" i="73"/>
  <c r="C56" i="73"/>
  <c r="C62" i="73"/>
  <c r="C10" i="71"/>
  <c r="C72" i="73"/>
  <c r="C30" i="73"/>
  <c r="C14" i="74"/>
  <c r="C20" i="74"/>
  <c r="E161" i="70"/>
  <c r="C9" i="71"/>
  <c r="BC182" i="23"/>
  <c r="C9" i="45" s="1"/>
  <c r="BA182" i="23"/>
  <c r="AY182" i="23"/>
  <c r="O182" i="23"/>
  <c r="E8" i="46"/>
  <c r="AM182" i="23"/>
  <c r="E103" i="49"/>
  <c r="E125" i="49"/>
  <c r="E135" i="49"/>
  <c r="E121" i="49"/>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E9" i="49"/>
  <c r="E19" i="49"/>
  <c r="E35" i="49"/>
  <c r="E47" i="49"/>
  <c r="E144" i="49"/>
  <c r="BB182" i="23"/>
  <c r="AZ182" i="23"/>
  <c r="AX75" i="23"/>
  <c r="AX182" i="23"/>
  <c r="AV182" i="23"/>
  <c r="AT182" i="23"/>
  <c r="Z182" i="23"/>
  <c r="E68" i="49"/>
  <c r="E109" i="49"/>
  <c r="E31" i="49"/>
  <c r="E43" i="49"/>
  <c r="E60" i="49"/>
  <c r="E80" i="49"/>
  <c r="E86" i="49"/>
  <c r="E92" i="49"/>
  <c r="E157" i="49"/>
  <c r="AL182" i="23"/>
  <c r="C9" i="74" s="1"/>
  <c r="AS182" i="23"/>
  <c r="AH75" i="23"/>
  <c r="AH182" i="23"/>
  <c r="AI182" i="23"/>
  <c r="AF182" i="23"/>
  <c r="AE182" i="23"/>
  <c r="AC182" i="23"/>
  <c r="AA182" i="23"/>
  <c r="Y182" i="23"/>
  <c r="X182" i="23"/>
  <c r="AR182" i="23"/>
  <c r="AQ182" i="23"/>
  <c r="AP75" i="23"/>
  <c r="AP182" i="23"/>
  <c r="AW182" i="23"/>
  <c r="N182" i="23"/>
  <c r="T182" i="23"/>
  <c r="U182" i="23"/>
  <c r="AO182" i="23"/>
  <c r="AJ182" i="23"/>
  <c r="AB182" i="23"/>
  <c r="V182" i="23"/>
  <c r="AG182" i="23"/>
  <c r="J182" i="23"/>
  <c r="D34" i="43"/>
  <c r="BE182" i="23"/>
  <c r="AN182" i="23"/>
  <c r="AU182" i="23"/>
  <c r="S182" i="23"/>
  <c r="R75" i="23"/>
  <c r="R182" i="23"/>
  <c r="W182" i="23"/>
  <c r="AD182" i="23"/>
  <c r="BH182" i="23"/>
  <c r="Q182" i="23"/>
  <c r="C9" i="44"/>
  <c r="AK182" i="23"/>
  <c r="P182" i="23"/>
  <c r="H182" i="23"/>
  <c r="K182" i="23"/>
  <c r="G182" i="23"/>
  <c r="I182" i="23"/>
  <c r="I75" i="23"/>
  <c r="BI182" i="23"/>
  <c r="BD182" i="23"/>
  <c r="L182" i="23"/>
  <c r="F182" i="23"/>
  <c r="M182" i="23"/>
  <c r="C8" i="26"/>
  <c r="BG220" i="24"/>
  <c r="BG223" i="24" s="1"/>
  <c r="BG18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79" i="23"/>
  <c r="BE179" i="23"/>
  <c r="BC179" i="23"/>
  <c r="BA179" i="23"/>
  <c r="AY179" i="23"/>
  <c r="C15" i="44" s="1"/>
  <c r="AW179" i="23"/>
  <c r="AU179" i="23"/>
  <c r="AS179" i="23"/>
  <c r="AQ179" i="23"/>
  <c r="AO179" i="23"/>
  <c r="AM179" i="23"/>
  <c r="AK179" i="23"/>
  <c r="AI179" i="23"/>
  <c r="AG179" i="23"/>
  <c r="AE179" i="23"/>
  <c r="AC179" i="23"/>
  <c r="AA179" i="23"/>
  <c r="Y179" i="23"/>
  <c r="W179" i="23"/>
  <c r="U179" i="23"/>
  <c r="S179" i="23"/>
  <c r="Q179" i="23"/>
  <c r="O179" i="23"/>
  <c r="M179" i="23"/>
  <c r="K179" i="23"/>
  <c r="I179" i="23"/>
  <c r="G179" i="23"/>
  <c r="AG75" i="23"/>
  <c r="AE75" i="23"/>
  <c r="AC75" i="23"/>
  <c r="AA75" i="23"/>
  <c r="Y75" i="23"/>
  <c r="W75" i="23"/>
  <c r="E79" i="70" s="1"/>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C66" i="25"/>
  <c r="D76" i="27"/>
  <c r="C42" i="26"/>
  <c r="BF76" i="23"/>
  <c r="B16" i="80" s="1"/>
  <c r="BF153" i="23"/>
  <c r="BF157" i="23"/>
  <c r="D30" i="27"/>
  <c r="D41" i="27" s="1"/>
  <c r="C18" i="26"/>
  <c r="D8" i="27"/>
  <c r="BF140" i="23"/>
  <c r="B25" i="80" s="1"/>
  <c r="C41" i="25"/>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81" i="23" s="1"/>
  <c r="G5" i="23"/>
  <c r="G181" i="23" s="1"/>
  <c r="H5" i="23"/>
  <c r="H181" i="23" s="1"/>
  <c r="I5" i="23"/>
  <c r="I181" i="23" s="1"/>
  <c r="J5" i="23"/>
  <c r="J181" i="23" s="1"/>
  <c r="K5" i="23"/>
  <c r="K181" i="23" s="1"/>
  <c r="L5" i="23"/>
  <c r="L181" i="23" s="1"/>
  <c r="M5" i="23"/>
  <c r="M181" i="23" s="1"/>
  <c r="N5" i="23"/>
  <c r="N181" i="23" s="1"/>
  <c r="O5" i="23"/>
  <c r="O181" i="23" s="1"/>
  <c r="P5" i="23"/>
  <c r="P181" i="23" s="1"/>
  <c r="Q5" i="23"/>
  <c r="Q181" i="23" s="1"/>
  <c r="R5" i="23"/>
  <c r="R181" i="23" s="1"/>
  <c r="S5" i="23"/>
  <c r="S181" i="23" s="1"/>
  <c r="T5" i="23"/>
  <c r="T181" i="23" s="1"/>
  <c r="U5" i="23"/>
  <c r="U181" i="23" s="1"/>
  <c r="V5" i="23"/>
  <c r="V181" i="23" s="1"/>
  <c r="W5" i="23"/>
  <c r="X5" i="23"/>
  <c r="X181" i="23" s="1"/>
  <c r="Y5" i="23"/>
  <c r="Y181" i="23" s="1"/>
  <c r="Z5" i="23"/>
  <c r="Z181" i="23" s="1"/>
  <c r="AA5" i="23"/>
  <c r="AA181" i="23" s="1"/>
  <c r="AB5" i="23"/>
  <c r="AB181" i="23" s="1"/>
  <c r="AC5" i="23"/>
  <c r="AC181" i="23" s="1"/>
  <c r="AD5" i="23"/>
  <c r="AD181" i="23" s="1"/>
  <c r="AE5" i="23"/>
  <c r="AE181" i="23" s="1"/>
  <c r="AF5" i="23"/>
  <c r="AF181" i="23" s="1"/>
  <c r="AG5" i="23"/>
  <c r="AG181" i="23" s="1"/>
  <c r="AH5" i="23"/>
  <c r="AH181" i="23" s="1"/>
  <c r="AI5" i="23"/>
  <c r="AI181" i="23" s="1"/>
  <c r="AJ5" i="23"/>
  <c r="AJ181" i="23" s="1"/>
  <c r="AK5" i="23"/>
  <c r="AK181" i="23" s="1"/>
  <c r="AL5" i="23"/>
  <c r="AL181" i="23" s="1"/>
  <c r="C8" i="74" s="1"/>
  <c r="AM5" i="23"/>
  <c r="AM181" i="23" s="1"/>
  <c r="AN5" i="23"/>
  <c r="AN181" i="23" s="1"/>
  <c r="AO5" i="23"/>
  <c r="AO181" i="23" s="1"/>
  <c r="AP5" i="23"/>
  <c r="AP181" i="23" s="1"/>
  <c r="AQ5" i="23"/>
  <c r="AQ181" i="23" s="1"/>
  <c r="AR5" i="23"/>
  <c r="AR181" i="23" s="1"/>
  <c r="AS5" i="23"/>
  <c r="AS181" i="23" s="1"/>
  <c r="AT5" i="23"/>
  <c r="AT181" i="23" s="1"/>
  <c r="AU5" i="23"/>
  <c r="AU181" i="23" s="1"/>
  <c r="AV5" i="23"/>
  <c r="AV181" i="23" s="1"/>
  <c r="AW5" i="23"/>
  <c r="AW181" i="23" s="1"/>
  <c r="AX5" i="23"/>
  <c r="AX181" i="23" s="1"/>
  <c r="AY5" i="23"/>
  <c r="AY181" i="23" s="1"/>
  <c r="AZ5" i="23"/>
  <c r="AZ181" i="23" s="1"/>
  <c r="BA5" i="23"/>
  <c r="BA181" i="23" s="1"/>
  <c r="BB5" i="23"/>
  <c r="BB181" i="23" s="1"/>
  <c r="BC5" i="23"/>
  <c r="BC181" i="23" s="1"/>
  <c r="C8" i="45" s="1"/>
  <c r="BD5" i="23"/>
  <c r="BD181" i="23" s="1"/>
  <c r="BE5" i="23"/>
  <c r="BE18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E8" i="70" s="1"/>
  <c r="X4" i="23"/>
  <c r="Y4" i="23"/>
  <c r="Z4" i="23"/>
  <c r="AA4" i="23"/>
  <c r="AB4" i="23"/>
  <c r="AC4" i="23"/>
  <c r="AD4" i="23"/>
  <c r="AE4" i="23"/>
  <c r="AF4" i="23"/>
  <c r="AG4" i="23"/>
  <c r="AH4" i="23"/>
  <c r="AH159" i="23" s="1"/>
  <c r="AH160" i="23" s="1"/>
  <c r="AI4" i="23"/>
  <c r="AJ4" i="23"/>
  <c r="AK4" i="23"/>
  <c r="AL4" i="23"/>
  <c r="AM4" i="23"/>
  <c r="AN4" i="23"/>
  <c r="AO4" i="23"/>
  <c r="AP4" i="23"/>
  <c r="AQ4" i="23"/>
  <c r="AR4" i="23"/>
  <c r="AS4" i="23"/>
  <c r="AT4" i="23"/>
  <c r="AU4" i="23"/>
  <c r="AV4" i="23"/>
  <c r="AW4" i="23"/>
  <c r="AX4" i="23"/>
  <c r="AX159" i="23" s="1"/>
  <c r="AX160" i="23" s="1"/>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79" i="23" s="1"/>
  <c r="E56" i="23"/>
  <c r="E53" i="23"/>
  <c r="E43" i="23"/>
  <c r="E39" i="23"/>
  <c r="E31" i="23"/>
  <c r="E27" i="23"/>
  <c r="E15" i="23"/>
  <c r="E5" i="23"/>
  <c r="BE160" i="29" l="1"/>
  <c r="C18" i="73"/>
  <c r="B12" i="80"/>
  <c r="C6" i="71"/>
  <c r="B57" i="79"/>
  <c r="C19" i="73"/>
  <c r="B24" i="80"/>
  <c r="C13" i="73"/>
  <c r="B20" i="80"/>
  <c r="C35" i="25"/>
  <c r="C60" i="25"/>
  <c r="BB159" i="23"/>
  <c r="BB160" i="23" s="1"/>
  <c r="AL159" i="23"/>
  <c r="AL160" i="23" s="1"/>
  <c r="V159" i="23"/>
  <c r="V160" i="23" s="1"/>
  <c r="BC160" i="29"/>
  <c r="D65" i="27"/>
  <c r="D69" i="27" s="1"/>
  <c r="C14" i="45"/>
  <c r="C81" i="25"/>
  <c r="C8" i="73"/>
  <c r="D87" i="27"/>
  <c r="D91" i="27" s="1"/>
  <c r="C20" i="45"/>
  <c r="C20" i="73"/>
  <c r="C50" i="73"/>
  <c r="C52" i="73" s="1"/>
  <c r="C58" i="73" s="1"/>
  <c r="C64" i="73" s="1"/>
  <c r="C12" i="73"/>
  <c r="C14" i="73" s="1"/>
  <c r="C9" i="73"/>
  <c r="C10" i="73" s="1"/>
  <c r="C10" i="74"/>
  <c r="C16" i="74" s="1"/>
  <c r="C22" i="74" s="1"/>
  <c r="C71" i="73"/>
  <c r="C73" i="73" s="1"/>
  <c r="C79" i="73" s="1"/>
  <c r="C85" i="73" s="1"/>
  <c r="C29" i="73"/>
  <c r="C31" i="73" s="1"/>
  <c r="C37" i="73" s="1"/>
  <c r="C43" i="73" s="1"/>
  <c r="E9" i="70"/>
  <c r="E19" i="46"/>
  <c r="E23" i="46" s="1"/>
  <c r="P160" i="29"/>
  <c r="T160" i="29"/>
  <c r="AX160" i="29"/>
  <c r="BB160" i="29"/>
  <c r="AZ160" i="29"/>
  <c r="C87" i="25"/>
  <c r="AM159" i="23"/>
  <c r="AM160" i="23" s="1"/>
  <c r="C18" i="25"/>
  <c r="C6" i="26"/>
  <c r="D11" i="27"/>
  <c r="AZ159" i="23"/>
  <c r="AZ160" i="23" s="1"/>
  <c r="AT159" i="23"/>
  <c r="AT160" i="23" s="1"/>
  <c r="C13" i="25"/>
  <c r="C19" i="25"/>
  <c r="E19" i="62"/>
  <c r="E23" i="62" s="1"/>
  <c r="W18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C62" i="25" s="1"/>
  <c r="C68" i="25" s="1"/>
  <c r="BH181" i="23"/>
  <c r="AK160" i="29"/>
  <c r="E161" i="49"/>
  <c r="H159" i="23"/>
  <c r="H160" i="23" s="1"/>
  <c r="K160" i="29"/>
  <c r="G159" i="23"/>
  <c r="G160" i="23" s="1"/>
  <c r="BD160" i="29"/>
  <c r="C75" i="25"/>
  <c r="BI181" i="23"/>
  <c r="L159" i="23"/>
  <c r="L160" i="23" s="1"/>
  <c r="N159" i="23"/>
  <c r="N160" i="23" s="1"/>
  <c r="E182" i="23"/>
  <c r="BF182" i="23"/>
  <c r="BF181" i="23"/>
  <c r="E181" i="23"/>
  <c r="C29" i="25"/>
  <c r="C31" i="25" s="1"/>
  <c r="BG18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E79" i="49" s="1"/>
  <c r="BI140" i="29"/>
  <c r="BI117" i="29"/>
  <c r="BI31" i="29"/>
  <c r="BI15" i="29"/>
  <c r="AK4" i="29"/>
  <c r="E8" i="49" s="1"/>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79" i="23"/>
  <c r="BF75" i="23"/>
  <c r="M159" i="23"/>
  <c r="M160" i="23" s="1"/>
  <c r="BF4" i="23"/>
  <c r="C8" i="25"/>
  <c r="BH159" i="23"/>
  <c r="BH160" i="23" s="1"/>
  <c r="E75" i="23"/>
  <c r="E79" i="48" s="1"/>
  <c r="C37" i="25" l="1"/>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8" i="1"/>
  <c r="F19" i="1" s="1"/>
  <c r="C13" i="1" l="1"/>
  <c r="C14" i="1" s="1"/>
  <c r="I16" i="1"/>
  <c r="I17" i="1" s="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comments1.xml><?xml version="1.0" encoding="utf-8"?>
<comments xmlns="http://schemas.openxmlformats.org/spreadsheetml/2006/main">
  <authors>
    <author>Riat Christophe</author>
  </authors>
  <commentList>
    <comment ref="A18" authorId="0" shapeId="0">
      <text>
        <r>
          <rPr>
            <sz val="9"/>
            <color indexed="81"/>
            <rFont val="Arial"/>
            <family val="2"/>
          </rPr>
          <t xml:space="preserve">Le </t>
        </r>
        <r>
          <rPr>
            <b/>
            <sz val="9"/>
            <color indexed="81"/>
            <rFont val="Arial"/>
            <family val="2"/>
          </rPr>
          <t>quotient d'endettement net</t>
        </r>
        <r>
          <rPr>
            <sz val="9"/>
            <color indexed="81"/>
            <rFont val="Arial"/>
            <family val="2"/>
          </rPr>
          <t xml:space="preserve"> indique la part des revenus fiscaux (impôts directs des personnes physiques et des personnes morales) ainsi que des prestations de la péréquation financière qui serait nécessaire pour amortir la dette nette. Une valeur négative atteste de l'existence d'une fortune nette.
Echelle de comparaison au niveau suisse : 
&lt; 0%  Très faible endettement net
1% à 50% Faible endettement net
51% à 100% Endettement net moyen
101% à 150% Endettement net élevé
&gt; 150% Endettement net très élevé</t>
        </r>
      </text>
    </comment>
    <comment ref="A24" authorId="0" shapeId="0">
      <text>
        <r>
          <rPr>
            <sz val="9"/>
            <color indexed="81"/>
            <rFont val="Arial"/>
            <family val="2"/>
          </rPr>
          <t xml:space="preserve">Le </t>
        </r>
        <r>
          <rPr>
            <b/>
            <sz val="9"/>
            <color indexed="81"/>
            <rFont val="Arial"/>
            <family val="2"/>
          </rPr>
          <t>degré d'autofinancement</t>
        </r>
        <r>
          <rPr>
            <sz val="9"/>
            <color indexed="81"/>
            <rFont val="Arial"/>
            <family val="2"/>
          </rPr>
          <t xml:space="preserve">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
Echelle de comparaison au niveau suisse :
&gt; 100%  Idéal
70% à 100% Acceptable à bon
&lt; 70%  Problématique
</t>
        </r>
      </text>
    </comment>
    <comment ref="A26" authorId="0" shapeId="0">
      <text>
        <r>
          <rPr>
            <sz val="9"/>
            <color indexed="81"/>
            <rFont val="Arial"/>
            <family val="2"/>
          </rPr>
          <t xml:space="preserve">La </t>
        </r>
        <r>
          <rPr>
            <b/>
            <sz val="9"/>
            <color indexed="81"/>
            <rFont val="Arial"/>
            <family val="2"/>
          </rPr>
          <t>quotité de la charge des intérêts</t>
        </r>
        <r>
          <rPr>
            <sz val="9"/>
            <color indexed="81"/>
            <rFont val="Arial"/>
            <family val="2"/>
          </rPr>
          <t xml:space="preserve"> indique la part des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Echelle de comparaison au niveau suisse :
&lt; -1%  Charge extrêmement faible
-1% à 0%  Charge très faible
0% à 1%  Charge faible
1% à 2%  Charge moyenne
&gt; 2%  Charge élevée
</t>
        </r>
      </text>
    </comment>
    <comment ref="A28" authorId="0" shapeId="0">
      <text>
        <r>
          <rPr>
            <sz val="9"/>
            <color indexed="81"/>
            <rFont val="Arial"/>
            <family val="2"/>
          </rPr>
          <t xml:space="preserve">La </t>
        </r>
        <r>
          <rPr>
            <b/>
            <sz val="9"/>
            <color indexed="81"/>
            <rFont val="Arial"/>
            <family val="2"/>
          </rPr>
          <t>dette brute par rapport aux revenus</t>
        </r>
        <r>
          <rPr>
            <sz val="9"/>
            <color indexed="81"/>
            <rFont val="Arial"/>
            <family val="2"/>
          </rPr>
          <t xml:space="preserve"> permet d'évaluer la situation d'endettement, et en particulier de déterminer si l'endettement est proportionné compte tenu des revenus obtenus. Cet indicateur renseigne sur le pourcentage des revenus qui est nécessaire au remboursement de la dette brute en une seule fois.
Echelle de comparaison au niveau suisse :
&lt; 50%   Très bon
De 50 à 100%  Bon
De 100% à 150% Moyen
De 150% à 200% Mauvais
&gt; 200%   Critique</t>
        </r>
      </text>
    </comment>
    <comment ref="A30" authorId="0" shapeId="0">
      <text>
        <r>
          <rPr>
            <sz val="9"/>
            <color indexed="81"/>
            <rFont val="Arial"/>
            <family val="2"/>
          </rPr>
          <t xml:space="preserve">La </t>
        </r>
        <r>
          <rPr>
            <b/>
            <sz val="9"/>
            <color indexed="81"/>
            <rFont val="Arial"/>
            <family val="2"/>
          </rPr>
          <t>quotité d'investissement</t>
        </r>
        <r>
          <rPr>
            <sz val="9"/>
            <color indexed="81"/>
            <rFont val="Arial"/>
            <family val="2"/>
          </rPr>
          <t xml:space="preserve"> renseigne sur le rapport entre les activités d'investissement et les charges annuelles globales. Cet indicateur ne permet toutefois pas à lui seul de tirer des conclusions sur la situation financière de la commune.
Echelle de comparaison au niveau suisse :
&lt; 10%  Peu important
De 10 à 20% Importance moyenne
De 20% à 30% Importante
&gt; 30%  Très importante</t>
        </r>
      </text>
    </comment>
    <comment ref="A32" authorId="0" shapeId="0">
      <text>
        <r>
          <rPr>
            <sz val="9"/>
            <color indexed="81"/>
            <rFont val="Arial"/>
            <family val="2"/>
          </rPr>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
Echelle de comparaison au niveau suisse :
&lt; 5%  Faible charge
5% à 15% Charge supportable
15% à 25% Charge élevée à très élevée
&gt; 25%  Charge à peine supportable</t>
        </r>
      </text>
    </comment>
    <comment ref="A34" authorId="0" shapeId="0">
      <text>
        <r>
          <rPr>
            <b/>
            <sz val="9"/>
            <color indexed="81"/>
            <rFont val="Arial"/>
            <family val="2"/>
          </rPr>
          <t>L'endettement net en francs par habitant</t>
        </r>
        <r>
          <rPr>
            <sz val="9"/>
            <color indexed="81"/>
            <rFont val="Arial"/>
            <family val="2"/>
          </rPr>
          <t xml:space="preserve"> sert à mesurer l'importance de la dette et doit être apprécié en même temps que la capacité financière de la commune (quotité d'autofinancement). Une valeur négative reflète l'existence d'une fortune nette par habitant.
Echelle de comparaison au niveau suisse :
&lt; 0  Fortune nette
De 0 à 1'000  Endettement faible 
De 1'001 à 3'000  Endettement moyen
De 3'001 à 5'000  Endettement haut
&gt; 5'000   Endettement critique</t>
        </r>
      </text>
    </comment>
    <comment ref="A36" authorId="0" shapeId="0">
      <text>
        <r>
          <rPr>
            <sz val="9"/>
            <color indexed="81"/>
            <rFont val="Arial"/>
            <family val="2"/>
          </rPr>
          <t xml:space="preserve">La </t>
        </r>
        <r>
          <rPr>
            <b/>
            <sz val="9"/>
            <color indexed="81"/>
            <rFont val="Arial"/>
            <family val="2"/>
          </rPr>
          <t>quotité d'autofinancement</t>
        </r>
        <r>
          <rPr>
            <sz val="9"/>
            <color indexed="81"/>
            <rFont val="Arial"/>
            <family val="2"/>
          </rPr>
          <t xml:space="preserve"> (ou capacité d'autofinancement) reflète la capacité d'une commune ainsi que sa marge de manœuvre budgétaire. Cet indicateur renseigne sur la part des revenus pouvant être affectée au financement d'investissements ou au désendettement. 
Echelle de comparaison au niveau suisse :
&gt; 20 %  Bonne
10% à 20% Moyenne
&lt; 10%  Faible</t>
        </r>
      </text>
    </comment>
    <comment ref="A38" authorId="0" shapeId="0">
      <text>
        <r>
          <rPr>
            <sz val="9"/>
            <color indexed="81"/>
            <rFont val="Arial"/>
            <family val="2"/>
          </rPr>
          <t xml:space="preserve">La </t>
        </r>
        <r>
          <rPr>
            <b/>
            <sz val="9"/>
            <color indexed="81"/>
            <rFont val="Arial"/>
            <family val="2"/>
          </rPr>
          <t>quotité de la charge des intérêts nets</t>
        </r>
        <r>
          <rPr>
            <sz val="9"/>
            <color indexed="81"/>
            <rFont val="Arial"/>
            <family val="2"/>
          </rPr>
          <t xml:space="preserve">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
Echelle de comparaison au niveau suisse :
&lt; 2%  Faible
2% à 5%  Moyenne
5% à 8%  Forte
&gt; 8%  Très forte</t>
        </r>
      </text>
    </comment>
    <comment ref="A40" authorId="0" shapeId="0">
      <text>
        <r>
          <rPr>
            <sz val="9"/>
            <color indexed="81"/>
            <rFont val="Arial"/>
            <family val="2"/>
          </rPr>
          <t xml:space="preserve">Le </t>
        </r>
        <r>
          <rPr>
            <b/>
            <sz val="9"/>
            <color indexed="81"/>
            <rFont val="Arial"/>
            <family val="2"/>
          </rPr>
          <t>quotient de l'excédent du bilan</t>
        </r>
        <r>
          <rPr>
            <sz val="9"/>
            <color indexed="81"/>
            <rFont val="Arial"/>
            <family val="2"/>
          </rPr>
          <t xml:space="preserve"> est en quelque sorte le thermomètre renseignant sur l'état de santé des capitaux propres. Une valeur négative signifie un découvert au bilan. L'évolution de cet indicateur doit être observée sur plusieurs années.
Echelle de comparaison au niveau suisse :
&gt; 60%  Elevé
30% à 60% Moyen
&lt; 30%  Faible
</t>
        </r>
      </text>
    </comment>
  </commentList>
</comments>
</file>

<file path=xl/sharedStrings.xml><?xml version="1.0" encoding="utf-8"?>
<sst xmlns="http://schemas.openxmlformats.org/spreadsheetml/2006/main" count="5597" uniqueCount="821">
  <si>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</si>
  <si>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</si>
  <si>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</si>
  <si>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</si>
  <si>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</si>
  <si>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</si>
  <si>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</si>
  <si>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</si>
  <si>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</si>
  <si>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</si>
  <si>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</si>
  <si>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</si>
  <si>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</si>
  <si>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</si>
  <si>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</si>
  <si>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</si>
  <si>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</si>
  <si>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</si>
  <si>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</si>
  <si>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</si>
  <si>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</si>
  <si>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</si>
  <si>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</si>
  <si>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</si>
  <si>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</si>
  <si>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</si>
  <si>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</si>
  <si>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</si>
  <si>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</si>
  <si>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</si>
  <si>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</si>
  <si>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</si>
  <si>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</si>
  <si>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</si>
  <si>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</si>
  <si>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</si>
  <si>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</si>
  <si>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</si>
  <si>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</si>
  <si>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</si>
  <si>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</si>
  <si>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</si>
  <si>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</si>
  <si>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</si>
  <si>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</si>
  <si>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</si>
  <si>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</si>
  <si>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</si>
  <si>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</si>
  <si>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</si>
  <si>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</si>
  <si>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</si>
  <si>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</si>
  <si>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</si>
  <si>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</si>
  <si>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</si>
  <si>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</si>
  <si>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</si>
  <si>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</si>
  <si>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</si>
  <si>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</si>
  <si>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</si>
  <si>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</si>
  <si>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</si>
  <si>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</si>
  <si>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</si>
  <si>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</si>
  <si>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</si>
  <si>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</si>
  <si>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</si>
  <si>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</si>
  <si>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</si>
  <si>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</si>
  <si>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</si>
  <si>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</si>
  <si>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</si>
  <si>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</si>
  <si>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</si>
  <si>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</si>
  <si>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</si>
  <si>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</si>
  <si>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</si>
  <si>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</si>
  <si>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</si>
  <si>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</si>
  <si>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</si>
  <si>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</si>
  <si>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</si>
  <si>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</si>
  <si>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</si>
  <si>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</si>
  <si>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</si>
  <si>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</si>
  <si>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</si>
  <si>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</si>
  <si>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</si>
  <si>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</si>
  <si>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</si>
  <si>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</si>
  <si>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</si>
  <si>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</si>
  <si>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</si>
  <si>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</si>
  <si>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</si>
  <si>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</si>
  <si>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</si>
  <si>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</si>
  <si>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</si>
  <si>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</si>
  <si>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</si>
  <si>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</si>
  <si>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</si>
  <si>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</si>
  <si>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</si>
  <si>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</si>
  <si>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</si>
  <si>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</si>
  <si>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</si>
  <si>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</si>
  <si>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</si>
  <si>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</si>
  <si>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</si>
  <si>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</si>
  <si>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</si>
  <si>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</si>
  <si>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</si>
  <si>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</si>
  <si>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</si>
  <si>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</si>
  <si>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</si>
  <si>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</si>
  <si>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</si>
  <si>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</si>
  <si>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</si>
  <si>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</si>
  <si>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</si>
  <si>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</si>
  <si>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</si>
  <si>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</si>
  <si>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</si>
  <si>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</si>
  <si>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</si>
  <si>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</si>
  <si>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</si>
  <si>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</si>
  <si>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</si>
  <si>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</si>
  <si>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</si>
  <si>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</si>
  <si>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</si>
  <si>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</si>
  <si>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</si>
  <si>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</si>
  <si>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</si>
  <si>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</si>
  <si>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</si>
  <si>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</si>
  <si>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</si>
  <si>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</si>
  <si>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</si>
  <si>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</si>
  <si>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</si>
  <si>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</si>
  <si>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</si>
  <si>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</si>
  <si>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</si>
  <si>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</si>
  <si>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</si>
  <si>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</si>
  <si>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</si>
  <si>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</si>
  <si>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</si>
  <si>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</si>
  <si>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</si>
  <si>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</si>
  <si>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</si>
  <si>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</si>
  <si>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</si>
  <si>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</si>
  <si>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</si>
  <si>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</si>
  <si>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</si>
  <si>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</si>
  <si>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</si>
  <si>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</si>
  <si>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</si>
  <si>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</si>
  <si>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</si>
  <si>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</si>
  <si>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</si>
  <si>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</si>
  <si>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</si>
  <si>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</si>
  <si>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</si>
  <si>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</si>
  <si>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</si>
  <si>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</si>
  <si>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</si>
  <si>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</si>
  <si>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Comptes de résultats par natures 2020</t>
  </si>
  <si>
    <t>Comptes de résultats par natures à trois niveaux 2020</t>
  </si>
  <si>
    <t>Ensemble des communes jurassiennes</t>
  </si>
  <si>
    <t>Comptes 2020 à trois niveaux</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</si>
  <si>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</si>
  <si>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</si>
  <si>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</si>
  <si>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</si>
  <si>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</si>
  <si>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</si>
  <si>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</si>
  <si>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</si>
  <si>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</si>
  <si>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</si>
  <si>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</si>
  <si>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</si>
  <si>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</si>
  <si>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</si>
  <si>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</si>
  <si>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</si>
  <si>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</si>
  <si>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comptes 2020</t>
  </si>
  <si>
    <t>5 ./. 6</t>
  </si>
  <si>
    <t>Clôture du compte général</t>
  </si>
  <si>
    <t>Compte général</t>
  </si>
  <si>
    <t>Clôture des financements spéciaux</t>
  </si>
  <si>
    <t>Investissements nets</t>
  </si>
  <si>
    <t>Vue d'ensemble 2020</t>
  </si>
  <si>
    <t>Résultat du financement (autofinancement)</t>
  </si>
  <si>
    <t>Autofinancement 2020</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</si>
  <si>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</si>
  <si>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</si>
  <si>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</si>
  <si>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</si>
  <si>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</si>
  <si>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</si>
  <si>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</si>
  <si>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</si>
  <si>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</si>
  <si>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</si>
  <si>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</si>
  <si>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</si>
  <si>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</si>
  <si>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</si>
  <si>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</si>
  <si>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</si>
  <si>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Bilan 2020</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</si>
  <si>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</si>
  <si>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</si>
  <si>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</si>
  <si>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</si>
  <si>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</si>
  <si>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</si>
  <si>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</si>
  <si>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</si>
  <si>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</si>
  <si>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</si>
  <si>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</si>
  <si>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</si>
  <si>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</si>
  <si>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</si>
  <si>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</si>
  <si>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</si>
  <si>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</si>
  <si>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</si>
  <si>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</si>
  <si>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</si>
  <si>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</si>
  <si>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</si>
  <si>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</si>
  <si>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</si>
  <si>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</si>
  <si>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</si>
  <si>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</si>
  <si>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</si>
  <si>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</si>
  <si>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</si>
  <si>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</si>
  <si>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</si>
  <si>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</si>
  <si>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</si>
  <si>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</si>
  <si>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</si>
  <si>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</si>
  <si>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</si>
  <si>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</si>
  <si>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</si>
  <si>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</si>
  <si>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</si>
  <si>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</si>
  <si>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</si>
  <si>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</si>
  <si>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</si>
  <si>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</si>
  <si>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</si>
  <si>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</si>
  <si>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</si>
  <si>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</si>
  <si>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</si>
  <si>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</si>
  <si>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</si>
  <si>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</si>
  <si>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</si>
  <si>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</si>
  <si>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</si>
  <si>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</si>
  <si>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</si>
  <si>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Comptes de résultats par fonction 2020</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</si>
  <si>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</si>
  <si>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</si>
  <si>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</si>
  <si>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</si>
  <si>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</si>
  <si>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</si>
  <si>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</si>
  <si>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</si>
  <si>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</si>
  <si>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</si>
  <si>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</si>
  <si>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</si>
  <si>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</si>
  <si>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</si>
  <si>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Comptes de résultats par fonctions 2020</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</si>
  <si>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</si>
  <si>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</si>
  <si>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</si>
  <si>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</si>
  <si>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</si>
  <si>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</si>
  <si>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</si>
  <si>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</si>
  <si>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</si>
  <si>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</si>
  <si>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</si>
  <si>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</si>
  <si>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</si>
  <si>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</si>
  <si>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</si>
  <si>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</si>
  <si>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</si>
  <si>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</si>
  <si>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</si>
  <si>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</si>
  <si>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</si>
  <si>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</si>
  <si>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</si>
  <si>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</si>
  <si>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</si>
  <si>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</si>
  <si>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</si>
  <si>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</si>
  <si>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</si>
  <si>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</si>
  <si>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</si>
  <si>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</si>
  <si>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</si>
  <si>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</si>
  <si>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</si>
  <si>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</si>
  <si>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</si>
  <si>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</si>
  <si>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</si>
  <si>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</si>
  <si>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</si>
  <si>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</si>
  <si>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</si>
  <si>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</si>
  <si>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</si>
  <si>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</si>
  <si>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</si>
  <si>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</si>
  <si>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</si>
  <si>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</si>
  <si>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</si>
  <si>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</si>
  <si>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</si>
  <si>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</si>
  <si>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</si>
  <si>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</si>
  <si>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</si>
  <si>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</si>
  <si>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</si>
  <si>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</si>
  <si>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</si>
  <si>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</si>
  <si>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</si>
  <si>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</si>
  <si>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</si>
  <si>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</si>
  <si>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</si>
  <si>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</si>
  <si>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</si>
  <si>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</si>
  <si>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</si>
  <si>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</si>
  <si>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</si>
  <si>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</si>
  <si>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</si>
  <si>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</si>
  <si>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</si>
  <si>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</si>
  <si>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</si>
  <si>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</si>
  <si>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</si>
  <si>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</si>
  <si>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</si>
  <si>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</si>
  <si>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</si>
  <si>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</si>
  <si>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</si>
  <si>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</si>
  <si>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</si>
  <si>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</si>
  <si>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</si>
  <si>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</si>
  <si>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</si>
  <si>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</si>
  <si>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</si>
  <si>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</si>
  <si>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</si>
  <si>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</si>
  <si>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</si>
  <si>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</si>
  <si>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</si>
  <si>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</si>
  <si>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</si>
  <si>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</si>
  <si>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</si>
  <si>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</si>
  <si>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</si>
  <si>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</si>
  <si>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</si>
  <si>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</si>
  <si>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</si>
  <si>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</si>
  <si>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</si>
  <si>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</si>
  <si>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</si>
  <si>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</si>
  <si>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</si>
  <si>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</si>
  <si>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</si>
  <si>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</si>
  <si>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</si>
  <si>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</si>
  <si>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</si>
  <si>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</si>
  <si>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</si>
  <si>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</si>
  <si>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</si>
  <si>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</si>
  <si>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</si>
  <si>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</si>
  <si>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</si>
  <si>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</si>
  <si>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</si>
  <si>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</si>
  <si>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</si>
  <si>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</si>
  <si>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</si>
  <si>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</si>
  <si>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</si>
  <si>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Tableau de l'endettement 2020</t>
  </si>
  <si>
    <t>Immobilisations ne pouvant être portées à l'actif</t>
  </si>
  <si>
    <t>Comptes supplémentaires pour les indicateurs financiers</t>
  </si>
  <si>
    <t>Comptes des investissements 2020</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</si>
  <si>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</si>
  <si>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</si>
  <si>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</si>
  <si>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</si>
  <si>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</si>
  <si>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</si>
  <si>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</si>
  <si>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</si>
  <si>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</si>
  <si>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</si>
  <si>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</si>
  <si>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</si>
  <si>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</si>
  <si>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</si>
  <si>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</si>
  <si>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</si>
  <si>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</si>
  <si>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</si>
  <si>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</si>
  <si>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</si>
  <si>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</si>
  <si>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</si>
  <si>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</si>
  <si>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</si>
  <si>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</si>
  <si>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</si>
  <si>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</si>
  <si>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</si>
  <si>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</si>
  <si>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</si>
  <si>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</si>
  <si>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</si>
  <si>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</si>
  <si>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</si>
  <si>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</si>
  <si>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</si>
  <si>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</si>
  <si>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</si>
  <si>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</si>
  <si>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</si>
  <si>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</si>
  <si>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</si>
  <si>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</si>
  <si>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</si>
  <si>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</si>
  <si>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</si>
  <si>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</si>
  <si>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</si>
  <si>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</si>
  <si>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</si>
  <si>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</si>
  <si>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</si>
  <si>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</si>
  <si>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</si>
  <si>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</si>
  <si>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</si>
  <si>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</si>
  <si>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</si>
  <si>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</si>
  <si>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</si>
  <si>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</si>
  <si>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</si>
  <si>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</si>
  <si>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</si>
  <si>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</si>
  <si>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</si>
  <si>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</si>
  <si>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</si>
  <si>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</si>
  <si>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</si>
  <si>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</si>
  <si>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</si>
  <si>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</si>
  <si>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</si>
  <si>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</si>
  <si>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</si>
  <si>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</si>
  <si>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</si>
  <si>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</si>
  <si>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</si>
  <si>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</si>
  <si>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</si>
  <si>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</si>
  <si>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</si>
  <si>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</si>
  <si>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</si>
  <si>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</si>
  <si>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</si>
  <si>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</si>
  <si>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</si>
  <si>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</si>
  <si>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</si>
  <si>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</si>
  <si>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</si>
  <si>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</si>
  <si>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</si>
  <si>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</si>
  <si>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</si>
  <si>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</si>
  <si>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</si>
  <si>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</si>
  <si>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</si>
  <si>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</si>
  <si>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</si>
  <si>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</si>
  <si>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</si>
  <si>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</si>
  <si>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</si>
  <si>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</si>
  <si>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</si>
  <si>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</si>
  <si>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</si>
  <si>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</si>
  <si>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</si>
  <si>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</si>
  <si>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</si>
  <si>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</si>
  <si>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</si>
  <si>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</si>
  <si>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</si>
  <si>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Les valeurs ci-dessus s'entendent sans les financements spéciaux</t>
  </si>
  <si>
    <t>Exercice 2020</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</si>
  <si>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</si>
  <si>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</si>
  <si>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</si>
  <si>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</si>
  <si>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</si>
  <si>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</si>
  <si>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</si>
  <si>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</si>
  <si>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</si>
  <si>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</si>
  <si>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</si>
  <si>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</si>
  <si>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</si>
  <si>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</si>
  <si>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</si>
  <si>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</si>
  <si>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</si>
  <si>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</si>
  <si>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</si>
  <si>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</si>
  <si>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</si>
  <si>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Rapport sur les finances communales - exercice 2020</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</si>
  <si>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</si>
  <si>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</si>
  <si>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</si>
  <si>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</si>
  <si>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</si>
  <si>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</si>
  <si>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</si>
  <si>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</si>
  <si>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</si>
  <si>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</si>
  <si>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</si>
  <si>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</si>
  <si>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</si>
  <si>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</si>
  <si>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</si>
  <si>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</si>
  <si>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</si>
  <si>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</si>
  <si>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</si>
  <si>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</si>
  <si>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</si>
  <si>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</si>
  <si>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</si>
  <si>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</si>
  <si>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</si>
  <si>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</si>
  <si>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</si>
  <si>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</si>
  <si>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</si>
  <si>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</si>
  <si>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</si>
  <si>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</si>
  <si>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</si>
  <si>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</si>
  <si>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</si>
  <si>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</si>
  <si>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</si>
  <si>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</si>
  <si>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</si>
  <si>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</si>
  <si>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Comptes de résultats par natures 2020 en Fr. par habitant</t>
  </si>
  <si>
    <t>Comptes de résultats par fonction 2020 par commune</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</si>
  <si>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</si>
  <si>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</si>
  <si>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</si>
  <si>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</si>
  <si>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</si>
  <si>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</si>
  <si>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</si>
  <si>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</si>
  <si>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</si>
  <si>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</si>
  <si>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</si>
  <si>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</si>
  <si>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</si>
  <si>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</si>
  <si>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</si>
  <si>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</si>
  <si>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</si>
  <si>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</si>
  <si>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</si>
  <si>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</si>
  <si>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</si>
  <si>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</si>
  <si>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</si>
  <si>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</si>
  <si>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</si>
  <si>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</si>
  <si>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</si>
  <si>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</si>
  <si>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</si>
  <si>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</si>
  <si>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</si>
  <si>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</si>
  <si>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</si>
  <si>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</si>
  <si>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</si>
  <si>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</si>
  <si>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</si>
  <si>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</si>
  <si>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</si>
  <si>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</si>
  <si>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</si>
  <si>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</si>
  <si>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</si>
  <si>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</si>
  <si>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</si>
  <si>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</si>
  <si>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</si>
  <si>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</si>
  <si>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</si>
  <si>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</si>
  <si>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</si>
  <si>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</si>
  <si>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</si>
  <si>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</si>
  <si>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</si>
  <si>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</si>
  <si>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</si>
  <si>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</si>
  <si>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</si>
  <si>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</si>
  <si>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</si>
  <si>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</si>
  <si>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</si>
  <si>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</si>
  <si>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</si>
  <si>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</si>
  <si>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</si>
  <si>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</si>
  <si>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</si>
  <si>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</si>
  <si>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</si>
  <si>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</si>
  <si>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</si>
  <si>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</si>
  <si>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</si>
  <si>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</si>
  <si>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</si>
  <si>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</si>
  <si>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</si>
  <si>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</si>
  <si>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</si>
  <si>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</si>
  <si>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</si>
  <si>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</si>
  <si>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</si>
  <si>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</si>
  <si>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</si>
  <si>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</si>
  <si>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</si>
  <si>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</si>
  <si>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</si>
  <si>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</si>
  <si>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</si>
  <si>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</si>
  <si>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</si>
  <si>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</si>
  <si>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</si>
  <si>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</si>
  <si>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</si>
  <si>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</si>
  <si>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</si>
  <si>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</si>
  <si>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</si>
  <si>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</si>
  <si>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</si>
  <si>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</si>
  <si>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</si>
  <si>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Vue d'ensemble 2020 par commune</t>
  </si>
  <si>
    <t>Bilan 2020 par commune</t>
  </si>
  <si>
    <t>Tableau de l'endettement 2020 par commune</t>
  </si>
  <si>
    <t>Comptes des investissements 2020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</si>
  <si>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</si>
  <si>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</si>
  <si>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</si>
  <si>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</si>
  <si>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</si>
  <si>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</si>
  <si>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</si>
  <si>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</si>
  <si>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</si>
  <si>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</si>
  <si>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</si>
  <si>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</si>
  <si>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</si>
  <si>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</si>
  <si>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</si>
  <si>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</si>
  <si>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</si>
  <si>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Comptes des investissements 2020 par bourgeoisie</t>
  </si>
  <si>
    <t>Tableau de l'endettement 2020 par Bourgeoisie</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</si>
  <si>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</si>
  <si>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</si>
  <si>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</si>
  <si>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</si>
  <si>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</si>
  <si>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</si>
  <si>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</si>
  <si>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</si>
  <si>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</si>
  <si>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</si>
  <si>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</si>
  <si>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</si>
  <si>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</si>
  <si>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</si>
  <si>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</si>
  <si>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</si>
  <si>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</si>
  <si>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</si>
  <si>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</si>
  <si>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</si>
  <si>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</si>
  <si>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</si>
  <si>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</si>
  <si>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</si>
  <si>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</si>
  <si>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</si>
  <si>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</si>
  <si>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</si>
  <si>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</si>
  <si>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</si>
  <si>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</si>
  <si>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</si>
  <si>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</si>
  <si>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</si>
  <si>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</si>
  <si>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</si>
  <si>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</si>
  <si>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</si>
  <si>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</si>
  <si>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Indicateurs financiers 2020 par commune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</si>
</sst>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4"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9"/>
      <color indexed="81"/>
      <name val="Arial"/>
      <family val="2"/>
    </font>
    <font>
      <sz val="9"/>
      <color indexed="81"/>
      <name val="Arial"/>
      <family val="2"/>
    </font>
  </fonts>
  <fills count="2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CC"/>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4" fontId="0" fillId="0" borderId="7" xfId="0" applyNumberFormat="1" applyFont="1" applyBorder="1" applyAlignment="1">
      <alignment horizontal="right"/>
    </xf>
    <xf numFmtId="4" fontId="1" fillId="23" borderId="7" xfId="0" applyNumberFormat="1" applyFont="1" applyFill="1" applyBorder="1" applyAlignment="1">
      <alignment horizontal="right"/>
    </xf>
    <xf numFmtId="4" fontId="1" fillId="0" borderId="0" xfId="0" applyNumberFormat="1" applyFont="1" applyFill="1" applyAlignment="1">
      <alignment horizontal="right"/>
    </xf>
    <xf numFmtId="0" fontId="21" fillId="0" borderId="0" xfId="0" applyFont="1" applyAlignment="1">
      <alignment horizontal="left"/>
    </xf>
  </cellXfs>
  <cellStyles count="2">
    <cellStyle name="Lien hypertexte" xfId="1" builtinId="8"/>
    <cellStyle name="Normal" xfId="0" builtinId="0"/>
  </cellStyles>
  <dxfs count="0"/>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1090</c:v>
                </c:pt>
                <c:pt idx="1">
                  <c:v>4745</c:v>
                </c:pt>
                <c:pt idx="2">
                  <c:v>7260</c:v>
                </c:pt>
                <c:pt idx="3">
                  <c:v>16602</c:v>
                </c:pt>
                <c:pt idx="4">
                  <c:v>7659</c:v>
                </c:pt>
                <c:pt idx="5">
                  <c:v>36353</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68720627.850000009</c:v>
                </c:pt>
                <c:pt idx="1">
                  <c:v>71449713.730000019</c:v>
                </c:pt>
                <c:pt idx="2">
                  <c:v>22755841.089999996</c:v>
                </c:pt>
                <c:pt idx="3">
                  <c:v>9277984.3499999978</c:v>
                </c:pt>
                <c:pt idx="4">
                  <c:v>2143078.8400000003</c:v>
                </c:pt>
                <c:pt idx="5">
                  <c:v>188221332.50000003</c:v>
                </c:pt>
                <c:pt idx="6">
                  <c:v>2475574.8499999996</c:v>
                </c:pt>
                <c:pt idx="7">
                  <c:v>5292667.4400000004</c:v>
                </c:pt>
                <c:pt idx="8">
                  <c:v>8645338.1600000001</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219315688.26000002</c:v>
                </c:pt>
                <c:pt idx="1">
                  <c:v>1014852.6699999999</c:v>
                </c:pt>
                <c:pt idx="2">
                  <c:v>74575696.230000019</c:v>
                </c:pt>
                <c:pt idx="3">
                  <c:v>1741348.8899999997</c:v>
                </c:pt>
                <c:pt idx="4">
                  <c:v>13891621.57</c:v>
                </c:pt>
                <c:pt idx="5">
                  <c:v>1308254.75</c:v>
                </c:pt>
                <c:pt idx="6">
                  <c:v>64732664.279999994</c:v>
                </c:pt>
                <c:pt idx="7">
                  <c:v>2079314.8499999999</c:v>
                </c:pt>
                <c:pt idx="8">
                  <c:v>2567175.7000000002</c:v>
                </c:pt>
                <c:pt idx="9">
                  <c:v>8560076.5199999996</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31469284.439999998</c:v>
                </c:pt>
                <c:pt idx="1">
                  <c:v>11136519.650000002</c:v>
                </c:pt>
                <c:pt idx="2">
                  <c:v>102323379.91000003</c:v>
                </c:pt>
                <c:pt idx="3">
                  <c:v>14985535.060000002</c:v>
                </c:pt>
                <c:pt idx="4">
                  <c:v>804616.3899999999</c:v>
                </c:pt>
                <c:pt idx="5">
                  <c:v>91044890.049999997</c:v>
                </c:pt>
                <c:pt idx="6">
                  <c:v>27784761.320000011</c:v>
                </c:pt>
                <c:pt idx="7">
                  <c:v>40133119.179999992</c:v>
                </c:pt>
                <c:pt idx="8">
                  <c:v>38853071.929999985</c:v>
                </c:pt>
                <c:pt idx="9">
                  <c:v>42749162.500000007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4024189.8900000006</c:v>
                </c:pt>
                <c:pt idx="1">
                  <c:v>7519359.5800000019</c:v>
                </c:pt>
                <c:pt idx="2">
                  <c:v>6742848.660000002</c:v>
                </c:pt>
                <c:pt idx="3">
                  <c:v>2072041.33</c:v>
                </c:pt>
                <c:pt idx="4">
                  <c:v>14782.6</c:v>
                </c:pt>
                <c:pt idx="5">
                  <c:v>34650660.200000003</c:v>
                </c:pt>
                <c:pt idx="6">
                  <c:v>8078036.5399999991</c:v>
                </c:pt>
                <c:pt idx="7">
                  <c:v>42822551.390000001</c:v>
                </c:pt>
                <c:pt idx="8">
                  <c:v>39185009.339999996</c:v>
                </c:pt>
                <c:pt idx="9">
                  <c:v>264468552.40999994</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91838538.320000038</c:v>
                </c:pt>
                <c:pt idx="1">
                  <c:v>5824194.0499999998</c:v>
                </c:pt>
                <c:pt idx="2">
                  <c:v>2171523.7999999998</c:v>
                </c:pt>
                <c:pt idx="3">
                  <c:v>5019487.7799999993</c:v>
                </c:pt>
                <c:pt idx="4">
                  <c:v>31038418.739999998</c:v>
                </c:pt>
                <c:pt idx="5">
                  <c:v>96130.319999999992</c:v>
                </c:pt>
                <c:pt idx="6">
                  <c:v>16454611.33</c:v>
                </c:pt>
                <c:pt idx="7">
                  <c:v>146786.6</c:v>
                </c:pt>
                <c:pt idx="8">
                  <c:v>87850736.420000032</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9520.8693066088854</c:v>
                </c:pt>
                <c:pt idx="1">
                  <c:v>9214.0809259259258</c:v>
                </c:pt>
                <c:pt idx="2">
                  <c:v>11653.382061855669</c:v>
                </c:pt>
                <c:pt idx="3">
                  <c:v>10270.569260089685</c:v>
                </c:pt>
                <c:pt idx="4">
                  <c:v>6976.5709226108511</c:v>
                </c:pt>
                <c:pt idx="5">
                  <c:v>7286.3222215514634</c:v>
                </c:pt>
                <c:pt idx="6">
                  <c:v>4006.6032110438723</c:v>
                </c:pt>
                <c:pt idx="7">
                  <c:v>10512.97905452528</c:v>
                </c:pt>
                <c:pt idx="8">
                  <c:v>5173.920991976659</c:v>
                </c:pt>
                <c:pt idx="9">
                  <c:v>6997.6008474576274</c:v>
                </c:pt>
                <c:pt idx="10">
                  <c:v>6242.0712376168558</c:v>
                </c:pt>
                <c:pt idx="11">
                  <c:v>5983.1956250000003</c:v>
                </c:pt>
                <c:pt idx="12">
                  <c:v>4966.6134259259261</c:v>
                </c:pt>
                <c:pt idx="13">
                  <c:v>7984.4112289156628</c:v>
                </c:pt>
                <c:pt idx="14">
                  <c:v>12048.070286532951</c:v>
                </c:pt>
                <c:pt idx="15">
                  <c:v>8003.167933042213</c:v>
                </c:pt>
                <c:pt idx="16">
                  <c:v>3679.4066666666663</c:v>
                </c:pt>
                <c:pt idx="17">
                  <c:v>9505.1374311926611</c:v>
                </c:pt>
                <c:pt idx="18">
                  <c:v>4836.8521253918498</c:v>
                </c:pt>
                <c:pt idx="19">
                  <c:v>1751.7635802469138</c:v>
                </c:pt>
                <c:pt idx="20">
                  <c:v>9692.6083306581058</c:v>
                </c:pt>
                <c:pt idx="21">
                  <c:v>5312.9744502617805</c:v>
                </c:pt>
                <c:pt idx="22">
                  <c:v>6709.8671875</c:v>
                </c:pt>
                <c:pt idx="23">
                  <c:v>8264.7257046979867</c:v>
                </c:pt>
                <c:pt idx="24">
                  <c:v>7276.1504069767443</c:v>
                </c:pt>
                <c:pt idx="25">
                  <c:v>12786.750283159463</c:v>
                </c:pt>
                <c:pt idx="26">
                  <c:v>6708.7918531468531</c:v>
                </c:pt>
                <c:pt idx="27">
                  <c:v>2372.9418367346939</c:v>
                </c:pt>
                <c:pt idx="28">
                  <c:v>4196.7687513061655</c:v>
                </c:pt>
                <c:pt idx="29">
                  <c:v>7369.9801529636707</c:v>
                </c:pt>
                <c:pt idx="30">
                  <c:v>7008.0266960352428</c:v>
                </c:pt>
                <c:pt idx="31">
                  <c:v>8881.3438931297715</c:v>
                </c:pt>
                <c:pt idx="32">
                  <c:v>9284.9100369393145</c:v>
                </c:pt>
                <c:pt idx="33">
                  <c:v>8539.6393215859025</c:v>
                </c:pt>
                <c:pt idx="34">
                  <c:v>9244.4806688154731</c:v>
                </c:pt>
                <c:pt idx="35">
                  <c:v>13703.587731092437</c:v>
                </c:pt>
                <c:pt idx="36">
                  <c:v>9117.8988284518819</c:v>
                </c:pt>
                <c:pt idx="37">
                  <c:v>7856.0984012066365</c:v>
                </c:pt>
                <c:pt idx="38">
                  <c:v>6882.1595038759688</c:v>
                </c:pt>
                <c:pt idx="39">
                  <c:v>7975.7399287410935</c:v>
                </c:pt>
                <c:pt idx="40">
                  <c:v>7796.6619594594586</c:v>
                </c:pt>
                <c:pt idx="41">
                  <c:v>7903.3947276264598</c:v>
                </c:pt>
                <c:pt idx="42">
                  <c:v>6026.9015923566885</c:v>
                </c:pt>
                <c:pt idx="43">
                  <c:v>5785.2564416666673</c:v>
                </c:pt>
                <c:pt idx="44">
                  <c:v>7578.5407947019867</c:v>
                </c:pt>
                <c:pt idx="45">
                  <c:v>3841.1013812154697</c:v>
                </c:pt>
                <c:pt idx="46">
                  <c:v>6397.0884438040348</c:v>
                </c:pt>
                <c:pt idx="47">
                  <c:v>12180.196437869821</c:v>
                </c:pt>
                <c:pt idx="48">
                  <c:v>4335.9608527131786</c:v>
                </c:pt>
                <c:pt idx="49">
                  <c:v>9329.3614416058408</c:v>
                </c:pt>
                <c:pt idx="50">
                  <c:v>1097.2850000000001</c:v>
                </c:pt>
                <c:pt idx="51">
                  <c:v>10428.115808206403</c:v>
                </c:pt>
                <c:pt idx="52">
                  <c:v>7907.2442857142851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topLeftCell="A19" workbookViewId="0">
      <selection activeCell="C23" sqref="C23"/>
    </sheetView>
  </sheetViews>
  <sheetFormatPr baseColWidth="10" defaultRowHeight="14.4" x14ac:dyDescent="0.3"/>
  <cols>
    <col min="1" max="1" width="7.88671875" customWidth="1"/>
    <col min="2" max="2" width="69.109375" customWidth="1"/>
    <col min="3" max="3" width="43.88671875" customWidth="1"/>
  </cols>
  <sheetData>
    <row r="2" spans="1:3" ht="23.4" x14ac:dyDescent="0.45">
      <c r="A2" s="195" t="s">
        <v>608</v>
      </c>
    </row>
    <row r="4" spans="1:3" ht="21" x14ac:dyDescent="0.4">
      <c r="B4" s="194" t="s">
        <v>619</v>
      </c>
      <c r="C4" s="156"/>
    </row>
    <row r="5" spans="1:3" x14ac:dyDescent="0.3">
      <c r="C5" s="156"/>
    </row>
    <row r="6" spans="1:3" x14ac:dyDescent="0.3">
      <c r="A6" s="65">
        <v>1</v>
      </c>
      <c r="B6" s="7" t="s">
        <v>609</v>
      </c>
      <c r="C6" s="162"/>
    </row>
    <row r="7" spans="1:3" x14ac:dyDescent="0.3">
      <c r="A7" s="156">
        <v>1.1000000000000001</v>
      </c>
      <c r="B7" t="s">
        <v>609</v>
      </c>
      <c r="C7" s="163" t="s">
        <v>609</v>
      </c>
    </row>
    <row r="8" spans="1:3" x14ac:dyDescent="0.3">
      <c r="A8" s="156"/>
      <c r="C8" s="164"/>
    </row>
    <row r="9" spans="1:3" x14ac:dyDescent="0.3">
      <c r="A9" s="65">
        <v>2</v>
      </c>
      <c r="B9" s="7" t="s">
        <v>613</v>
      </c>
      <c r="C9" s="164"/>
    </row>
    <row r="10" spans="1:3" x14ac:dyDescent="0.3">
      <c r="A10" s="156">
        <v>2.1</v>
      </c>
      <c r="B10" t="s">
        <v>620</v>
      </c>
      <c r="C10" s="165" t="s">
        <v>634</v>
      </c>
    </row>
    <row r="11" spans="1:3" x14ac:dyDescent="0.3">
      <c r="A11" s="156">
        <v>2.2000000000000002</v>
      </c>
      <c r="B11" t="s">
        <v>621</v>
      </c>
      <c r="C11" s="166" t="s">
        <v>635</v>
      </c>
    </row>
    <row r="12" spans="1:3" x14ac:dyDescent="0.3">
      <c r="A12" s="156">
        <v>2.2999999999999998</v>
      </c>
      <c r="B12" t="s">
        <v>657</v>
      </c>
      <c r="C12" s="166" t="s">
        <v>659</v>
      </c>
    </row>
    <row r="13" spans="1:3" x14ac:dyDescent="0.3">
      <c r="A13" s="156">
        <v>2.4</v>
      </c>
      <c r="B13" t="s">
        <v>610</v>
      </c>
      <c r="C13" s="166" t="s">
        <v>610</v>
      </c>
    </row>
    <row r="14" spans="1:3" x14ac:dyDescent="0.3">
      <c r="A14" s="156">
        <v>2.5</v>
      </c>
      <c r="B14" t="s">
        <v>611</v>
      </c>
      <c r="C14" s="166" t="s">
        <v>611</v>
      </c>
    </row>
    <row r="15" spans="1:3" x14ac:dyDescent="0.3">
      <c r="A15" s="156">
        <v>2.6</v>
      </c>
      <c r="B15" t="s">
        <v>636</v>
      </c>
      <c r="C15" s="166" t="s">
        <v>636</v>
      </c>
    </row>
    <row r="16" spans="1:3" x14ac:dyDescent="0.3">
      <c r="A16" s="156">
        <v>2.7</v>
      </c>
      <c r="B16" t="s">
        <v>637</v>
      </c>
      <c r="C16" s="166" t="s">
        <v>638</v>
      </c>
    </row>
    <row r="17" spans="1:3" x14ac:dyDescent="0.3">
      <c r="A17" s="156">
        <v>2.8</v>
      </c>
      <c r="B17" t="s">
        <v>558</v>
      </c>
      <c r="C17" s="166" t="s">
        <v>558</v>
      </c>
    </row>
    <row r="18" spans="1:3" x14ac:dyDescent="0.3">
      <c r="A18" s="156">
        <v>2.9</v>
      </c>
      <c r="B18" t="s">
        <v>612</v>
      </c>
      <c r="C18" s="166" t="s">
        <v>612</v>
      </c>
    </row>
    <row r="19" spans="1:3" x14ac:dyDescent="0.3">
      <c r="A19" s="161">
        <v>2.1</v>
      </c>
      <c r="B19" t="s">
        <v>614</v>
      </c>
      <c r="C19" s="166" t="s">
        <v>614</v>
      </c>
    </row>
    <row r="20" spans="1:3" x14ac:dyDescent="0.3">
      <c r="A20" s="161">
        <v>2.11</v>
      </c>
      <c r="B20" t="s">
        <v>615</v>
      </c>
      <c r="C20" s="166" t="s">
        <v>639</v>
      </c>
    </row>
    <row r="21" spans="1:3" x14ac:dyDescent="0.3">
      <c r="A21" s="156"/>
      <c r="C21" s="164"/>
    </row>
    <row r="22" spans="1:3" x14ac:dyDescent="0.3">
      <c r="A22" s="65">
        <v>3</v>
      </c>
      <c r="B22" s="7" t="s">
        <v>616</v>
      </c>
      <c r="C22" s="164"/>
    </row>
    <row r="23" spans="1:3" x14ac:dyDescent="0.3">
      <c r="A23" s="156">
        <v>3.2</v>
      </c>
      <c r="B23" t="s">
        <v>624</v>
      </c>
      <c r="C23" s="167" t="s">
        <v>624</v>
      </c>
    </row>
    <row r="24" spans="1:3" x14ac:dyDescent="0.3">
      <c r="A24" s="156">
        <v>3.3</v>
      </c>
      <c r="B24" t="s">
        <v>623</v>
      </c>
      <c r="C24" s="167" t="s">
        <v>623</v>
      </c>
    </row>
    <row r="25" spans="1:3" x14ac:dyDescent="0.3">
      <c r="A25" s="156">
        <v>3.4</v>
      </c>
      <c r="B25" t="s">
        <v>754</v>
      </c>
      <c r="C25" s="167" t="s">
        <v>754</v>
      </c>
    </row>
    <row r="26" spans="1:3" x14ac:dyDescent="0.3">
      <c r="A26" s="156">
        <v>3.5</v>
      </c>
      <c r="B26" t="s">
        <v>617</v>
      </c>
      <c r="C26" s="167" t="s">
        <v>640</v>
      </c>
    </row>
    <row r="27" spans="1:3" x14ac:dyDescent="0.3">
      <c r="A27" s="156">
        <v>3.6</v>
      </c>
      <c r="B27" t="s">
        <v>618</v>
      </c>
      <c r="C27" s="167" t="s">
        <v>753</v>
      </c>
    </row>
    <row r="28" spans="1:3" x14ac:dyDescent="0.3">
      <c r="A28" s="156"/>
      <c r="C28" s="164"/>
    </row>
    <row r="29" spans="1:3" x14ac:dyDescent="0.3">
      <c r="A29" s="65">
        <v>4</v>
      </c>
      <c r="B29" s="7" t="s">
        <v>626</v>
      </c>
      <c r="C29" s="164"/>
    </row>
    <row r="30" spans="1:3" x14ac:dyDescent="0.3">
      <c r="A30" s="156">
        <v>4.0999999999999996</v>
      </c>
      <c r="B30" t="s">
        <v>625</v>
      </c>
      <c r="C30" s="168" t="s">
        <v>622</v>
      </c>
    </row>
    <row r="31" spans="1:3" x14ac:dyDescent="0.3">
      <c r="A31" s="156">
        <v>4.2</v>
      </c>
      <c r="B31" t="s">
        <v>658</v>
      </c>
      <c r="C31" s="168" t="s">
        <v>658</v>
      </c>
    </row>
    <row r="32" spans="1:3" x14ac:dyDescent="0.3">
      <c r="A32" s="156"/>
      <c r="C32" s="164"/>
    </row>
    <row r="33" spans="1:3" x14ac:dyDescent="0.3">
      <c r="A33" s="65">
        <v>5</v>
      </c>
      <c r="B33" s="7" t="s">
        <v>282</v>
      </c>
      <c r="C33" s="164"/>
    </row>
    <row r="34" spans="1:3" x14ac:dyDescent="0.3">
      <c r="A34" s="156">
        <v>5.0999999999999996</v>
      </c>
      <c r="B34" t="s">
        <v>755</v>
      </c>
      <c r="C34" s="170" t="s">
        <v>755</v>
      </c>
    </row>
    <row r="35" spans="1:3" x14ac:dyDescent="0.3">
      <c r="A35" s="156">
        <v>5.2</v>
      </c>
      <c r="B35" t="s">
        <v>633</v>
      </c>
      <c r="C35" s="169" t="s">
        <v>579</v>
      </c>
    </row>
    <row r="36" spans="1:3" x14ac:dyDescent="0.3">
      <c r="A36" s="156">
        <v>5.3</v>
      </c>
      <c r="B36" t="s">
        <v>629</v>
      </c>
      <c r="C36" s="170" t="s">
        <v>641</v>
      </c>
    </row>
    <row r="37" spans="1:3" x14ac:dyDescent="0.3">
      <c r="A37" s="156">
        <v>5.4</v>
      </c>
      <c r="B37" t="s">
        <v>630</v>
      </c>
      <c r="C37" s="170" t="s">
        <v>642</v>
      </c>
    </row>
    <row r="38" spans="1:3" x14ac:dyDescent="0.3">
      <c r="A38" s="156">
        <v>5.5</v>
      </c>
      <c r="B38" t="s">
        <v>631</v>
      </c>
      <c r="C38" s="170" t="s">
        <v>643</v>
      </c>
    </row>
    <row r="39" spans="1:3" x14ac:dyDescent="0.3">
      <c r="A39" s="156">
        <v>5.6</v>
      </c>
      <c r="B39" t="s">
        <v>632</v>
      </c>
      <c r="C39" s="169" t="s">
        <v>644</v>
      </c>
    </row>
    <row r="40" spans="1:3" x14ac:dyDescent="0.3">
      <c r="A40" s="156">
        <v>5.7</v>
      </c>
      <c r="B40" t="s">
        <v>627</v>
      </c>
      <c r="C40" s="170" t="s">
        <v>645</v>
      </c>
    </row>
    <row r="41" spans="1:3" x14ac:dyDescent="0.3">
      <c r="A41" s="156">
        <v>5.8</v>
      </c>
      <c r="B41" t="s">
        <v>628</v>
      </c>
      <c r="C41" s="170" t="s">
        <v>628</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23" sqref="C23"/>
    </sheetView>
  </sheetViews>
  <sheetFormatPr baseColWidth="10" defaultRowHeight="14.4" x14ac:dyDescent="0.3"/>
  <cols>
    <col min="1" max="1" width="9.109375" customWidth="1"/>
    <col min="2" max="2" width="38.5546875" customWidth="1"/>
    <col min="3" max="3" width="22.88671875" customWidth="1"/>
  </cols>
  <sheetData>
    <row r="1" spans="1:3" ht="25.8" x14ac:dyDescent="0.5">
      <c r="A1" s="42" t="s">
        <v>226</v>
      </c>
    </row>
    <row r="3" spans="1:3" x14ac:dyDescent="0.3">
      <c r="A3" s="7" t="s">
        <v>201</v>
      </c>
    </row>
    <row r="5" spans="1:3" x14ac:dyDescent="0.3">
      <c r="A5" s="51" t="s">
        <v>219</v>
      </c>
      <c r="B5" s="51" t="s">
        <v>204</v>
      </c>
      <c r="C5" s="51" t="s">
        <v>220</v>
      </c>
    </row>
    <row r="6" spans="1:3" x14ac:dyDescent="0.3">
      <c r="A6" s="52">
        <v>90</v>
      </c>
      <c r="B6" s="53" t="s">
        <v>813</v>
      </c>
      <c r="C6" s="56">
        <f>'4.1 Comptes 2020 natures'!BF153</f>
        <v>10804534.910000002</v>
      </c>
    </row>
    <row r="7" spans="1:3" x14ac:dyDescent="0.3">
      <c r="A7" s="52">
        <v>900</v>
      </c>
      <c r="B7" s="53" t="s">
        <v>222</v>
      </c>
      <c r="C7" s="56">
        <f>'4.1 Comptes 2020 natures'!BF154</f>
        <v>2315293.3799999994</v>
      </c>
    </row>
    <row r="8" spans="1:3" x14ac:dyDescent="0.3">
      <c r="A8" s="52">
        <v>901</v>
      </c>
      <c r="B8" s="53" t="s">
        <v>224</v>
      </c>
      <c r="C8" s="56">
        <f>'4.1 Comptes 2020 natures'!BF155</f>
        <v>8489241.5300000031</v>
      </c>
    </row>
    <row r="9" spans="1:3" x14ac:dyDescent="0.3">
      <c r="A9" s="52">
        <v>400</v>
      </c>
      <c r="B9" s="53" t="s">
        <v>138</v>
      </c>
      <c r="C9" s="56">
        <f>'4.1 Comptes 2020 natures'!BF77</f>
        <v>165448839.81999999</v>
      </c>
    </row>
    <row r="10" spans="1:3" x14ac:dyDescent="0.3">
      <c r="A10" s="52">
        <v>401</v>
      </c>
      <c r="B10" s="53" t="s">
        <v>139</v>
      </c>
      <c r="C10" s="56">
        <f>'4.1 Comptes 2020 natures'!BF78</f>
        <v>27763214.739999995</v>
      </c>
    </row>
    <row r="11" spans="1:3" x14ac:dyDescent="0.3">
      <c r="A11" s="52">
        <v>4021</v>
      </c>
      <c r="B11" s="53" t="s">
        <v>217</v>
      </c>
      <c r="C11" s="56">
        <f>'4.1 Comptes 2020 natures'!BF163</f>
        <v>14738369.829999996</v>
      </c>
    </row>
    <row r="12" spans="1:3" x14ac:dyDescent="0.3">
      <c r="A12" s="52" t="s">
        <v>221</v>
      </c>
      <c r="B12" s="53" t="s">
        <v>225</v>
      </c>
      <c r="C12" s="56">
        <f>'6.1 Investissements'!BF182</f>
        <v>36028775.899999999</v>
      </c>
    </row>
    <row r="15" spans="1:3" x14ac:dyDescent="0.3">
      <c r="A15" s="7" t="s">
        <v>214</v>
      </c>
    </row>
    <row r="17" spans="1:3" x14ac:dyDescent="0.3">
      <c r="A17" s="51" t="s">
        <v>219</v>
      </c>
      <c r="B17" s="51" t="s">
        <v>204</v>
      </c>
      <c r="C17" s="51" t="s">
        <v>220</v>
      </c>
    </row>
    <row r="18" spans="1:3" x14ac:dyDescent="0.3">
      <c r="A18" s="52">
        <v>90</v>
      </c>
      <c r="B18" s="53" t="s">
        <v>813</v>
      </c>
      <c r="C18" s="56">
        <f>'4.1 Comptes 2020 natures'!BG153</f>
        <v>3478485.71</v>
      </c>
    </row>
    <row r="19" spans="1:3" x14ac:dyDescent="0.3">
      <c r="A19" s="52">
        <v>900</v>
      </c>
      <c r="B19" s="53" t="s">
        <v>222</v>
      </c>
      <c r="C19" s="56">
        <f>'4.1 Comptes 2020 natures'!BG154</f>
        <v>-2000018.6400000006</v>
      </c>
    </row>
    <row r="20" spans="1:3" x14ac:dyDescent="0.3">
      <c r="A20" s="52">
        <v>901</v>
      </c>
      <c r="B20" s="53" t="s">
        <v>224</v>
      </c>
      <c r="C20" s="56">
        <f>'4.1 Comptes 2020 natures'!BG155</f>
        <v>5478504.3500000006</v>
      </c>
    </row>
    <row r="21" spans="1:3" x14ac:dyDescent="0.3">
      <c r="A21" s="52">
        <v>400</v>
      </c>
      <c r="B21" s="53" t="s">
        <v>138</v>
      </c>
      <c r="C21" s="56">
        <f>'4.1 Comptes 2020 natures'!BG77</f>
        <v>82544081.640000001</v>
      </c>
    </row>
    <row r="22" spans="1:3" x14ac:dyDescent="0.3">
      <c r="A22" s="52">
        <v>401</v>
      </c>
      <c r="B22" s="53" t="s">
        <v>139</v>
      </c>
      <c r="C22" s="56">
        <f>'4.1 Comptes 2020 natures'!BG78</f>
        <v>9419045.5999999978</v>
      </c>
    </row>
    <row r="23" spans="1:3" x14ac:dyDescent="0.3">
      <c r="A23" s="52">
        <v>4021</v>
      </c>
      <c r="B23" s="53" t="s">
        <v>217</v>
      </c>
      <c r="C23" s="56">
        <f>'4.1 Comptes 2020 natures'!BG163</f>
        <v>7305835.8099999996</v>
      </c>
    </row>
    <row r="24" spans="1:3" x14ac:dyDescent="0.3">
      <c r="A24" s="52" t="s">
        <v>221</v>
      </c>
      <c r="B24" s="53" t="s">
        <v>225</v>
      </c>
      <c r="C24" s="56">
        <f>'6.1 Investissements'!BG182</f>
        <v>26605792.979999997</v>
      </c>
    </row>
    <row r="27" spans="1:3" x14ac:dyDescent="0.3">
      <c r="A27" s="7" t="s">
        <v>215</v>
      </c>
    </row>
    <row r="29" spans="1:3" x14ac:dyDescent="0.3">
      <c r="A29" s="51" t="s">
        <v>219</v>
      </c>
      <c r="B29" s="51" t="s">
        <v>204</v>
      </c>
      <c r="C29" s="51" t="s">
        <v>220</v>
      </c>
    </row>
    <row r="30" spans="1:3" x14ac:dyDescent="0.3">
      <c r="A30" s="52">
        <v>90</v>
      </c>
      <c r="B30" s="53" t="s">
        <v>813</v>
      </c>
      <c r="C30" s="56">
        <f>'4.1 Comptes 2020 natures'!BH153</f>
        <v>4836251.0600000005</v>
      </c>
    </row>
    <row r="31" spans="1:3" x14ac:dyDescent="0.3">
      <c r="A31" s="52">
        <v>900</v>
      </c>
      <c r="B31" s="53" t="s">
        <v>222</v>
      </c>
      <c r="C31" s="56">
        <f>'4.1 Comptes 2020 natures'!BH154</f>
        <v>3885782.0900000003</v>
      </c>
    </row>
    <row r="32" spans="1:3" x14ac:dyDescent="0.3">
      <c r="A32" s="52">
        <v>901</v>
      </c>
      <c r="B32" s="53" t="s">
        <v>224</v>
      </c>
      <c r="C32" s="56">
        <f>'4.1 Comptes 2020 natures'!BH155</f>
        <v>950468.97000000009</v>
      </c>
    </row>
    <row r="33" spans="1:3" x14ac:dyDescent="0.3">
      <c r="A33" s="52">
        <v>400</v>
      </c>
      <c r="B33" s="53" t="s">
        <v>138</v>
      </c>
      <c r="C33" s="56">
        <f>'4.1 Comptes 2020 natures'!BH77</f>
        <v>23132697.620000005</v>
      </c>
    </row>
    <row r="34" spans="1:3" x14ac:dyDescent="0.3">
      <c r="A34" s="52">
        <v>401</v>
      </c>
      <c r="B34" s="53" t="s">
        <v>139</v>
      </c>
      <c r="C34" s="56">
        <f>'4.1 Comptes 2020 natures'!BH78</f>
        <v>9911869.1000000015</v>
      </c>
    </row>
    <row r="35" spans="1:3" x14ac:dyDescent="0.3">
      <c r="A35" s="52">
        <v>4021</v>
      </c>
      <c r="B35" s="53" t="s">
        <v>217</v>
      </c>
      <c r="C35" s="56">
        <f>'4.1 Comptes 2020 natures'!BH163</f>
        <v>2036995.75</v>
      </c>
    </row>
    <row r="36" spans="1:3" x14ac:dyDescent="0.3">
      <c r="A36" s="52" t="s">
        <v>221</v>
      </c>
      <c r="B36" s="53" t="s">
        <v>225</v>
      </c>
      <c r="C36" s="56">
        <f>'6.1 Investissements'!BH182</f>
        <v>1202041.6600000011</v>
      </c>
    </row>
    <row r="39" spans="1:3" x14ac:dyDescent="0.3">
      <c r="A39" t="s">
        <v>216</v>
      </c>
    </row>
    <row r="41" spans="1:3" x14ac:dyDescent="0.3">
      <c r="A41" s="51" t="s">
        <v>219</v>
      </c>
      <c r="B41" s="51" t="s">
        <v>204</v>
      </c>
      <c r="C41" s="51" t="s">
        <v>220</v>
      </c>
    </row>
    <row r="42" spans="1:3" x14ac:dyDescent="0.3">
      <c r="A42" s="52">
        <v>90</v>
      </c>
      <c r="B42" s="53" t="s">
        <v>813</v>
      </c>
      <c r="C42" s="56">
        <f>'4.1 Comptes 2020 natures'!BI153</f>
        <v>2489798.14</v>
      </c>
    </row>
    <row r="43" spans="1:3" x14ac:dyDescent="0.3">
      <c r="A43" s="52">
        <v>900</v>
      </c>
      <c r="B43" s="53" t="s">
        <v>222</v>
      </c>
      <c r="C43" s="56">
        <f>'4.1 Comptes 2020 natures'!BI154</f>
        <v>429529.93000000005</v>
      </c>
    </row>
    <row r="44" spans="1:3" x14ac:dyDescent="0.3">
      <c r="A44" s="52">
        <v>901</v>
      </c>
      <c r="B44" s="53" t="s">
        <v>224</v>
      </c>
      <c r="C44" s="56">
        <f>'4.1 Comptes 2020 natures'!BI155</f>
        <v>2060268.21</v>
      </c>
    </row>
    <row r="45" spans="1:3" x14ac:dyDescent="0.3">
      <c r="A45" s="52">
        <v>400</v>
      </c>
      <c r="B45" s="53" t="s">
        <v>138</v>
      </c>
      <c r="C45" s="56">
        <f>'4.1 Comptes 2020 natures'!BI77</f>
        <v>59772060.560000002</v>
      </c>
    </row>
    <row r="46" spans="1:3" x14ac:dyDescent="0.3">
      <c r="A46" s="52">
        <v>401</v>
      </c>
      <c r="B46" s="53" t="s">
        <v>139</v>
      </c>
      <c r="C46" s="56">
        <f>'4.1 Comptes 2020 natures'!BI78</f>
        <v>8432300.040000001</v>
      </c>
    </row>
    <row r="47" spans="1:3" x14ac:dyDescent="0.3">
      <c r="A47" s="52">
        <v>4021</v>
      </c>
      <c r="B47" s="53" t="s">
        <v>217</v>
      </c>
      <c r="C47" s="56">
        <f>'4.1 Comptes 2020 natures'!BI163</f>
        <v>5395538.2700000005</v>
      </c>
    </row>
    <row r="48" spans="1:3" x14ac:dyDescent="0.3">
      <c r="A48" s="52" t="s">
        <v>221</v>
      </c>
      <c r="B48" s="53" t="s">
        <v>225</v>
      </c>
      <c r="C48" s="56">
        <f>'6.1 Investissements'!BI182</f>
        <v>8220941.2600000035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C23" sqref="C23"/>
    </sheetView>
  </sheetViews>
  <sheetFormatPr baseColWidth="10" defaultRowHeight="14.4" x14ac:dyDescent="0.3"/>
  <cols>
    <col min="1" max="1" width="9.33203125" customWidth="1"/>
    <col min="2" max="2" width="39.6640625" customWidth="1"/>
    <col min="3" max="3" width="27.88671875" customWidth="1"/>
    <col min="4" max="4" width="23" customWidth="1"/>
  </cols>
  <sheetData>
    <row r="1" spans="1:3" ht="25.8" x14ac:dyDescent="0.5">
      <c r="A1" s="42" t="s">
        <v>758</v>
      </c>
    </row>
    <row r="4" spans="1:3" ht="15" thickBot="1" x14ac:dyDescent="0.35">
      <c r="B4" t="s">
        <v>607</v>
      </c>
    </row>
    <row r="5" spans="1:3" ht="15" thickBot="1" x14ac:dyDescent="0.35">
      <c r="B5" s="174" t="s">
        <v>28</v>
      </c>
    </row>
    <row r="8" spans="1:3" x14ac:dyDescent="0.3">
      <c r="A8" s="51" t="s">
        <v>219</v>
      </c>
      <c r="B8" s="51" t="s">
        <v>204</v>
      </c>
      <c r="C8" s="51" t="s">
        <v>220</v>
      </c>
    </row>
    <row r="9" spans="1:3" x14ac:dyDescent="0.3">
      <c r="A9" s="52">
        <v>90</v>
      </c>
      <c r="B9" s="53" t="s">
        <v>222</v>
      </c>
      <c r="C9" s="56">
        <f>HLOOKUP($B$5,'4.1 Comptes 2020 natures'!$E$3:$BE$179,151,0)</f>
        <v>2089673.1800000002</v>
      </c>
    </row>
    <row r="10" spans="1:3" x14ac:dyDescent="0.3">
      <c r="A10" s="52">
        <v>900</v>
      </c>
      <c r="B10" s="53" t="s">
        <v>223</v>
      </c>
      <c r="C10" s="56">
        <f>HLOOKUP($B$5,'4.1 Comptes 2020 natures'!$E$3:$BE$179,152,0)</f>
        <v>-574634.73</v>
      </c>
    </row>
    <row r="11" spans="1:3" x14ac:dyDescent="0.3">
      <c r="A11" s="52">
        <v>901</v>
      </c>
      <c r="B11" s="53" t="s">
        <v>224</v>
      </c>
      <c r="C11" s="56">
        <f>HLOOKUP($B$5,'4.1 Comptes 2020 natures'!$E$3:$BE$179,153,0)</f>
        <v>2664307.91</v>
      </c>
    </row>
    <row r="12" spans="1:3" x14ac:dyDescent="0.3">
      <c r="A12" s="52">
        <v>400</v>
      </c>
      <c r="B12" s="53" t="s">
        <v>138</v>
      </c>
      <c r="C12" s="56">
        <f>HLOOKUP($B$5,'4.1 Comptes 2020 natures'!$E$3:$BE$179,75,0)</f>
        <v>28553161.5</v>
      </c>
    </row>
    <row r="13" spans="1:3" x14ac:dyDescent="0.3">
      <c r="A13" s="52">
        <v>401</v>
      </c>
      <c r="B13" s="53" t="s">
        <v>139</v>
      </c>
      <c r="C13" s="56">
        <f>HLOOKUP($B$5,'4.1 Comptes 2020 natures'!$E$3:$BE$179,76,0)</f>
        <v>5630325.2000000002</v>
      </c>
    </row>
    <row r="14" spans="1:3" x14ac:dyDescent="0.3">
      <c r="A14" s="52">
        <v>4021</v>
      </c>
      <c r="B14" s="53" t="s">
        <v>217</v>
      </c>
      <c r="C14" s="56">
        <f>HLOOKUP($B$5,'4.1 Comptes 2020 natures'!$E$3:$BE$179,163,0)</f>
        <v>0</v>
      </c>
    </row>
    <row r="15" spans="1:3" x14ac:dyDescent="0.3">
      <c r="A15" s="52" t="s">
        <v>221</v>
      </c>
      <c r="B15" s="53" t="s">
        <v>225</v>
      </c>
      <c r="C15" s="56">
        <f>HLOOKUP($B$5,'4.1 Comptes 2020 natures'!$E$3:$BE$179,177,0)</f>
        <v>-15853.609999999404</v>
      </c>
    </row>
    <row r="17" spans="3:3" x14ac:dyDescent="0.3">
      <c r="C17" s="1"/>
    </row>
    <row r="18" spans="3:3" x14ac:dyDescent="0.3">
      <c r="C18" s="4"/>
    </row>
    <row r="19" spans="3:3" x14ac:dyDescent="0.3">
      <c r="C19" s="4"/>
    </row>
    <row r="20" spans="3:3" x14ac:dyDescent="0.3">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2020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C23" sqref="C23"/>
    </sheetView>
  </sheetViews>
  <sheetFormatPr baseColWidth="10" defaultRowHeight="14.4" x14ac:dyDescent="0.3"/>
  <cols>
    <col min="1" max="1" width="22.6640625" customWidth="1"/>
    <col min="2" max="2" width="34.44140625" customWidth="1"/>
    <col min="3" max="3" width="23" customWidth="1"/>
  </cols>
  <sheetData>
    <row r="1" spans="1:3" ht="23.4" x14ac:dyDescent="0.45">
      <c r="A1" s="195" t="s">
        <v>200</v>
      </c>
    </row>
    <row r="4" spans="1:3" x14ac:dyDescent="0.3">
      <c r="A4" s="7" t="s">
        <v>201</v>
      </c>
    </row>
    <row r="5" spans="1:3" x14ac:dyDescent="0.3">
      <c r="A5" s="7" t="s">
        <v>202</v>
      </c>
    </row>
    <row r="7" spans="1:3" x14ac:dyDescent="0.3">
      <c r="A7" s="51" t="s">
        <v>203</v>
      </c>
      <c r="B7" s="51" t="s">
        <v>204</v>
      </c>
      <c r="C7" s="51" t="s">
        <v>205</v>
      </c>
    </row>
    <row r="8" spans="1:3" x14ac:dyDescent="0.3">
      <c r="A8" s="52" t="s">
        <v>212</v>
      </c>
      <c r="B8" s="53" t="s">
        <v>206</v>
      </c>
      <c r="C8" s="56">
        <f>'4.1 Comptes 2020 natures'!BF5+'4.1 Comptes 2020 natures'!BF15+'4.1 Comptes 2020 natures'!BF27+'4.1 Comptes 2020 natures'!BF39+'4.1 Comptes 2020 natures'!BF43+'4.1 Comptes 2020 natures'!BF53</f>
        <v>355766168.86000013</v>
      </c>
    </row>
    <row r="9" spans="1:3" x14ac:dyDescent="0.3">
      <c r="A9" s="52" t="s">
        <v>213</v>
      </c>
      <c r="B9" s="53" t="s">
        <v>207</v>
      </c>
      <c r="C9" s="56">
        <f>'4.1 Comptes 2020 natures'!BF76+'4.1 Comptes 2020 natures'!BF82+'4.1 Comptes 2020 natures'!BF88+'4.1 Comptes 2020 natures'!BF99+'4.1 Comptes 2020 natures'!BF117+'4.1 Comptes 2020 natures'!BF121+'4.1 Comptes 2020 natures'!BF128</f>
        <v>364767819.93000001</v>
      </c>
    </row>
    <row r="10" spans="1:3" x14ac:dyDescent="0.3">
      <c r="A10" s="53"/>
      <c r="B10" s="55" t="s">
        <v>208</v>
      </c>
      <c r="C10" s="62">
        <f>C9-C8</f>
        <v>9001651.0699998736</v>
      </c>
    </row>
    <row r="11" spans="1:3" x14ac:dyDescent="0.3">
      <c r="A11" s="53"/>
      <c r="B11" s="53"/>
      <c r="C11" s="53"/>
    </row>
    <row r="12" spans="1:3" x14ac:dyDescent="0.3">
      <c r="A12" s="53">
        <v>34</v>
      </c>
      <c r="B12" s="53" t="s">
        <v>101</v>
      </c>
      <c r="C12" s="56">
        <f>'4.1 Comptes 2020 natures'!BF31</f>
        <v>9277984.3499999978</v>
      </c>
    </row>
    <row r="13" spans="1:3" x14ac:dyDescent="0.3">
      <c r="A13" s="53">
        <v>44</v>
      </c>
      <c r="B13" s="53" t="s">
        <v>162</v>
      </c>
      <c r="C13" s="56">
        <f>'4.1 Comptes 2020 natures'!BF105</f>
        <v>13891621.57</v>
      </c>
    </row>
    <row r="14" spans="1:3" x14ac:dyDescent="0.3">
      <c r="A14" s="53"/>
      <c r="B14" s="55" t="s">
        <v>244</v>
      </c>
      <c r="C14" s="62">
        <f>C13-C12</f>
        <v>4613637.2200000025</v>
      </c>
    </row>
    <row r="15" spans="1:3" x14ac:dyDescent="0.3">
      <c r="A15" s="53"/>
      <c r="B15" s="53"/>
      <c r="C15" s="53"/>
    </row>
    <row r="16" spans="1:3" x14ac:dyDescent="0.3">
      <c r="A16" s="53"/>
      <c r="B16" s="55" t="s">
        <v>209</v>
      </c>
      <c r="C16" s="62">
        <f>C10+C14</f>
        <v>13615288.289999876</v>
      </c>
    </row>
    <row r="17" spans="1:3" x14ac:dyDescent="0.3">
      <c r="A17" s="53"/>
      <c r="B17" s="53"/>
      <c r="C17" s="53"/>
    </row>
    <row r="18" spans="1:3" x14ac:dyDescent="0.3">
      <c r="A18" s="53">
        <v>38</v>
      </c>
      <c r="B18" s="53" t="s">
        <v>121</v>
      </c>
      <c r="C18" s="56">
        <f>'4.1 Comptes 2020 natures'!BF56</f>
        <v>5292667.4400000004</v>
      </c>
    </row>
    <row r="19" spans="1:3" x14ac:dyDescent="0.3">
      <c r="A19" s="53">
        <v>48</v>
      </c>
      <c r="B19" s="53" t="s">
        <v>181</v>
      </c>
      <c r="C19" s="56">
        <f>'4.1 Comptes 2020 natures'!BF131</f>
        <v>2567175.7000000002</v>
      </c>
    </row>
    <row r="20" spans="1:3" x14ac:dyDescent="0.3">
      <c r="A20" s="53"/>
      <c r="B20" s="55" t="s">
        <v>210</v>
      </c>
      <c r="C20" s="62">
        <f>C19-C18</f>
        <v>-2725491.74</v>
      </c>
    </row>
    <row r="21" spans="1:3" x14ac:dyDescent="0.3">
      <c r="A21" s="53"/>
      <c r="B21" s="53"/>
      <c r="C21" s="53"/>
    </row>
    <row r="22" spans="1:3" x14ac:dyDescent="0.3">
      <c r="A22" s="53"/>
      <c r="B22" s="55" t="s">
        <v>211</v>
      </c>
      <c r="C22" s="62">
        <f>C16+C20</f>
        <v>10889796.549999876</v>
      </c>
    </row>
    <row r="25" spans="1:3" x14ac:dyDescent="0.3">
      <c r="A25" s="7" t="s">
        <v>214</v>
      </c>
    </row>
    <row r="26" spans="1:3" x14ac:dyDescent="0.3">
      <c r="A26" s="7" t="s">
        <v>202</v>
      </c>
    </row>
    <row r="28" spans="1:3" x14ac:dyDescent="0.3">
      <c r="A28" s="51" t="s">
        <v>203</v>
      </c>
      <c r="B28" s="51" t="s">
        <v>204</v>
      </c>
      <c r="C28" s="51" t="s">
        <v>205</v>
      </c>
    </row>
    <row r="29" spans="1:3" x14ac:dyDescent="0.3">
      <c r="A29" s="52" t="s">
        <v>212</v>
      </c>
      <c r="B29" s="53" t="s">
        <v>206</v>
      </c>
      <c r="C29" s="56">
        <f>'4.1 Comptes 2020 natures'!BG5+'4.1 Comptes 2020 natures'!BG15+'4.1 Comptes 2020 natures'!BG27+'4.1 Comptes 2020 natures'!BG39+'4.1 Comptes 2020 natures'!BG43+'4.1 Comptes 2020 natures'!BG53</f>
        <v>188244587.87</v>
      </c>
    </row>
    <row r="30" spans="1:3" x14ac:dyDescent="0.3">
      <c r="A30" s="52" t="s">
        <v>213</v>
      </c>
      <c r="B30" s="53" t="s">
        <v>207</v>
      </c>
      <c r="C30" s="56">
        <f>'4.1 Comptes 2020 natures'!BG76+'4.1 Comptes 2020 natures'!BG82+'4.1 Comptes 2020 natures'!BG88+'4.1 Comptes 2020 natures'!BG99+'4.1 Comptes 2020 natures'!BG117+'4.1 Comptes 2020 natures'!BG121+'4.1 Comptes 2020 natures'!BG128</f>
        <v>189855043.44999999</v>
      </c>
    </row>
    <row r="31" spans="1:3" x14ac:dyDescent="0.3">
      <c r="A31" s="53"/>
      <c r="B31" s="55" t="s">
        <v>208</v>
      </c>
      <c r="C31" s="62">
        <f>C30-C29</f>
        <v>1610455.5799999833</v>
      </c>
    </row>
    <row r="32" spans="1:3" x14ac:dyDescent="0.3">
      <c r="A32" s="53"/>
      <c r="B32" s="53"/>
      <c r="C32" s="56"/>
    </row>
    <row r="33" spans="1:3" x14ac:dyDescent="0.3">
      <c r="A33" s="53">
        <v>34</v>
      </c>
      <c r="B33" s="53" t="s">
        <v>101</v>
      </c>
      <c r="C33" s="56">
        <f>'4.1 Comptes 2020 natures'!BG31</f>
        <v>4729206.1399999997</v>
      </c>
    </row>
    <row r="34" spans="1:3" x14ac:dyDescent="0.3">
      <c r="A34" s="53">
        <v>44</v>
      </c>
      <c r="B34" s="53" t="s">
        <v>162</v>
      </c>
      <c r="C34" s="56">
        <f>'4.1 Comptes 2020 natures'!BG105</f>
        <v>6031841.7999999998</v>
      </c>
    </row>
    <row r="35" spans="1:3" x14ac:dyDescent="0.3">
      <c r="A35" s="53"/>
      <c r="B35" s="55" t="s">
        <v>244</v>
      </c>
      <c r="C35" s="62">
        <f>C34-C33</f>
        <v>1302635.6600000001</v>
      </c>
    </row>
    <row r="36" spans="1:3" x14ac:dyDescent="0.3">
      <c r="A36" s="53"/>
      <c r="B36" s="53"/>
      <c r="C36" s="56"/>
    </row>
    <row r="37" spans="1:3" x14ac:dyDescent="0.3">
      <c r="A37" s="53"/>
      <c r="B37" s="55" t="s">
        <v>209</v>
      </c>
      <c r="C37" s="62">
        <f>C31+C35</f>
        <v>2913091.2399999835</v>
      </c>
    </row>
    <row r="38" spans="1:3" x14ac:dyDescent="0.3">
      <c r="A38" s="53"/>
      <c r="B38" s="53"/>
      <c r="C38" s="56"/>
    </row>
    <row r="39" spans="1:3" x14ac:dyDescent="0.3">
      <c r="A39" s="53">
        <v>38</v>
      </c>
      <c r="B39" s="53" t="s">
        <v>121</v>
      </c>
      <c r="C39" s="56">
        <f>'4.1 Comptes 2020 natures'!BG56</f>
        <v>987812.67</v>
      </c>
    </row>
    <row r="40" spans="1:3" x14ac:dyDescent="0.3">
      <c r="A40" s="53">
        <v>48</v>
      </c>
      <c r="B40" s="53" t="s">
        <v>181</v>
      </c>
      <c r="C40" s="56">
        <f>'4.1 Comptes 2020 natures'!BG131</f>
        <v>1527131.03</v>
      </c>
    </row>
    <row r="41" spans="1:3" x14ac:dyDescent="0.3">
      <c r="A41" s="53"/>
      <c r="B41" s="55" t="s">
        <v>210</v>
      </c>
      <c r="C41" s="62">
        <f>C40-C39</f>
        <v>539318.36</v>
      </c>
    </row>
    <row r="42" spans="1:3" x14ac:dyDescent="0.3">
      <c r="A42" s="53"/>
      <c r="B42" s="53"/>
      <c r="C42" s="56"/>
    </row>
    <row r="43" spans="1:3" x14ac:dyDescent="0.3">
      <c r="A43" s="53"/>
      <c r="B43" s="55" t="s">
        <v>211</v>
      </c>
      <c r="C43" s="62">
        <f>C37+C41</f>
        <v>3452409.5999999833</v>
      </c>
    </row>
    <row r="50" spans="1:3" x14ac:dyDescent="0.3">
      <c r="A50" s="7" t="s">
        <v>215</v>
      </c>
    </row>
    <row r="51" spans="1:3" x14ac:dyDescent="0.3">
      <c r="A51" s="7" t="s">
        <v>202</v>
      </c>
    </row>
    <row r="53" spans="1:3" x14ac:dyDescent="0.3">
      <c r="A53" s="51" t="s">
        <v>203</v>
      </c>
      <c r="B53" s="51" t="s">
        <v>204</v>
      </c>
      <c r="C53" s="51" t="s">
        <v>205</v>
      </c>
    </row>
    <row r="54" spans="1:3" x14ac:dyDescent="0.3">
      <c r="A54" s="52" t="s">
        <v>212</v>
      </c>
      <c r="B54" s="53" t="s">
        <v>206</v>
      </c>
      <c r="C54" s="56">
        <f>'4.1 Comptes 2020 natures'!BH5+'4.1 Comptes 2020 natures'!BH15+'4.1 Comptes 2020 natures'!BH27+'4.1 Comptes 2020 natures'!BH39+'4.1 Comptes 2020 natures'!BH43+'4.1 Comptes 2020 natures'!BH53</f>
        <v>52327622.390000008</v>
      </c>
    </row>
    <row r="55" spans="1:3" x14ac:dyDescent="0.3">
      <c r="A55" s="52" t="s">
        <v>213</v>
      </c>
      <c r="B55" s="53" t="s">
        <v>207</v>
      </c>
      <c r="C55" s="56">
        <f>'4.1 Comptes 2020 natures'!BH76+'4.1 Comptes 2020 natures'!BH82+'4.1 Comptes 2020 natures'!BH88+'4.1 Comptes 2020 natures'!BH99+'4.1 Comptes 2020 natures'!BH117+'4.1 Comptes 2020 natures'!BH121+'4.1 Comptes 2020 natures'!BH128</f>
        <v>56992939.200000003</v>
      </c>
    </row>
    <row r="56" spans="1:3" x14ac:dyDescent="0.3">
      <c r="A56" s="53"/>
      <c r="B56" s="55" t="s">
        <v>208</v>
      </c>
      <c r="C56" s="62">
        <f>C55-C54</f>
        <v>4665316.8099999949</v>
      </c>
    </row>
    <row r="57" spans="1:3" x14ac:dyDescent="0.3">
      <c r="A57" s="53"/>
      <c r="B57" s="53"/>
      <c r="C57" s="56"/>
    </row>
    <row r="58" spans="1:3" x14ac:dyDescent="0.3">
      <c r="A58" s="53">
        <v>34</v>
      </c>
      <c r="B58" s="53" t="s">
        <v>101</v>
      </c>
      <c r="C58" s="56">
        <f>'4.1 Comptes 2020 natures'!BH31</f>
        <v>1127442.0800000003</v>
      </c>
    </row>
    <row r="59" spans="1:3" x14ac:dyDescent="0.3">
      <c r="A59" s="53">
        <v>44</v>
      </c>
      <c r="B59" s="53" t="s">
        <v>162</v>
      </c>
      <c r="C59" s="56">
        <f>'4.1 Comptes 2020 natures'!BH105</f>
        <v>1668859.72</v>
      </c>
    </row>
    <row r="60" spans="1:3" x14ac:dyDescent="0.3">
      <c r="A60" s="53"/>
      <c r="B60" s="55" t="s">
        <v>244</v>
      </c>
      <c r="C60" s="62">
        <f>C59-C58</f>
        <v>541417.63999999966</v>
      </c>
    </row>
    <row r="61" spans="1:3" x14ac:dyDescent="0.3">
      <c r="A61" s="53"/>
      <c r="B61" s="53"/>
      <c r="C61" s="56"/>
    </row>
    <row r="62" spans="1:3" x14ac:dyDescent="0.3">
      <c r="A62" s="53"/>
      <c r="B62" s="55" t="s">
        <v>209</v>
      </c>
      <c r="C62" s="62">
        <f>C56+C60</f>
        <v>5206734.4499999946</v>
      </c>
    </row>
    <row r="63" spans="1:3" x14ac:dyDescent="0.3">
      <c r="A63" s="53"/>
      <c r="B63" s="53"/>
      <c r="C63" s="56"/>
    </row>
    <row r="64" spans="1:3" x14ac:dyDescent="0.3">
      <c r="A64" s="53">
        <v>38</v>
      </c>
      <c r="B64" s="53" t="s">
        <v>121</v>
      </c>
      <c r="C64" s="56">
        <f>'4.1 Comptes 2020 natures'!BH56</f>
        <v>762430</v>
      </c>
    </row>
    <row r="65" spans="1:3" x14ac:dyDescent="0.3">
      <c r="A65" s="53">
        <v>48</v>
      </c>
      <c r="B65" s="53" t="s">
        <v>181</v>
      </c>
      <c r="C65" s="56">
        <f>'4.1 Comptes 2020 natures'!BH131</f>
        <v>375093.52</v>
      </c>
    </row>
    <row r="66" spans="1:3" x14ac:dyDescent="0.3">
      <c r="A66" s="53"/>
      <c r="B66" s="55" t="s">
        <v>210</v>
      </c>
      <c r="C66" s="62">
        <f>C65-C64</f>
        <v>-387336.48</v>
      </c>
    </row>
    <row r="67" spans="1:3" x14ac:dyDescent="0.3">
      <c r="A67" s="53"/>
      <c r="B67" s="53"/>
      <c r="C67" s="56"/>
    </row>
    <row r="68" spans="1:3" x14ac:dyDescent="0.3">
      <c r="A68" s="53"/>
      <c r="B68" s="55" t="s">
        <v>211</v>
      </c>
      <c r="C68" s="62">
        <f>C62+C66</f>
        <v>4819397.9699999951</v>
      </c>
    </row>
    <row r="71" spans="1:3" x14ac:dyDescent="0.3">
      <c r="A71" s="7" t="s">
        <v>216</v>
      </c>
    </row>
    <row r="72" spans="1:3" x14ac:dyDescent="0.3">
      <c r="A72" s="7" t="s">
        <v>202</v>
      </c>
    </row>
    <row r="74" spans="1:3" x14ac:dyDescent="0.3">
      <c r="A74" s="51" t="s">
        <v>203</v>
      </c>
      <c r="B74" s="51" t="s">
        <v>204</v>
      </c>
      <c r="C74" s="51" t="s">
        <v>205</v>
      </c>
    </row>
    <row r="75" spans="1:3" x14ac:dyDescent="0.3">
      <c r="A75" s="52" t="s">
        <v>212</v>
      </c>
      <c r="B75" s="53" t="s">
        <v>206</v>
      </c>
      <c r="C75" s="56">
        <f>'4.1 Comptes 2020 natures'!BI5+'4.1 Comptes 2020 natures'!BI15+'4.1 Comptes 2020 natures'!BI27+'4.1 Comptes 2020 natures'!BI39+'4.1 Comptes 2020 natures'!BI43+'4.1 Comptes 2020 natures'!BI53</f>
        <v>115193958.59999999</v>
      </c>
    </row>
    <row r="76" spans="1:3" x14ac:dyDescent="0.3">
      <c r="A76" s="52" t="s">
        <v>213</v>
      </c>
      <c r="B76" s="53" t="s">
        <v>207</v>
      </c>
      <c r="C76" s="56">
        <f>'4.1 Comptes 2020 natures'!BI76+'4.1 Comptes 2020 natures'!BI82+'4.1 Comptes 2020 natures'!BI88+'4.1 Comptes 2020 natures'!BI99+'4.1 Comptes 2020 natures'!BI117+'4.1 Comptes 2020 natures'!BI121+'4.1 Comptes 2020 natures'!BI128</f>
        <v>117919837.27999999</v>
      </c>
    </row>
    <row r="77" spans="1:3" x14ac:dyDescent="0.3">
      <c r="A77" s="53"/>
      <c r="B77" s="55" t="s">
        <v>208</v>
      </c>
      <c r="C77" s="62">
        <f>C76-C75</f>
        <v>2725878.6799999923</v>
      </c>
    </row>
    <row r="78" spans="1:3" x14ac:dyDescent="0.3">
      <c r="A78" s="53"/>
      <c r="B78" s="53"/>
      <c r="C78" s="56"/>
    </row>
    <row r="79" spans="1:3" x14ac:dyDescent="0.3">
      <c r="A79" s="53">
        <v>34</v>
      </c>
      <c r="B79" s="53" t="s">
        <v>101</v>
      </c>
      <c r="C79" s="56">
        <f>'4.1 Comptes 2020 natures'!BI31</f>
        <v>3421336.13</v>
      </c>
    </row>
    <row r="80" spans="1:3" x14ac:dyDescent="0.3">
      <c r="A80" s="53">
        <v>44</v>
      </c>
      <c r="B80" s="53" t="s">
        <v>162</v>
      </c>
      <c r="C80" s="56">
        <f>'4.1 Comptes 2020 natures'!BI105</f>
        <v>6190920.0499999998</v>
      </c>
    </row>
    <row r="81" spans="1:3" x14ac:dyDescent="0.3">
      <c r="A81" s="53"/>
      <c r="B81" s="55" t="s">
        <v>244</v>
      </c>
      <c r="C81" s="62">
        <f>C80-C79</f>
        <v>2769583.92</v>
      </c>
    </row>
    <row r="82" spans="1:3" x14ac:dyDescent="0.3">
      <c r="A82" s="53"/>
      <c r="B82" s="53"/>
      <c r="C82" s="56"/>
    </row>
    <row r="83" spans="1:3" x14ac:dyDescent="0.3">
      <c r="A83" s="53"/>
      <c r="B83" s="55" t="s">
        <v>209</v>
      </c>
      <c r="C83" s="62">
        <f>C77+C81</f>
        <v>5495462.5999999922</v>
      </c>
    </row>
    <row r="84" spans="1:3" x14ac:dyDescent="0.3">
      <c r="A84" s="53"/>
      <c r="B84" s="53"/>
      <c r="C84" s="56"/>
    </row>
    <row r="85" spans="1:3" x14ac:dyDescent="0.3">
      <c r="A85" s="53">
        <v>38</v>
      </c>
      <c r="B85" s="53" t="s">
        <v>121</v>
      </c>
      <c r="C85" s="56">
        <f>'4.1 Comptes 2020 natures'!BI56</f>
        <v>3542424.7700000005</v>
      </c>
    </row>
    <row r="86" spans="1:3" x14ac:dyDescent="0.3">
      <c r="A86" s="53">
        <v>48</v>
      </c>
      <c r="B86" s="53" t="s">
        <v>181</v>
      </c>
      <c r="C86" s="56">
        <f>'4.1 Comptes 2020 natures'!BI131</f>
        <v>664951.15</v>
      </c>
    </row>
    <row r="87" spans="1:3" x14ac:dyDescent="0.3">
      <c r="A87" s="53"/>
      <c r="B87" s="55" t="s">
        <v>210</v>
      </c>
      <c r="C87" s="62">
        <f>C86-C85</f>
        <v>-2877473.6200000006</v>
      </c>
    </row>
    <row r="88" spans="1:3" x14ac:dyDescent="0.3">
      <c r="A88" s="53"/>
      <c r="B88" s="53"/>
      <c r="C88" s="56"/>
    </row>
    <row r="89" spans="1:3" x14ac:dyDescent="0.3">
      <c r="A89" s="53"/>
      <c r="B89" s="55" t="s">
        <v>211</v>
      </c>
      <c r="C89" s="62">
        <f>C83+C87</f>
        <v>2617988.9799999916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C23" sqref="C23"/>
    </sheetView>
  </sheetViews>
  <sheetFormatPr baseColWidth="10" defaultRowHeight="14.4" x14ac:dyDescent="0.3"/>
  <cols>
    <col min="1" max="1" width="21.88671875" customWidth="1"/>
    <col min="2" max="2" width="40.44140625" customWidth="1"/>
    <col min="3" max="3" width="22.88671875" customWidth="1"/>
  </cols>
  <sheetData>
    <row r="1" spans="1:3" ht="25.8" x14ac:dyDescent="0.5">
      <c r="A1" s="42" t="s">
        <v>200</v>
      </c>
    </row>
    <row r="4" spans="1:3" ht="15" thickBot="1" x14ac:dyDescent="0.35">
      <c r="B4" t="s">
        <v>607</v>
      </c>
    </row>
    <row r="5" spans="1:3" ht="15" thickBot="1" x14ac:dyDescent="0.35">
      <c r="B5" s="174" t="s">
        <v>50</v>
      </c>
    </row>
    <row r="7" spans="1:3" x14ac:dyDescent="0.3">
      <c r="A7" s="51" t="s">
        <v>203</v>
      </c>
      <c r="B7" s="51" t="s">
        <v>204</v>
      </c>
      <c r="C7" s="51" t="s">
        <v>205</v>
      </c>
    </row>
    <row r="8" spans="1:3" x14ac:dyDescent="0.3">
      <c r="A8" s="52" t="s">
        <v>212</v>
      </c>
      <c r="B8" s="53" t="s">
        <v>206</v>
      </c>
      <c r="C8" s="56">
        <f>HLOOKUP($B$5,'4.1 Comptes 2020 natures'!$E$3:$BE$183,179,0)</f>
        <v>633218.63000000012</v>
      </c>
    </row>
    <row r="9" spans="1:3" x14ac:dyDescent="0.3">
      <c r="A9" s="52" t="s">
        <v>213</v>
      </c>
      <c r="B9" s="53" t="s">
        <v>207</v>
      </c>
      <c r="C9" s="56">
        <f>HLOOKUP($B$5,'4.1 Comptes 2020 natures'!$E$3:$BE$183,180,0)</f>
        <v>607232.1</v>
      </c>
    </row>
    <row r="10" spans="1:3" x14ac:dyDescent="0.3">
      <c r="A10" s="53"/>
      <c r="B10" s="55" t="s">
        <v>208</v>
      </c>
      <c r="C10" s="62">
        <f>C9-C8</f>
        <v>-25986.530000000144</v>
      </c>
    </row>
    <row r="11" spans="1:3" x14ac:dyDescent="0.3">
      <c r="A11" s="53"/>
      <c r="B11" s="53"/>
      <c r="C11" s="53"/>
    </row>
    <row r="12" spans="1:3" x14ac:dyDescent="0.3">
      <c r="A12" s="53">
        <v>34</v>
      </c>
      <c r="B12" s="53" t="s">
        <v>101</v>
      </c>
      <c r="C12" s="56">
        <f>HLOOKUP($B$5,'4.1 Comptes 2020 natures'!$E$3:$BE$183,29,0)</f>
        <v>450.2</v>
      </c>
    </row>
    <row r="13" spans="1:3" x14ac:dyDescent="0.3">
      <c r="A13" s="53">
        <v>44</v>
      </c>
      <c r="B13" s="53" t="s">
        <v>162</v>
      </c>
      <c r="C13" s="56">
        <f>HLOOKUP($B$5,'4.1 Comptes 2020 natures'!$E$3:$BE$183,103,0)</f>
        <v>14208.5</v>
      </c>
    </row>
    <row r="14" spans="1:3" x14ac:dyDescent="0.3">
      <c r="A14" s="53"/>
      <c r="B14" s="55" t="s">
        <v>244</v>
      </c>
      <c r="C14" s="62">
        <f>C13-C12</f>
        <v>13758.3</v>
      </c>
    </row>
    <row r="15" spans="1:3" x14ac:dyDescent="0.3">
      <c r="A15" s="53"/>
      <c r="B15" s="53"/>
      <c r="C15" s="53"/>
    </row>
    <row r="16" spans="1:3" x14ac:dyDescent="0.3">
      <c r="A16" s="53"/>
      <c r="B16" s="55" t="s">
        <v>209</v>
      </c>
      <c r="C16" s="62">
        <f>C10+C14</f>
        <v>-12228.230000000145</v>
      </c>
    </row>
    <row r="17" spans="1:3" x14ac:dyDescent="0.3">
      <c r="A17" s="53"/>
      <c r="B17" s="53"/>
      <c r="C17" s="53"/>
    </row>
    <row r="18" spans="1:3" x14ac:dyDescent="0.3">
      <c r="A18" s="53">
        <v>38</v>
      </c>
      <c r="B18" s="53" t="s">
        <v>121</v>
      </c>
      <c r="C18" s="56">
        <f>HLOOKUP($B$5,'4.1 Comptes 2020 natures'!$E$3:$BE$183,54,0)</f>
        <v>0</v>
      </c>
    </row>
    <row r="19" spans="1:3" x14ac:dyDescent="0.3">
      <c r="A19" s="53">
        <v>48</v>
      </c>
      <c r="B19" s="53" t="s">
        <v>181</v>
      </c>
      <c r="C19" s="56">
        <f>HLOOKUP($B$5,'4.1 Comptes 2020 natures'!$E$3:$BE$183,129,0)</f>
        <v>1</v>
      </c>
    </row>
    <row r="20" spans="1:3" x14ac:dyDescent="0.3">
      <c r="A20" s="53"/>
      <c r="B20" s="55" t="s">
        <v>210</v>
      </c>
      <c r="C20" s="62">
        <f>C19-C18</f>
        <v>1</v>
      </c>
    </row>
    <row r="21" spans="1:3" x14ac:dyDescent="0.3">
      <c r="A21" s="53"/>
      <c r="B21" s="53"/>
      <c r="C21" s="53"/>
    </row>
    <row r="22" spans="1:3" x14ac:dyDescent="0.3">
      <c r="A22" s="53"/>
      <c r="B22" s="55" t="s">
        <v>211</v>
      </c>
      <c r="C22" s="62">
        <f>C16+C20</f>
        <v>-12227.230000000145</v>
      </c>
    </row>
    <row r="25" spans="1:3" x14ac:dyDescent="0.3">
      <c r="C25" s="101"/>
    </row>
    <row r="26" spans="1:3" x14ac:dyDescent="0.3">
      <c r="C26" s="4"/>
    </row>
    <row r="27" spans="1:3" x14ac:dyDescent="0.3">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2020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C23" sqref="C23"/>
    </sheetView>
  </sheetViews>
  <sheetFormatPr baseColWidth="10" defaultRowHeight="14.4" x14ac:dyDescent="0.3"/>
  <cols>
    <col min="1" max="1" width="9.44140625" customWidth="1"/>
    <col min="2" max="2" width="3.33203125" customWidth="1"/>
    <col min="3" max="3" width="63.33203125" customWidth="1"/>
    <col min="4" max="4" width="15.33203125" customWidth="1"/>
  </cols>
  <sheetData>
    <row r="1" spans="1:4" ht="25.8" x14ac:dyDescent="0.5">
      <c r="A1" s="42" t="s">
        <v>227</v>
      </c>
    </row>
    <row r="4" spans="1:4" x14ac:dyDescent="0.3">
      <c r="A4" s="7" t="s">
        <v>201</v>
      </c>
    </row>
    <row r="5" spans="1:4" x14ac:dyDescent="0.3">
      <c r="A5" s="7" t="s">
        <v>228</v>
      </c>
    </row>
    <row r="7" spans="1:4" x14ac:dyDescent="0.3">
      <c r="A7" s="51" t="s">
        <v>229</v>
      </c>
      <c r="B7" s="51"/>
      <c r="C7" s="51" t="s">
        <v>204</v>
      </c>
      <c r="D7" s="51" t="s">
        <v>205</v>
      </c>
    </row>
    <row r="8" spans="1:4" x14ac:dyDescent="0.3">
      <c r="A8" s="53">
        <v>90</v>
      </c>
      <c r="B8" s="58"/>
      <c r="C8" s="53" t="s">
        <v>195</v>
      </c>
      <c r="D8" s="56">
        <f>'4.1 Comptes 2020 natures'!BF153</f>
        <v>10804534.910000002</v>
      </c>
    </row>
    <row r="9" spans="1:4" x14ac:dyDescent="0.3">
      <c r="A9" s="53">
        <v>33</v>
      </c>
      <c r="B9" s="58" t="s">
        <v>231</v>
      </c>
      <c r="C9" s="53" t="s">
        <v>98</v>
      </c>
      <c r="D9" s="56">
        <f>'4.1 Comptes 2020 natures'!BF27</f>
        <v>22755841.089999996</v>
      </c>
    </row>
    <row r="10" spans="1:4" x14ac:dyDescent="0.3">
      <c r="A10" s="53">
        <v>35</v>
      </c>
      <c r="B10" s="58" t="s">
        <v>231</v>
      </c>
      <c r="C10" s="53" t="s">
        <v>233</v>
      </c>
      <c r="D10" s="56">
        <f>'4.1 Comptes 2020 natures'!BF39</f>
        <v>2143078.8400000003</v>
      </c>
    </row>
    <row r="11" spans="1:4" x14ac:dyDescent="0.3">
      <c r="A11" s="53">
        <v>45</v>
      </c>
      <c r="B11" s="58" t="s">
        <v>232</v>
      </c>
      <c r="C11" s="53" t="s">
        <v>174</v>
      </c>
      <c r="D11" s="56">
        <f>'4.1 Comptes 2020 natures'!BF117</f>
        <v>1308254.75</v>
      </c>
    </row>
    <row r="12" spans="1:4" x14ac:dyDescent="0.3">
      <c r="A12" s="53">
        <v>364</v>
      </c>
      <c r="B12" s="58" t="s">
        <v>231</v>
      </c>
      <c r="C12" s="53" t="s">
        <v>240</v>
      </c>
      <c r="D12" s="56">
        <f>'4.1 Comptes 2020 natures'!BF48</f>
        <v>4968</v>
      </c>
    </row>
    <row r="13" spans="1:4" x14ac:dyDescent="0.3">
      <c r="A13" s="53">
        <v>365</v>
      </c>
      <c r="B13" s="58" t="s">
        <v>231</v>
      </c>
      <c r="C13" s="53" t="s">
        <v>241</v>
      </c>
      <c r="D13" s="56">
        <f>'4.1 Comptes 2020 natures'!BF49</f>
        <v>8100</v>
      </c>
    </row>
    <row r="14" spans="1:4" x14ac:dyDescent="0.3">
      <c r="A14" s="53">
        <v>366</v>
      </c>
      <c r="B14" s="58" t="s">
        <v>231</v>
      </c>
      <c r="C14" s="53" t="s">
        <v>238</v>
      </c>
      <c r="D14" s="56">
        <f>'4.1 Comptes 2020 natures'!BF50</f>
        <v>15247.55</v>
      </c>
    </row>
    <row r="15" spans="1:4" x14ac:dyDescent="0.3">
      <c r="A15" s="53">
        <v>389</v>
      </c>
      <c r="B15" s="58" t="s">
        <v>231</v>
      </c>
      <c r="C15" s="53" t="s">
        <v>234</v>
      </c>
      <c r="D15" s="56">
        <f>'4.1 Comptes 2020 natures'!BF62</f>
        <v>5245810.57</v>
      </c>
    </row>
    <row r="16" spans="1:4" x14ac:dyDescent="0.3">
      <c r="A16" s="53">
        <v>4490</v>
      </c>
      <c r="B16" s="58" t="s">
        <v>232</v>
      </c>
      <c r="C16" s="53" t="s">
        <v>242</v>
      </c>
      <c r="D16" s="56">
        <f>'4.1 Comptes 2020 natures'!BF164</f>
        <v>300389</v>
      </c>
    </row>
    <row r="17" spans="1:4" x14ac:dyDescent="0.3">
      <c r="A17" s="53">
        <v>489</v>
      </c>
      <c r="B17" s="58" t="s">
        <v>232</v>
      </c>
      <c r="C17" s="53" t="s">
        <v>239</v>
      </c>
      <c r="D17" s="56">
        <f>'4.1 Comptes 2020 natures'!BF138</f>
        <v>2315443.12</v>
      </c>
    </row>
    <row r="18" spans="1:4" x14ac:dyDescent="0.3">
      <c r="A18" s="53"/>
      <c r="B18" s="58"/>
      <c r="C18" s="53"/>
      <c r="D18" s="56"/>
    </row>
    <row r="19" spans="1:4" x14ac:dyDescent="0.3">
      <c r="A19" s="54"/>
      <c r="B19" s="54"/>
      <c r="C19" s="55" t="s">
        <v>235</v>
      </c>
      <c r="D19" s="62">
        <f>D8+D9+D10-D11+D12+D13+D14+D15-D16-D17</f>
        <v>37053494.090000004</v>
      </c>
    </row>
    <row r="20" spans="1:4" x14ac:dyDescent="0.3">
      <c r="A20" s="53"/>
      <c r="B20" s="53"/>
      <c r="C20" s="53"/>
      <c r="D20" s="56"/>
    </row>
    <row r="21" spans="1:4" x14ac:dyDescent="0.3">
      <c r="A21" s="53" t="s">
        <v>230</v>
      </c>
      <c r="B21" s="59" t="s">
        <v>232</v>
      </c>
      <c r="C21" s="53" t="s">
        <v>236</v>
      </c>
      <c r="D21" s="56">
        <f>'6.1 Investissements'!BF182</f>
        <v>36028775.899999999</v>
      </c>
    </row>
    <row r="22" spans="1:4" x14ac:dyDescent="0.3">
      <c r="A22" s="53"/>
      <c r="B22" s="53"/>
      <c r="C22" s="53"/>
      <c r="D22" s="56"/>
    </row>
    <row r="23" spans="1:4" x14ac:dyDescent="0.3">
      <c r="A23" s="54"/>
      <c r="B23" s="54"/>
      <c r="C23" s="55" t="s">
        <v>237</v>
      </c>
      <c r="D23" s="62">
        <f>D19-D21</f>
        <v>1024718.1900000051</v>
      </c>
    </row>
    <row r="26" spans="1:4" x14ac:dyDescent="0.3">
      <c r="A26" s="7" t="s">
        <v>214</v>
      </c>
    </row>
    <row r="27" spans="1:4" x14ac:dyDescent="0.3">
      <c r="A27" s="7" t="s">
        <v>228</v>
      </c>
    </row>
    <row r="29" spans="1:4" x14ac:dyDescent="0.3">
      <c r="A29" s="51" t="s">
        <v>229</v>
      </c>
      <c r="B29" s="51"/>
      <c r="C29" s="51" t="s">
        <v>204</v>
      </c>
      <c r="D29" s="51" t="s">
        <v>205</v>
      </c>
    </row>
    <row r="30" spans="1:4" x14ac:dyDescent="0.3">
      <c r="A30" s="53">
        <v>90</v>
      </c>
      <c r="B30" s="58"/>
      <c r="C30" s="53" t="s">
        <v>195</v>
      </c>
      <c r="D30" s="56">
        <f>'4.1 Comptes 2020 natures'!BG153</f>
        <v>3478485.71</v>
      </c>
    </row>
    <row r="31" spans="1:4" x14ac:dyDescent="0.3">
      <c r="A31" s="53">
        <v>33</v>
      </c>
      <c r="B31" s="58" t="s">
        <v>231</v>
      </c>
      <c r="C31" s="53" t="s">
        <v>98</v>
      </c>
      <c r="D31" s="56">
        <f>'4.1 Comptes 2020 natures'!BG27</f>
        <v>11389345.599999998</v>
      </c>
    </row>
    <row r="32" spans="1:4" x14ac:dyDescent="0.3">
      <c r="A32" s="53">
        <v>35</v>
      </c>
      <c r="B32" s="58" t="s">
        <v>231</v>
      </c>
      <c r="C32" s="53" t="s">
        <v>233</v>
      </c>
      <c r="D32" s="56">
        <f>'4.1 Comptes 2020 natures'!BG39</f>
        <v>1161188.8600000001</v>
      </c>
    </row>
    <row r="33" spans="1:4" x14ac:dyDescent="0.3">
      <c r="A33" s="53">
        <v>45</v>
      </c>
      <c r="B33" s="58" t="s">
        <v>232</v>
      </c>
      <c r="C33" s="53" t="s">
        <v>174</v>
      </c>
      <c r="D33" s="56">
        <f>'4.1 Comptes 2020 natures'!BG117</f>
        <v>335835.21</v>
      </c>
    </row>
    <row r="34" spans="1:4" x14ac:dyDescent="0.3">
      <c r="A34" s="53">
        <v>364</v>
      </c>
      <c r="B34" s="58" t="s">
        <v>231</v>
      </c>
      <c r="C34" s="53" t="s">
        <v>240</v>
      </c>
      <c r="D34" s="56">
        <f>'4.1 Comptes 2020 natures'!BG48</f>
        <v>0</v>
      </c>
    </row>
    <row r="35" spans="1:4" x14ac:dyDescent="0.3">
      <c r="A35" s="53">
        <v>365</v>
      </c>
      <c r="B35" s="58" t="s">
        <v>231</v>
      </c>
      <c r="C35" s="53" t="s">
        <v>241</v>
      </c>
      <c r="D35" s="56">
        <f>'4.1 Comptes 2020 natures'!BG49</f>
        <v>8100</v>
      </c>
    </row>
    <row r="36" spans="1:4" x14ac:dyDescent="0.3">
      <c r="A36" s="53">
        <v>366</v>
      </c>
      <c r="B36" s="58" t="s">
        <v>231</v>
      </c>
      <c r="C36" s="53" t="s">
        <v>238</v>
      </c>
      <c r="D36" s="56">
        <f>'4.1 Comptes 2020 natures'!BG50</f>
        <v>15247.55</v>
      </c>
    </row>
    <row r="37" spans="1:4" x14ac:dyDescent="0.3">
      <c r="A37" s="53">
        <v>389</v>
      </c>
      <c r="B37" s="58" t="s">
        <v>231</v>
      </c>
      <c r="C37" s="53" t="s">
        <v>234</v>
      </c>
      <c r="D37" s="56">
        <f>'4.1 Comptes 2020 natures'!BG62</f>
        <v>978529.25</v>
      </c>
    </row>
    <row r="38" spans="1:4" x14ac:dyDescent="0.3">
      <c r="A38" s="53">
        <v>4490</v>
      </c>
      <c r="B38" s="58" t="s">
        <v>232</v>
      </c>
      <c r="C38" s="53" t="s">
        <v>242</v>
      </c>
      <c r="D38" s="56">
        <f>'4.1 Comptes 2020 natures'!BG164</f>
        <v>0</v>
      </c>
    </row>
    <row r="39" spans="1:4" x14ac:dyDescent="0.3">
      <c r="A39" s="53">
        <v>489</v>
      </c>
      <c r="B39" s="58" t="s">
        <v>232</v>
      </c>
      <c r="C39" s="53" t="s">
        <v>239</v>
      </c>
      <c r="D39" s="56">
        <f>'4.1 Comptes 2020 natures'!BG138</f>
        <v>1462478.3</v>
      </c>
    </row>
    <row r="40" spans="1:4" x14ac:dyDescent="0.3">
      <c r="A40" s="53"/>
      <c r="B40" s="58"/>
      <c r="C40" s="53"/>
      <c r="D40" s="56"/>
    </row>
    <row r="41" spans="1:4" x14ac:dyDescent="0.3">
      <c r="A41" s="54"/>
      <c r="B41" s="54"/>
      <c r="C41" s="55" t="s">
        <v>235</v>
      </c>
      <c r="D41" s="62">
        <f>D30+D31+D32-D33+D34+D35+D36+D37-D38-D39</f>
        <v>15232583.459999997</v>
      </c>
    </row>
    <row r="42" spans="1:4" x14ac:dyDescent="0.3">
      <c r="A42" s="53"/>
      <c r="B42" s="53"/>
      <c r="C42" s="53"/>
      <c r="D42" s="56"/>
    </row>
    <row r="43" spans="1:4" x14ac:dyDescent="0.3">
      <c r="A43" s="53" t="s">
        <v>230</v>
      </c>
      <c r="B43" s="59" t="s">
        <v>232</v>
      </c>
      <c r="C43" s="53" t="s">
        <v>236</v>
      </c>
      <c r="D43" s="56">
        <f>'6.1 Investissements'!BG182</f>
        <v>26605792.979999997</v>
      </c>
    </row>
    <row r="44" spans="1:4" x14ac:dyDescent="0.3">
      <c r="A44" s="53"/>
      <c r="B44" s="53"/>
      <c r="C44" s="53"/>
      <c r="D44" s="56"/>
    </row>
    <row r="45" spans="1:4" x14ac:dyDescent="0.3">
      <c r="A45" s="54"/>
      <c r="B45" s="54"/>
      <c r="C45" s="55" t="s">
        <v>237</v>
      </c>
      <c r="D45" s="62">
        <f>D41-D43</f>
        <v>-11373209.52</v>
      </c>
    </row>
    <row r="50" spans="1:4" x14ac:dyDescent="0.3">
      <c r="A50" s="7" t="s">
        <v>215</v>
      </c>
    </row>
    <row r="51" spans="1:4" x14ac:dyDescent="0.3">
      <c r="A51" s="7" t="s">
        <v>228</v>
      </c>
    </row>
    <row r="53" spans="1:4" x14ac:dyDescent="0.3">
      <c r="A53" s="51" t="s">
        <v>229</v>
      </c>
      <c r="B53" s="51"/>
      <c r="C53" s="51" t="s">
        <v>204</v>
      </c>
      <c r="D53" s="51" t="s">
        <v>205</v>
      </c>
    </row>
    <row r="54" spans="1:4" x14ac:dyDescent="0.3">
      <c r="A54" s="53">
        <v>90</v>
      </c>
      <c r="B54" s="58"/>
      <c r="C54" s="53" t="s">
        <v>195</v>
      </c>
      <c r="D54" s="56">
        <f>'4.1 Comptes 2020 natures'!BH153</f>
        <v>4836251.0600000005</v>
      </c>
    </row>
    <row r="55" spans="1:4" x14ac:dyDescent="0.3">
      <c r="A55" s="53">
        <v>33</v>
      </c>
      <c r="B55" s="58" t="s">
        <v>231</v>
      </c>
      <c r="C55" s="53" t="s">
        <v>98</v>
      </c>
      <c r="D55" s="56">
        <f>'4.1 Comptes 2020 natures'!BH27</f>
        <v>2911871.3</v>
      </c>
    </row>
    <row r="56" spans="1:4" x14ac:dyDescent="0.3">
      <c r="A56" s="53">
        <v>35</v>
      </c>
      <c r="B56" s="58" t="s">
        <v>231</v>
      </c>
      <c r="C56" s="53" t="s">
        <v>233</v>
      </c>
      <c r="D56" s="56">
        <f>'4.1 Comptes 2020 natures'!BH39</f>
        <v>295107.79999999993</v>
      </c>
    </row>
    <row r="57" spans="1:4" x14ac:dyDescent="0.3">
      <c r="A57" s="53">
        <v>45</v>
      </c>
      <c r="B57" s="58" t="s">
        <v>232</v>
      </c>
      <c r="C57" s="53" t="s">
        <v>174</v>
      </c>
      <c r="D57" s="56">
        <f>'4.1 Comptes 2020 natures'!BH117</f>
        <v>265039.32</v>
      </c>
    </row>
    <row r="58" spans="1:4" x14ac:dyDescent="0.3">
      <c r="A58" s="53">
        <v>364</v>
      </c>
      <c r="B58" s="58" t="s">
        <v>231</v>
      </c>
      <c r="C58" s="53" t="s">
        <v>240</v>
      </c>
      <c r="D58" s="56">
        <f>'4.1 Comptes 2020 natures'!BH48</f>
        <v>0</v>
      </c>
    </row>
    <row r="59" spans="1:4" x14ac:dyDescent="0.3">
      <c r="A59" s="53">
        <v>365</v>
      </c>
      <c r="B59" s="58" t="s">
        <v>231</v>
      </c>
      <c r="C59" s="53" t="s">
        <v>241</v>
      </c>
      <c r="D59" s="56">
        <f>'4.1 Comptes 2020 natures'!BH49</f>
        <v>0</v>
      </c>
    </row>
    <row r="60" spans="1:4" x14ac:dyDescent="0.3">
      <c r="A60" s="53">
        <v>366</v>
      </c>
      <c r="B60" s="58" t="s">
        <v>231</v>
      </c>
      <c r="C60" s="53" t="s">
        <v>238</v>
      </c>
      <c r="D60" s="56">
        <f>'4.1 Comptes 2020 natures'!BH50</f>
        <v>0</v>
      </c>
    </row>
    <row r="61" spans="1:4" x14ac:dyDescent="0.3">
      <c r="A61" s="53">
        <v>389</v>
      </c>
      <c r="B61" s="58" t="s">
        <v>231</v>
      </c>
      <c r="C61" s="53" t="s">
        <v>234</v>
      </c>
      <c r="D61" s="56">
        <f>'4.1 Comptes 2020 natures'!BH62</f>
        <v>760000</v>
      </c>
    </row>
    <row r="62" spans="1:4" x14ac:dyDescent="0.3">
      <c r="A62" s="53">
        <v>4490</v>
      </c>
      <c r="B62" s="58" t="s">
        <v>232</v>
      </c>
      <c r="C62" s="53" t="s">
        <v>242</v>
      </c>
      <c r="D62" s="56">
        <f>'4.1 Comptes 2020 natures'!BH164</f>
        <v>390</v>
      </c>
    </row>
    <row r="63" spans="1:4" x14ac:dyDescent="0.3">
      <c r="A63" s="53">
        <v>489</v>
      </c>
      <c r="B63" s="58" t="s">
        <v>232</v>
      </c>
      <c r="C63" s="53" t="s">
        <v>239</v>
      </c>
      <c r="D63" s="56">
        <f>'4.1 Comptes 2020 natures'!BH138</f>
        <v>357604.82</v>
      </c>
    </row>
    <row r="64" spans="1:4" x14ac:dyDescent="0.3">
      <c r="A64" s="53"/>
      <c r="B64" s="58"/>
      <c r="C64" s="53"/>
      <c r="D64" s="56"/>
    </row>
    <row r="65" spans="1:4" x14ac:dyDescent="0.3">
      <c r="A65" s="54"/>
      <c r="B65" s="54"/>
      <c r="C65" s="55" t="s">
        <v>235</v>
      </c>
      <c r="D65" s="62">
        <f>D54+D55+D56-D57+D58+D59+D60+D61-D62-D63</f>
        <v>8180196.0199999996</v>
      </c>
    </row>
    <row r="66" spans="1:4" x14ac:dyDescent="0.3">
      <c r="A66" s="53"/>
      <c r="B66" s="53"/>
      <c r="C66" s="53"/>
      <c r="D66" s="56"/>
    </row>
    <row r="67" spans="1:4" x14ac:dyDescent="0.3">
      <c r="A67" s="53" t="s">
        <v>230</v>
      </c>
      <c r="B67" s="59" t="s">
        <v>232</v>
      </c>
      <c r="C67" s="53" t="s">
        <v>236</v>
      </c>
      <c r="D67" s="56">
        <f>'6.1 Investissements'!BH182</f>
        <v>1202041.6600000011</v>
      </c>
    </row>
    <row r="68" spans="1:4" x14ac:dyDescent="0.3">
      <c r="A68" s="53"/>
      <c r="B68" s="53"/>
      <c r="C68" s="53"/>
      <c r="D68" s="56"/>
    </row>
    <row r="69" spans="1:4" x14ac:dyDescent="0.3">
      <c r="A69" s="54"/>
      <c r="B69" s="54"/>
      <c r="C69" s="55" t="s">
        <v>237</v>
      </c>
      <c r="D69" s="62">
        <f>D65-D67</f>
        <v>6978154.3599999985</v>
      </c>
    </row>
    <row r="72" spans="1:4" x14ac:dyDescent="0.3">
      <c r="A72" s="7" t="s">
        <v>216</v>
      </c>
    </row>
    <row r="73" spans="1:4" x14ac:dyDescent="0.3">
      <c r="A73" s="7" t="s">
        <v>228</v>
      </c>
    </row>
    <row r="75" spans="1:4" x14ac:dyDescent="0.3">
      <c r="A75" s="51" t="s">
        <v>229</v>
      </c>
      <c r="B75" s="51"/>
      <c r="C75" s="51" t="s">
        <v>204</v>
      </c>
      <c r="D75" s="51" t="s">
        <v>205</v>
      </c>
    </row>
    <row r="76" spans="1:4" x14ac:dyDescent="0.3">
      <c r="A76" s="53">
        <v>90</v>
      </c>
      <c r="B76" s="58"/>
      <c r="C76" s="53" t="s">
        <v>195</v>
      </c>
      <c r="D76" s="56">
        <f>'4.1 Comptes 2020 natures'!BI153</f>
        <v>2489798.14</v>
      </c>
    </row>
    <row r="77" spans="1:4" x14ac:dyDescent="0.3">
      <c r="A77" s="53">
        <v>33</v>
      </c>
      <c r="B77" s="58" t="s">
        <v>231</v>
      </c>
      <c r="C77" s="53" t="s">
        <v>98</v>
      </c>
      <c r="D77" s="56">
        <f>'4.1 Comptes 2020 natures'!BI27</f>
        <v>8454624.1900000013</v>
      </c>
    </row>
    <row r="78" spans="1:4" x14ac:dyDescent="0.3">
      <c r="A78" s="53">
        <v>35</v>
      </c>
      <c r="B78" s="58" t="s">
        <v>231</v>
      </c>
      <c r="C78" s="53" t="s">
        <v>233</v>
      </c>
      <c r="D78" s="56">
        <f>'4.1 Comptes 2020 natures'!BI39</f>
        <v>686782.18</v>
      </c>
    </row>
    <row r="79" spans="1:4" x14ac:dyDescent="0.3">
      <c r="A79" s="53">
        <v>45</v>
      </c>
      <c r="B79" s="58" t="s">
        <v>232</v>
      </c>
      <c r="C79" s="53" t="s">
        <v>174</v>
      </c>
      <c r="D79" s="56">
        <f>'4.1 Comptes 2020 natures'!BI117</f>
        <v>707380.22</v>
      </c>
    </row>
    <row r="80" spans="1:4" x14ac:dyDescent="0.3">
      <c r="A80" s="53">
        <v>364</v>
      </c>
      <c r="B80" s="58" t="s">
        <v>231</v>
      </c>
      <c r="C80" s="53" t="s">
        <v>240</v>
      </c>
      <c r="D80" s="56">
        <f>'4.1 Comptes 2020 natures'!BI48</f>
        <v>4968</v>
      </c>
    </row>
    <row r="81" spans="1:4" x14ac:dyDescent="0.3">
      <c r="A81" s="53">
        <v>365</v>
      </c>
      <c r="B81" s="58" t="s">
        <v>231</v>
      </c>
      <c r="C81" s="53" t="s">
        <v>241</v>
      </c>
      <c r="D81" s="56">
        <f>'4.1 Comptes 2020 natures'!BI49</f>
        <v>0</v>
      </c>
    </row>
    <row r="82" spans="1:4" x14ac:dyDescent="0.3">
      <c r="A82" s="53">
        <v>366</v>
      </c>
      <c r="B82" s="58" t="s">
        <v>231</v>
      </c>
      <c r="C82" s="53" t="s">
        <v>238</v>
      </c>
      <c r="D82" s="56">
        <f>'4.1 Comptes 2020 natures'!BI50</f>
        <v>0</v>
      </c>
    </row>
    <row r="83" spans="1:4" x14ac:dyDescent="0.3">
      <c r="A83" s="53">
        <v>389</v>
      </c>
      <c r="B83" s="58" t="s">
        <v>231</v>
      </c>
      <c r="C83" s="53" t="s">
        <v>234</v>
      </c>
      <c r="D83" s="56">
        <f>'4.1 Comptes 2020 natures'!BI62</f>
        <v>3507281.3200000003</v>
      </c>
    </row>
    <row r="84" spans="1:4" x14ac:dyDescent="0.3">
      <c r="A84" s="53">
        <v>4490</v>
      </c>
      <c r="B84" s="58" t="s">
        <v>232</v>
      </c>
      <c r="C84" s="53" t="s">
        <v>242</v>
      </c>
      <c r="D84" s="56">
        <f>'4.1 Comptes 2020 natures'!BI164</f>
        <v>299999</v>
      </c>
    </row>
    <row r="85" spans="1:4" x14ac:dyDescent="0.3">
      <c r="A85" s="53">
        <v>489</v>
      </c>
      <c r="B85" s="58" t="s">
        <v>232</v>
      </c>
      <c r="C85" s="53" t="s">
        <v>239</v>
      </c>
      <c r="D85" s="56">
        <f>'4.1 Comptes 2020 natures'!BI138</f>
        <v>495360</v>
      </c>
    </row>
    <row r="86" spans="1:4" x14ac:dyDescent="0.3">
      <c r="A86" s="53"/>
      <c r="B86" s="58"/>
      <c r="C86" s="53"/>
      <c r="D86" s="56"/>
    </row>
    <row r="87" spans="1:4" x14ac:dyDescent="0.3">
      <c r="A87" s="54"/>
      <c r="B87" s="54"/>
      <c r="C87" s="55" t="s">
        <v>235</v>
      </c>
      <c r="D87" s="62">
        <f>D76+D77+D78-D79+D80+D81+D82+D83-D84-D85</f>
        <v>13640714.610000001</v>
      </c>
    </row>
    <row r="88" spans="1:4" x14ac:dyDescent="0.3">
      <c r="A88" s="53"/>
      <c r="B88" s="53"/>
      <c r="C88" s="53"/>
      <c r="D88" s="56"/>
    </row>
    <row r="89" spans="1:4" x14ac:dyDescent="0.3">
      <c r="A89" s="53" t="s">
        <v>230</v>
      </c>
      <c r="B89" s="59" t="s">
        <v>232</v>
      </c>
      <c r="C89" s="53" t="s">
        <v>236</v>
      </c>
      <c r="D89" s="56">
        <f>'6.1 Investissements'!BI182</f>
        <v>8220941.2600000035</v>
      </c>
    </row>
    <row r="90" spans="1:4" x14ac:dyDescent="0.3">
      <c r="A90" s="53"/>
      <c r="B90" s="53"/>
      <c r="C90" s="53"/>
      <c r="D90" s="56"/>
    </row>
    <row r="91" spans="1:4" x14ac:dyDescent="0.3">
      <c r="A91" s="54"/>
      <c r="B91" s="54"/>
      <c r="C91" s="55" t="s">
        <v>237</v>
      </c>
      <c r="D91" s="62">
        <f>D87-D89</f>
        <v>5419773.3499999978</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C23" sqref="C23"/>
    </sheetView>
  </sheetViews>
  <sheetFormatPr baseColWidth="10" defaultRowHeight="14.4" x14ac:dyDescent="0.3"/>
  <cols>
    <col min="3" max="3" width="6" customWidth="1"/>
    <col min="4" max="4" width="65" customWidth="1"/>
    <col min="5" max="5" width="16.88671875" customWidth="1"/>
  </cols>
  <sheetData>
    <row r="1" spans="1:5" ht="25.8" x14ac:dyDescent="0.5">
      <c r="A1" s="42" t="s">
        <v>757</v>
      </c>
    </row>
    <row r="4" spans="1:5" ht="15" thickBot="1" x14ac:dyDescent="0.35">
      <c r="B4" t="s">
        <v>607</v>
      </c>
    </row>
    <row r="5" spans="1:5" ht="15" thickBot="1" x14ac:dyDescent="0.35">
      <c r="B5" s="214" t="s">
        <v>29</v>
      </c>
      <c r="C5" s="215"/>
      <c r="D5" s="216"/>
    </row>
    <row r="7" spans="1:5" x14ac:dyDescent="0.3">
      <c r="B7" s="51" t="s">
        <v>229</v>
      </c>
      <c r="C7" s="51"/>
      <c r="D7" s="51" t="s">
        <v>204</v>
      </c>
      <c r="E7" s="51" t="s">
        <v>205</v>
      </c>
    </row>
    <row r="8" spans="1:5" x14ac:dyDescent="0.3">
      <c r="B8" s="53">
        <v>90</v>
      </c>
      <c r="C8" s="58"/>
      <c r="D8" s="53" t="s">
        <v>195</v>
      </c>
      <c r="E8" s="56">
        <f>HLOOKUP($B$5,'4.1 Comptes 2020 natures'!$E$3:$BE$183,151,0)</f>
        <v>13711.05</v>
      </c>
    </row>
    <row r="9" spans="1:5" x14ac:dyDescent="0.3">
      <c r="B9" s="53">
        <v>33</v>
      </c>
      <c r="C9" s="58" t="s">
        <v>231</v>
      </c>
      <c r="D9" s="53" t="s">
        <v>98</v>
      </c>
      <c r="E9" s="56">
        <f>HLOOKUP($B$5,'4.1 Comptes 2020 natures'!$E$3:$BE$183,25,0)</f>
        <v>18600</v>
      </c>
    </row>
    <row r="10" spans="1:5" x14ac:dyDescent="0.3">
      <c r="B10" s="53">
        <v>35</v>
      </c>
      <c r="C10" s="58" t="s">
        <v>231</v>
      </c>
      <c r="D10" s="53" t="s">
        <v>233</v>
      </c>
      <c r="E10" s="56">
        <f>HLOOKUP($B$5,'4.1 Comptes 2020 natures'!$E$3:$BE$183,37,0)</f>
        <v>668.62</v>
      </c>
    </row>
    <row r="11" spans="1:5" x14ac:dyDescent="0.3">
      <c r="B11" s="53">
        <v>45</v>
      </c>
      <c r="C11" s="58" t="s">
        <v>232</v>
      </c>
      <c r="D11" s="53" t="s">
        <v>174</v>
      </c>
      <c r="E11" s="56">
        <f>HLOOKUP($B$5,'4.1 Comptes 2020 natures'!$E$3:$BE$183,115,0)</f>
        <v>329.1</v>
      </c>
    </row>
    <row r="12" spans="1:5" x14ac:dyDescent="0.3">
      <c r="B12" s="53">
        <v>364</v>
      </c>
      <c r="C12" s="58" t="s">
        <v>231</v>
      </c>
      <c r="D12" s="53" t="s">
        <v>240</v>
      </c>
      <c r="E12" s="56">
        <f>HLOOKUP($B$5,'4.1 Comptes 2020 natures'!$E$3:$BE$183,46,0)</f>
        <v>0</v>
      </c>
    </row>
    <row r="13" spans="1:5" x14ac:dyDescent="0.3">
      <c r="B13" s="53">
        <v>365</v>
      </c>
      <c r="C13" s="58" t="s">
        <v>231</v>
      </c>
      <c r="D13" s="53" t="s">
        <v>241</v>
      </c>
      <c r="E13" s="56">
        <f>HLOOKUP($B$5,'4.1 Comptes 2020 natures'!$E$3:$BE$183,47,0)</f>
        <v>0</v>
      </c>
    </row>
    <row r="14" spans="1:5" x14ac:dyDescent="0.3">
      <c r="B14" s="53">
        <v>366</v>
      </c>
      <c r="C14" s="58" t="s">
        <v>231</v>
      </c>
      <c r="D14" s="53" t="s">
        <v>238</v>
      </c>
      <c r="E14" s="56">
        <f>HLOOKUP($B$5,'4.1 Comptes 2020 natures'!$E$3:$BE$183,48,0)</f>
        <v>0</v>
      </c>
    </row>
    <row r="15" spans="1:5" x14ac:dyDescent="0.3">
      <c r="B15" s="53">
        <v>389</v>
      </c>
      <c r="C15" s="58" t="s">
        <v>231</v>
      </c>
      <c r="D15" s="53" t="s">
        <v>234</v>
      </c>
      <c r="E15" s="56">
        <f>HLOOKUP($B$5,'4.1 Comptes 2020 natures'!$E$3:$BE$183,60,0)</f>
        <v>34.119999999999997</v>
      </c>
    </row>
    <row r="16" spans="1:5" x14ac:dyDescent="0.3">
      <c r="B16" s="53">
        <v>4490</v>
      </c>
      <c r="C16" s="58" t="s">
        <v>232</v>
      </c>
      <c r="D16" s="53" t="s">
        <v>242</v>
      </c>
      <c r="E16" s="56">
        <f>HLOOKUP($B$5,'4.1 Comptes 2020 natures'!$E$3:$BE$183,164,0)</f>
        <v>0</v>
      </c>
    </row>
    <row r="17" spans="2:5" x14ac:dyDescent="0.3">
      <c r="B17" s="53">
        <v>489</v>
      </c>
      <c r="C17" s="58" t="s">
        <v>232</v>
      </c>
      <c r="D17" s="53" t="s">
        <v>239</v>
      </c>
      <c r="E17" s="56">
        <f>HLOOKUP($B$5,'4.1 Comptes 2020 natures'!$E$3:$BE$183,136,0)</f>
        <v>0</v>
      </c>
    </row>
    <row r="18" spans="2:5" x14ac:dyDescent="0.3">
      <c r="B18" s="53"/>
      <c r="C18" s="58"/>
      <c r="D18" s="53"/>
      <c r="E18" s="56"/>
    </row>
    <row r="19" spans="2:5" x14ac:dyDescent="0.3">
      <c r="B19" s="54"/>
      <c r="C19" s="54"/>
      <c r="D19" s="55" t="s">
        <v>235</v>
      </c>
      <c r="E19" s="62">
        <f>E8+E9+E10-E11+E12+E13+E14+E15-E16-E17</f>
        <v>32684.69</v>
      </c>
    </row>
    <row r="20" spans="2:5" x14ac:dyDescent="0.3">
      <c r="B20" s="53"/>
      <c r="C20" s="53"/>
      <c r="D20" s="53"/>
      <c r="E20" s="56"/>
    </row>
    <row r="21" spans="2:5" x14ac:dyDescent="0.3">
      <c r="B21" s="53" t="s">
        <v>230</v>
      </c>
      <c r="C21" s="59" t="s">
        <v>232</v>
      </c>
      <c r="D21" s="53" t="s">
        <v>236</v>
      </c>
      <c r="E21" s="56">
        <f>HLOOKUP($B$5,'4.1 Comptes 2020 natures'!$E$3:$BE$183,177,0)</f>
        <v>800</v>
      </c>
    </row>
    <row r="22" spans="2:5" x14ac:dyDescent="0.3">
      <c r="B22" s="53"/>
      <c r="C22" s="53"/>
      <c r="D22" s="53"/>
      <c r="E22" s="56"/>
    </row>
    <row r="23" spans="2:5" x14ac:dyDescent="0.3">
      <c r="B23" s="54"/>
      <c r="C23" s="54"/>
      <c r="D23" s="55" t="s">
        <v>237</v>
      </c>
      <c r="E23" s="62">
        <f>E19-E21</f>
        <v>31884.69</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2020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4" activePane="bottomRight" state="frozen"/>
      <selection activeCell="C23" sqref="C23"/>
      <selection pane="topRight" activeCell="C23" sqref="C23"/>
      <selection pane="bottomLeft" activeCell="C23" sqref="C23"/>
      <selection pane="bottomRight" activeCell="C23" sqref="C23"/>
    </sheetView>
  </sheetViews>
  <sheetFormatPr baseColWidth="10" defaultRowHeight="14.4" x14ac:dyDescent="0.3"/>
  <cols>
    <col min="1" max="1" width="5.6640625" customWidth="1"/>
    <col min="2" max="2" width="63.5546875" customWidth="1"/>
    <col min="3" max="56" width="16.33203125" customWidth="1"/>
    <col min="57" max="59" width="17.88671875" customWidth="1"/>
  </cols>
  <sheetData>
    <row r="1" spans="1:59" ht="25.8" x14ac:dyDescent="0.5">
      <c r="A1" s="42" t="s">
        <v>306</v>
      </c>
      <c r="B1" s="7"/>
    </row>
    <row r="2" spans="1:59" x14ac:dyDescent="0.3">
      <c r="A2" t="s">
        <v>818</v>
      </c>
      <c r="C2" s="57">
        <f>'Base de données pop.'!C2</f>
        <v>923</v>
      </c>
      <c r="D2" s="57">
        <f>'Base de données pop.'!C3</f>
        <v>270</v>
      </c>
      <c r="E2" s="57">
        <f>'Base de données pop.'!C4</f>
        <v>485</v>
      </c>
      <c r="F2" s="57">
        <f>'Base de données pop.'!C5</f>
        <v>446</v>
      </c>
      <c r="G2" s="57">
        <f>'Base de données pop.'!C6</f>
        <v>3631</v>
      </c>
      <c r="H2" s="57">
        <f>'Base de données pop.'!C7</f>
        <v>3313</v>
      </c>
      <c r="I2" s="57">
        <f>'Base de données pop.'!C8</f>
        <v>2644</v>
      </c>
      <c r="J2" s="57">
        <f>'Base de données pop.'!C9</f>
        <v>12618</v>
      </c>
      <c r="K2" s="57">
        <f>'Base de données pop.'!C10</f>
        <v>1371</v>
      </c>
      <c r="L2" s="57">
        <f>'Base de données pop.'!C11</f>
        <v>118</v>
      </c>
      <c r="M2" s="57">
        <f>'Base de données pop.'!C12</f>
        <v>7167</v>
      </c>
      <c r="N2" s="57">
        <f>'Base de données pop.'!C13</f>
        <v>528</v>
      </c>
      <c r="O2" s="57">
        <f>'Base de données pop.'!C14</f>
        <v>108</v>
      </c>
      <c r="P2" s="57">
        <f>'Base de données pop.'!C15</f>
        <v>415</v>
      </c>
      <c r="Q2" s="57">
        <f>'Base de données pop.'!C16</f>
        <v>349</v>
      </c>
      <c r="R2" s="57">
        <f>'Base de données pop.'!C17</f>
        <v>687</v>
      </c>
      <c r="S2" s="57">
        <f>'Base de données pop.'!C18</f>
        <v>255</v>
      </c>
      <c r="T2" s="57">
        <f>'Base de données pop.'!C19</f>
        <v>436</v>
      </c>
      <c r="U2" s="57">
        <f>'Base de données pop.'!C20</f>
        <v>3190</v>
      </c>
      <c r="V2" s="57">
        <f>'Base de données pop.'!C21</f>
        <v>324</v>
      </c>
      <c r="W2" s="57">
        <f>'Base de données pop.'!C22</f>
        <v>1246</v>
      </c>
      <c r="X2" s="57">
        <f>'Base de données pop.'!C23</f>
        <v>1528</v>
      </c>
      <c r="Y2" s="57">
        <f>'Base de données pop.'!C24</f>
        <v>96</v>
      </c>
      <c r="Z2" s="57">
        <f>'Base de données pop.'!C25</f>
        <v>149</v>
      </c>
      <c r="AA2" s="57">
        <f>'Base de données pop.'!C26</f>
        <v>516</v>
      </c>
      <c r="AB2" s="57">
        <f>'Base de données pop.'!C27</f>
        <v>671</v>
      </c>
      <c r="AC2" s="57">
        <f>'Base de données pop.'!C28</f>
        <v>572</v>
      </c>
      <c r="AD2" s="57">
        <f>'Base de données pop.'!C29</f>
        <v>490</v>
      </c>
      <c r="AE2" s="57">
        <f>'Base de données pop.'!C30</f>
        <v>1914</v>
      </c>
      <c r="AF2" s="57">
        <f>'Base de données pop.'!C31</f>
        <v>2615</v>
      </c>
      <c r="AG2" s="57">
        <f>'Base de données pop.'!C32</f>
        <v>227</v>
      </c>
      <c r="AH2" s="57">
        <f>'Base de données pop.'!C33</f>
        <v>131</v>
      </c>
      <c r="AI2" s="57">
        <f>'Base de données pop.'!C34</f>
        <v>1895</v>
      </c>
      <c r="AJ2" s="57">
        <f>'Base de données pop.'!C35</f>
        <v>1135</v>
      </c>
      <c r="AK2" s="57">
        <f>'Base de données pop.'!C36</f>
        <v>1241</v>
      </c>
      <c r="AL2" s="57">
        <f>'Base de données pop.'!C37</f>
        <v>119</v>
      </c>
      <c r="AM2" s="57">
        <f>'Base de données pop.'!C38</f>
        <v>1195</v>
      </c>
      <c r="AN2" s="57">
        <f>'Base de données pop.'!C39</f>
        <v>663</v>
      </c>
      <c r="AO2" s="57">
        <f>'Base de données pop.'!C40</f>
        <v>645</v>
      </c>
      <c r="AP2" s="57">
        <f>'Base de données pop.'!C41</f>
        <v>1263</v>
      </c>
      <c r="AQ2" s="57">
        <f>'Base de données pop.'!C42</f>
        <v>740</v>
      </c>
      <c r="AR2" s="57">
        <f>'Base de données pop.'!C43</f>
        <v>1028</v>
      </c>
      <c r="AS2" s="57">
        <f>'Base de données pop.'!C44</f>
        <v>314</v>
      </c>
      <c r="AT2" s="57">
        <f>'Base de données pop.'!C45</f>
        <v>2400</v>
      </c>
      <c r="AU2" s="57">
        <f>'Base de données pop.'!C46</f>
        <v>755</v>
      </c>
      <c r="AV2" s="57">
        <f>'Base de données pop.'!C47</f>
        <v>181</v>
      </c>
      <c r="AW2" s="57">
        <f>'Base de données pop.'!C48</f>
        <v>347</v>
      </c>
      <c r="AX2" s="57">
        <f>'Base de données pop.'!C49</f>
        <v>1690</v>
      </c>
      <c r="AY2" s="57">
        <f>'Base de données pop.'!C50</f>
        <v>387</v>
      </c>
      <c r="AZ2" s="57">
        <f>'Base de données pop.'!C51</f>
        <v>1096</v>
      </c>
      <c r="BA2" s="57">
        <f>'Base de données pop.'!C52</f>
        <v>188</v>
      </c>
      <c r="BB2" s="57">
        <f>'Base de données pop.'!C53</f>
        <v>6434</v>
      </c>
      <c r="BC2" s="57">
        <f>'Base de données pop.'!C54</f>
        <v>560</v>
      </c>
      <c r="BD2" s="57">
        <f>SUM(C2:BC2)</f>
        <v>73709</v>
      </c>
      <c r="BE2" s="57">
        <f>SUM(C2:U2)</f>
        <v>38954</v>
      </c>
      <c r="BF2" s="57">
        <f>SUM(V2:AH2)</f>
        <v>10479</v>
      </c>
      <c r="BG2" s="57">
        <f>SUM(AI2:BC2)</f>
        <v>24276</v>
      </c>
    </row>
    <row r="3" spans="1:59" x14ac:dyDescent="0.3">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3">
      <c r="A4" s="68">
        <v>0</v>
      </c>
      <c r="B4" s="69" t="s">
        <v>307</v>
      </c>
      <c r="C4" s="70">
        <f>C5-C6</f>
        <v>386762.43000000005</v>
      </c>
      <c r="D4" s="70">
        <f t="shared" ref="D4:BC4" si="0">D5-D6</f>
        <v>78487.049999999988</v>
      </c>
      <c r="E4" s="70">
        <f t="shared" si="0"/>
        <v>154299.85</v>
      </c>
      <c r="F4" s="70">
        <f t="shared" si="0"/>
        <v>224428.74000000002</v>
      </c>
      <c r="G4" s="70">
        <f t="shared" si="0"/>
        <v>1249703.31</v>
      </c>
      <c r="H4" s="70">
        <f t="shared" si="0"/>
        <v>800331.42999999993</v>
      </c>
      <c r="I4" s="70">
        <f t="shared" si="0"/>
        <v>749772.83000000007</v>
      </c>
      <c r="J4" s="70">
        <f t="shared" si="0"/>
        <v>5292445.4000000004</v>
      </c>
      <c r="K4" s="70">
        <f t="shared" si="0"/>
        <v>420029</v>
      </c>
      <c r="L4" s="70">
        <f t="shared" si="0"/>
        <v>41884.800000000003</v>
      </c>
      <c r="M4" s="70">
        <f t="shared" si="0"/>
        <v>2250030.58</v>
      </c>
      <c r="N4" s="70">
        <f t="shared" si="0"/>
        <v>148482.23999999999</v>
      </c>
      <c r="O4" s="70">
        <f t="shared" si="0"/>
        <v>67486</v>
      </c>
      <c r="P4" s="70">
        <f t="shared" si="0"/>
        <v>184188.49</v>
      </c>
      <c r="Q4" s="70">
        <f t="shared" si="0"/>
        <v>101632.08</v>
      </c>
      <c r="R4" s="70">
        <f t="shared" si="0"/>
        <v>281444.11</v>
      </c>
      <c r="S4" s="70">
        <f t="shared" si="0"/>
        <v>122291.39000000001</v>
      </c>
      <c r="T4" s="70">
        <f t="shared" si="0"/>
        <v>276962.65999999997</v>
      </c>
      <c r="U4" s="70">
        <f t="shared" si="0"/>
        <v>1039021.65</v>
      </c>
      <c r="V4" s="70">
        <f t="shared" si="0"/>
        <v>105960.90000000001</v>
      </c>
      <c r="W4" s="70">
        <f t="shared" si="0"/>
        <v>470990.60000000003</v>
      </c>
      <c r="X4" s="70">
        <f t="shared" si="0"/>
        <v>488781.99999999994</v>
      </c>
      <c r="Y4" s="70">
        <f t="shared" si="0"/>
        <v>70176.399999999994</v>
      </c>
      <c r="Z4" s="70">
        <f t="shared" si="0"/>
        <v>55572.41</v>
      </c>
      <c r="AA4" s="70">
        <f t="shared" si="0"/>
        <v>270838.59000000003</v>
      </c>
      <c r="AB4" s="70">
        <f t="shared" si="0"/>
        <v>375877.43000000005</v>
      </c>
      <c r="AC4" s="70">
        <f t="shared" si="0"/>
        <v>188463.73</v>
      </c>
      <c r="AD4" s="70">
        <f t="shared" si="0"/>
        <v>204145.29</v>
      </c>
      <c r="AE4" s="70">
        <f t="shared" si="0"/>
        <v>543356.28</v>
      </c>
      <c r="AF4" s="70">
        <f t="shared" si="0"/>
        <v>758087.69</v>
      </c>
      <c r="AG4" s="70">
        <f t="shared" si="0"/>
        <v>105275.79999999999</v>
      </c>
      <c r="AH4" s="70">
        <f t="shared" si="0"/>
        <v>74188.099999999991</v>
      </c>
      <c r="AI4" s="70">
        <f t="shared" si="0"/>
        <v>721365.28</v>
      </c>
      <c r="AJ4" s="70">
        <f t="shared" si="0"/>
        <v>416557.04000000004</v>
      </c>
      <c r="AK4" s="70">
        <f t="shared" si="0"/>
        <v>394751.21</v>
      </c>
      <c r="AL4" s="70">
        <f t="shared" si="0"/>
        <v>88458.91</v>
      </c>
      <c r="AM4" s="70">
        <f t="shared" si="0"/>
        <v>777158.90999999992</v>
      </c>
      <c r="AN4" s="70">
        <f t="shared" si="0"/>
        <v>258510.06</v>
      </c>
      <c r="AO4" s="70">
        <f t="shared" si="0"/>
        <v>308530.43</v>
      </c>
      <c r="AP4" s="70">
        <f t="shared" si="0"/>
        <v>493054.92</v>
      </c>
      <c r="AQ4" s="70">
        <f t="shared" si="0"/>
        <v>296941.21999999997</v>
      </c>
      <c r="AR4" s="70">
        <f t="shared" si="0"/>
        <v>348988.83</v>
      </c>
      <c r="AS4" s="70">
        <f t="shared" si="0"/>
        <v>148310.05000000002</v>
      </c>
      <c r="AT4" s="70">
        <f t="shared" si="0"/>
        <v>463147.74</v>
      </c>
      <c r="AU4" s="70">
        <f t="shared" si="0"/>
        <v>373710.78</v>
      </c>
      <c r="AV4" s="70">
        <f t="shared" si="0"/>
        <v>110337.62999999999</v>
      </c>
      <c r="AW4" s="70">
        <f t="shared" si="0"/>
        <v>144649.88999999998</v>
      </c>
      <c r="AX4" s="70">
        <f t="shared" si="0"/>
        <v>479350.92999999993</v>
      </c>
      <c r="AY4" s="70">
        <f t="shared" si="0"/>
        <v>131496.80000000002</v>
      </c>
      <c r="AZ4" s="70">
        <f t="shared" si="0"/>
        <v>553052.10000000009</v>
      </c>
      <c r="BA4" s="70">
        <f t="shared" si="0"/>
        <v>109089.84999999999</v>
      </c>
      <c r="BB4" s="70">
        <f t="shared" si="0"/>
        <v>2990848.33</v>
      </c>
      <c r="BC4" s="70">
        <f t="shared" si="0"/>
        <v>255384.38</v>
      </c>
      <c r="BD4" s="70">
        <f>SUM(C4:BC4)</f>
        <v>27445094.550000008</v>
      </c>
      <c r="BE4" s="70">
        <f>SUM(C4:U4)</f>
        <v>13869684.040000003</v>
      </c>
      <c r="BF4" s="70">
        <f>SUM(V4:AH4)</f>
        <v>3711715.2199999997</v>
      </c>
      <c r="BG4" s="70">
        <f>SUM(AI4:BC4)</f>
        <v>9863695.2899999991</v>
      </c>
    </row>
    <row r="5" spans="1:59" ht="16.5" customHeight="1" x14ac:dyDescent="0.3">
      <c r="A5" s="64"/>
      <c r="B5" s="67" t="s">
        <v>318</v>
      </c>
      <c r="C5" s="72">
        <v>400522.28</v>
      </c>
      <c r="D5" s="72">
        <v>92080.4</v>
      </c>
      <c r="E5" s="72">
        <v>154757</v>
      </c>
      <c r="F5" s="72">
        <v>261752.39</v>
      </c>
      <c r="G5" s="72">
        <v>1338052.51</v>
      </c>
      <c r="H5" s="72">
        <v>935184.34</v>
      </c>
      <c r="I5" s="72">
        <v>769485.28</v>
      </c>
      <c r="J5" s="72">
        <v>6187961.1600000001</v>
      </c>
      <c r="K5" s="72">
        <v>659536.65</v>
      </c>
      <c r="L5" s="72">
        <v>63842.1</v>
      </c>
      <c r="M5" s="72">
        <v>2619574.71</v>
      </c>
      <c r="N5" s="72">
        <v>180098.44</v>
      </c>
      <c r="O5" s="72">
        <v>70563.95</v>
      </c>
      <c r="P5" s="72">
        <v>201370.96</v>
      </c>
      <c r="Q5" s="72">
        <v>106819.08</v>
      </c>
      <c r="R5" s="72">
        <v>308316.2</v>
      </c>
      <c r="S5" s="72">
        <v>136888.04</v>
      </c>
      <c r="T5" s="72">
        <v>302980.36</v>
      </c>
      <c r="U5" s="72">
        <v>1322558.5</v>
      </c>
      <c r="V5" s="72">
        <v>109670.8</v>
      </c>
      <c r="W5" s="72">
        <v>512721.95</v>
      </c>
      <c r="X5" s="72">
        <v>554828.44999999995</v>
      </c>
      <c r="Y5" s="72">
        <v>100427.45</v>
      </c>
      <c r="Z5" s="72">
        <v>65337.51</v>
      </c>
      <c r="AA5" s="72">
        <v>327633.94</v>
      </c>
      <c r="AB5" s="72">
        <v>439025.53</v>
      </c>
      <c r="AC5" s="72">
        <v>207398.73</v>
      </c>
      <c r="AD5" s="72">
        <v>232237.69</v>
      </c>
      <c r="AE5" s="72">
        <v>588040.49</v>
      </c>
      <c r="AF5" s="72">
        <v>863138.1</v>
      </c>
      <c r="AG5" s="72">
        <v>126523.2</v>
      </c>
      <c r="AH5" s="72">
        <v>82680.95</v>
      </c>
      <c r="AI5" s="72">
        <v>763769.38</v>
      </c>
      <c r="AJ5" s="72">
        <v>567815.52</v>
      </c>
      <c r="AK5" s="72">
        <v>413928.01</v>
      </c>
      <c r="AL5" s="72">
        <v>88558.91</v>
      </c>
      <c r="AM5" s="72">
        <v>819494.72</v>
      </c>
      <c r="AN5" s="72">
        <v>300286.76</v>
      </c>
      <c r="AO5" s="72">
        <v>349716.88</v>
      </c>
      <c r="AP5" s="72">
        <v>536413.22</v>
      </c>
      <c r="AQ5" s="72">
        <v>309494.71999999997</v>
      </c>
      <c r="AR5" s="72">
        <v>377640.93</v>
      </c>
      <c r="AS5" s="72">
        <v>167021.95000000001</v>
      </c>
      <c r="AT5" s="72">
        <v>786517.34</v>
      </c>
      <c r="AU5" s="72">
        <v>380643.44</v>
      </c>
      <c r="AV5" s="72">
        <v>120013.48</v>
      </c>
      <c r="AW5" s="72">
        <v>149836.34</v>
      </c>
      <c r="AX5" s="72">
        <v>529477.44999999995</v>
      </c>
      <c r="AY5" s="72">
        <v>145693.35</v>
      </c>
      <c r="AZ5" s="72">
        <v>619205.30000000005</v>
      </c>
      <c r="BA5" s="72">
        <v>115461.45</v>
      </c>
      <c r="BB5" s="72">
        <v>3332982.07</v>
      </c>
      <c r="BC5" s="72">
        <v>273304.08</v>
      </c>
      <c r="BD5" s="72">
        <f t="shared" ref="BD5:BD42" si="1">SUM(C5:BC5)</f>
        <v>31469284.439999998</v>
      </c>
      <c r="BE5" s="72">
        <f t="shared" ref="BE5:BE42" si="2">SUM(C5:U5)</f>
        <v>16112344.349999998</v>
      </c>
      <c r="BF5" s="72">
        <f t="shared" ref="BF5:BF42" si="3">SUM(V5:AH5)</f>
        <v>4209664.79</v>
      </c>
      <c r="BG5" s="72">
        <f t="shared" ref="BG5:BG42" si="4">SUM(AI5:BC5)</f>
        <v>11147275.299999999</v>
      </c>
    </row>
    <row r="6" spans="1:59" ht="16.5" customHeight="1" x14ac:dyDescent="0.3">
      <c r="A6" s="64"/>
      <c r="B6" s="67" t="s">
        <v>319</v>
      </c>
      <c r="C6" s="72">
        <v>13759.85</v>
      </c>
      <c r="D6" s="72">
        <v>13593.35</v>
      </c>
      <c r="E6" s="72">
        <v>457.15</v>
      </c>
      <c r="F6" s="72">
        <v>37323.65</v>
      </c>
      <c r="G6" s="72">
        <v>88349.2</v>
      </c>
      <c r="H6" s="72">
        <v>134852.91</v>
      </c>
      <c r="I6" s="72">
        <v>19712.45</v>
      </c>
      <c r="J6" s="72">
        <v>895515.76</v>
      </c>
      <c r="K6" s="72">
        <v>239507.65</v>
      </c>
      <c r="L6" s="72">
        <v>21957.3</v>
      </c>
      <c r="M6" s="72">
        <v>369544.13</v>
      </c>
      <c r="N6" s="72">
        <v>31616.2</v>
      </c>
      <c r="O6" s="72">
        <v>3077.95</v>
      </c>
      <c r="P6" s="72">
        <v>17182.47</v>
      </c>
      <c r="Q6" s="72">
        <v>5187</v>
      </c>
      <c r="R6" s="72">
        <v>26872.09</v>
      </c>
      <c r="S6" s="72">
        <v>14596.65</v>
      </c>
      <c r="T6" s="72">
        <v>26017.7</v>
      </c>
      <c r="U6" s="72">
        <v>283536.84999999998</v>
      </c>
      <c r="V6" s="72">
        <v>3709.9</v>
      </c>
      <c r="W6" s="72">
        <v>41731.35</v>
      </c>
      <c r="X6" s="72">
        <v>66046.45</v>
      </c>
      <c r="Y6" s="72">
        <v>30251.05</v>
      </c>
      <c r="Z6" s="72">
        <v>9765.1</v>
      </c>
      <c r="AA6" s="72">
        <v>56795.35</v>
      </c>
      <c r="AB6" s="72">
        <v>63148.1</v>
      </c>
      <c r="AC6" s="72">
        <v>18935</v>
      </c>
      <c r="AD6" s="72">
        <v>28092.400000000001</v>
      </c>
      <c r="AE6" s="72">
        <v>44684.21</v>
      </c>
      <c r="AF6" s="72">
        <v>105050.41</v>
      </c>
      <c r="AG6" s="72">
        <v>21247.4</v>
      </c>
      <c r="AH6" s="72">
        <v>8492.85</v>
      </c>
      <c r="AI6" s="72">
        <v>42404.1</v>
      </c>
      <c r="AJ6" s="72">
        <v>151258.48000000001</v>
      </c>
      <c r="AK6" s="72">
        <v>19176.8</v>
      </c>
      <c r="AL6" s="72">
        <v>100</v>
      </c>
      <c r="AM6" s="72">
        <v>42335.81</v>
      </c>
      <c r="AN6" s="72">
        <v>41776.699999999997</v>
      </c>
      <c r="AO6" s="72">
        <v>41186.449999999997</v>
      </c>
      <c r="AP6" s="72">
        <v>43358.3</v>
      </c>
      <c r="AQ6" s="72">
        <v>12553.5</v>
      </c>
      <c r="AR6" s="72">
        <v>28652.1</v>
      </c>
      <c r="AS6" s="72">
        <v>18711.900000000001</v>
      </c>
      <c r="AT6" s="72">
        <v>323369.59999999998</v>
      </c>
      <c r="AU6" s="72">
        <v>6932.66</v>
      </c>
      <c r="AV6" s="72">
        <v>9675.85</v>
      </c>
      <c r="AW6" s="72">
        <v>5186.45</v>
      </c>
      <c r="AX6" s="72">
        <v>50126.52</v>
      </c>
      <c r="AY6" s="72">
        <v>14196.55</v>
      </c>
      <c r="AZ6" s="72">
        <v>66153.2</v>
      </c>
      <c r="BA6" s="72">
        <v>6371.6</v>
      </c>
      <c r="BB6" s="72">
        <v>342133.74</v>
      </c>
      <c r="BC6" s="72">
        <v>17919.7</v>
      </c>
      <c r="BD6" s="72">
        <f t="shared" si="1"/>
        <v>4024189.8900000006</v>
      </c>
      <c r="BE6" s="72">
        <f t="shared" si="2"/>
        <v>2242660.3099999996</v>
      </c>
      <c r="BF6" s="72">
        <f t="shared" si="3"/>
        <v>497949.57000000007</v>
      </c>
      <c r="BG6" s="72">
        <f t="shared" si="4"/>
        <v>1283580.01</v>
      </c>
    </row>
    <row r="7" spans="1:59" ht="16.5" customHeight="1" x14ac:dyDescent="0.3">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3">
      <c r="A8" s="68" t="s">
        <v>308</v>
      </c>
      <c r="B8" s="69" t="s">
        <v>309</v>
      </c>
      <c r="C8" s="70">
        <f>C9-C10</f>
        <v>26900.25</v>
      </c>
      <c r="D8" s="70">
        <f t="shared" ref="D8:BC8" si="5">D9-D10</f>
        <v>-4446.8500000000022</v>
      </c>
      <c r="E8" s="70">
        <f t="shared" si="5"/>
        <v>43788.299999999996</v>
      </c>
      <c r="F8" s="70">
        <f t="shared" si="5"/>
        <v>992.10000000000582</v>
      </c>
      <c r="G8" s="70">
        <f t="shared" si="5"/>
        <v>-13663.910000000033</v>
      </c>
      <c r="H8" s="70">
        <f t="shared" si="5"/>
        <v>86776.06</v>
      </c>
      <c r="I8" s="70">
        <f t="shared" si="5"/>
        <v>-23362.429999999993</v>
      </c>
      <c r="J8" s="70">
        <f t="shared" si="5"/>
        <v>1994671.65</v>
      </c>
      <c r="K8" s="70">
        <f t="shared" si="5"/>
        <v>38175.850000000006</v>
      </c>
      <c r="L8" s="70">
        <f t="shared" si="5"/>
        <v>16106.2</v>
      </c>
      <c r="M8" s="70">
        <f t="shared" si="5"/>
        <v>15467.800000000047</v>
      </c>
      <c r="N8" s="70">
        <f t="shared" si="5"/>
        <v>15495.550000000003</v>
      </c>
      <c r="O8" s="70">
        <f t="shared" si="5"/>
        <v>2674.2300000000005</v>
      </c>
      <c r="P8" s="70">
        <f t="shared" si="5"/>
        <v>2335.2000000000007</v>
      </c>
      <c r="Q8" s="70">
        <f t="shared" si="5"/>
        <v>790.59999999999854</v>
      </c>
      <c r="R8" s="70">
        <f t="shared" si="5"/>
        <v>-5803.7000000000044</v>
      </c>
      <c r="S8" s="70">
        <f t="shared" si="5"/>
        <v>8826.1899999999987</v>
      </c>
      <c r="T8" s="70">
        <f t="shared" si="5"/>
        <v>-399.75</v>
      </c>
      <c r="U8" s="70">
        <f t="shared" si="5"/>
        <v>28601.690000000002</v>
      </c>
      <c r="V8" s="70">
        <f t="shared" si="5"/>
        <v>12178.650000000001</v>
      </c>
      <c r="W8" s="70">
        <f t="shared" si="5"/>
        <v>24795.050000000003</v>
      </c>
      <c r="X8" s="70">
        <f t="shared" si="5"/>
        <v>18107.380000000005</v>
      </c>
      <c r="Y8" s="70">
        <f t="shared" si="5"/>
        <v>2401.5999999999995</v>
      </c>
      <c r="Z8" s="70">
        <f t="shared" si="5"/>
        <v>-495.34999999999945</v>
      </c>
      <c r="AA8" s="70">
        <f t="shared" si="5"/>
        <v>-6618.25</v>
      </c>
      <c r="AB8" s="70">
        <f t="shared" si="5"/>
        <v>10571</v>
      </c>
      <c r="AC8" s="70">
        <f t="shared" si="5"/>
        <v>-15721.150000000001</v>
      </c>
      <c r="AD8" s="70">
        <f t="shared" si="5"/>
        <v>-6933.0999999999985</v>
      </c>
      <c r="AE8" s="70">
        <f t="shared" si="5"/>
        <v>-1991.1699999999837</v>
      </c>
      <c r="AF8" s="70">
        <f t="shared" si="5"/>
        <v>42501.050000000017</v>
      </c>
      <c r="AG8" s="70">
        <f t="shared" si="5"/>
        <v>-4007.6999999999989</v>
      </c>
      <c r="AH8" s="70">
        <f t="shared" si="5"/>
        <v>-8274.6</v>
      </c>
      <c r="AI8" s="70">
        <f t="shared" si="5"/>
        <v>32917.600000000006</v>
      </c>
      <c r="AJ8" s="70">
        <f t="shared" si="5"/>
        <v>-18242.190000000002</v>
      </c>
      <c r="AK8" s="70">
        <f t="shared" si="5"/>
        <v>48317.25</v>
      </c>
      <c r="AL8" s="70">
        <f t="shared" si="5"/>
        <v>4930.3</v>
      </c>
      <c r="AM8" s="70">
        <f t="shared" si="5"/>
        <v>50187.299999999988</v>
      </c>
      <c r="AN8" s="70">
        <f t="shared" si="5"/>
        <v>-8782.1999999999971</v>
      </c>
      <c r="AO8" s="70">
        <f t="shared" si="5"/>
        <v>23900.83</v>
      </c>
      <c r="AP8" s="70">
        <f t="shared" si="5"/>
        <v>7832.5</v>
      </c>
      <c r="AQ8" s="70">
        <f t="shared" si="5"/>
        <v>1228.4500000000044</v>
      </c>
      <c r="AR8" s="70">
        <f t="shared" si="5"/>
        <v>18417.51999999999</v>
      </c>
      <c r="AS8" s="70">
        <f t="shared" si="5"/>
        <v>10534.699999999999</v>
      </c>
      <c r="AT8" s="70">
        <f t="shared" si="5"/>
        <v>-4174.320000000007</v>
      </c>
      <c r="AU8" s="70">
        <f t="shared" si="5"/>
        <v>-16466.880000000005</v>
      </c>
      <c r="AV8" s="70">
        <f t="shared" si="5"/>
        <v>2702.7000000000007</v>
      </c>
      <c r="AW8" s="70">
        <f t="shared" si="5"/>
        <v>33460.35</v>
      </c>
      <c r="AX8" s="70">
        <f t="shared" si="5"/>
        <v>-1608.8999999999942</v>
      </c>
      <c r="AY8" s="70">
        <f t="shared" si="5"/>
        <v>-10940.079999999994</v>
      </c>
      <c r="AZ8" s="70">
        <f t="shared" si="5"/>
        <v>33103.53</v>
      </c>
      <c r="BA8" s="70">
        <f t="shared" si="5"/>
        <v>9519.6500000000015</v>
      </c>
      <c r="BB8" s="70">
        <f t="shared" si="5"/>
        <v>1124979.92</v>
      </c>
      <c r="BC8" s="70">
        <f t="shared" si="5"/>
        <v>-25096.399999999998</v>
      </c>
      <c r="BD8" s="70">
        <f t="shared" si="1"/>
        <v>3617160.07</v>
      </c>
      <c r="BE8" s="70">
        <f t="shared" si="2"/>
        <v>2233925.0300000003</v>
      </c>
      <c r="BF8" s="70">
        <f t="shared" si="3"/>
        <v>66513.410000000047</v>
      </c>
      <c r="BG8" s="70">
        <f t="shared" si="4"/>
        <v>1316721.6300000001</v>
      </c>
    </row>
    <row r="9" spans="1:59" ht="16.5" customHeight="1" x14ac:dyDescent="0.3">
      <c r="A9" s="64"/>
      <c r="B9" s="67" t="s">
        <v>318</v>
      </c>
      <c r="C9" s="4">
        <v>78596.95</v>
      </c>
      <c r="D9" s="4">
        <v>16183.55</v>
      </c>
      <c r="E9" s="4">
        <v>68165.149999999994</v>
      </c>
      <c r="F9" s="4">
        <v>124413.85</v>
      </c>
      <c r="G9" s="4">
        <v>293636.3</v>
      </c>
      <c r="H9" s="4">
        <v>373976.74</v>
      </c>
      <c r="I9" s="4">
        <v>196874.1</v>
      </c>
      <c r="J9" s="4">
        <v>4035627.25</v>
      </c>
      <c r="K9" s="4">
        <v>127788.05</v>
      </c>
      <c r="L9" s="4">
        <v>17301.400000000001</v>
      </c>
      <c r="M9" s="4">
        <v>596548.55000000005</v>
      </c>
      <c r="N9" s="4">
        <v>63240.75</v>
      </c>
      <c r="O9" s="4">
        <v>10462.030000000001</v>
      </c>
      <c r="P9" s="4">
        <v>19285.3</v>
      </c>
      <c r="Q9" s="4">
        <v>18069.3</v>
      </c>
      <c r="R9" s="4">
        <v>44274.95</v>
      </c>
      <c r="S9" s="4">
        <v>31725.39</v>
      </c>
      <c r="T9" s="4">
        <v>47457.55</v>
      </c>
      <c r="U9" s="4">
        <v>255803.54</v>
      </c>
      <c r="V9" s="4">
        <v>27080.7</v>
      </c>
      <c r="W9" s="4">
        <v>112532.8</v>
      </c>
      <c r="X9" s="4">
        <v>120737.96</v>
      </c>
      <c r="Y9" s="4">
        <v>4168.1499999999996</v>
      </c>
      <c r="Z9" s="4">
        <v>8091.3</v>
      </c>
      <c r="AA9" s="4">
        <v>88967.35</v>
      </c>
      <c r="AB9" s="4">
        <v>75835.55</v>
      </c>
      <c r="AC9" s="4">
        <v>34839.42</v>
      </c>
      <c r="AD9" s="4">
        <v>37968.15</v>
      </c>
      <c r="AE9" s="4">
        <v>184008.63</v>
      </c>
      <c r="AF9" s="4">
        <v>238139.7</v>
      </c>
      <c r="AG9" s="4">
        <v>9503.4500000000007</v>
      </c>
      <c r="AH9" s="4">
        <v>10482.4</v>
      </c>
      <c r="AI9" s="4">
        <v>149932.35</v>
      </c>
      <c r="AJ9" s="4">
        <v>99363.26</v>
      </c>
      <c r="AK9" s="4">
        <v>104443.55</v>
      </c>
      <c r="AL9" s="4">
        <v>12151.25</v>
      </c>
      <c r="AM9" s="4">
        <v>133390.65</v>
      </c>
      <c r="AN9" s="4">
        <v>44933</v>
      </c>
      <c r="AO9" s="4">
        <v>64023.33</v>
      </c>
      <c r="AP9" s="4">
        <v>173920.2</v>
      </c>
      <c r="AQ9" s="4">
        <v>49859.37</v>
      </c>
      <c r="AR9" s="4">
        <v>107461.4</v>
      </c>
      <c r="AS9" s="4">
        <v>23398.35</v>
      </c>
      <c r="AT9" s="4">
        <v>102599.67999999999</v>
      </c>
      <c r="AU9" s="4">
        <v>40009.919999999998</v>
      </c>
      <c r="AV9" s="4">
        <v>24859.05</v>
      </c>
      <c r="AW9" s="4">
        <v>52451.5</v>
      </c>
      <c r="AX9" s="4">
        <v>114584.05</v>
      </c>
      <c r="AY9" s="4">
        <v>33259.120000000003</v>
      </c>
      <c r="AZ9" s="4">
        <v>132309.03</v>
      </c>
      <c r="BA9" s="4">
        <v>23214.15</v>
      </c>
      <c r="BB9" s="4">
        <v>2247718.38</v>
      </c>
      <c r="BC9" s="4">
        <v>30851.8</v>
      </c>
      <c r="BD9" s="72">
        <f t="shared" si="1"/>
        <v>11136519.650000002</v>
      </c>
      <c r="BE9" s="72">
        <f t="shared" si="2"/>
        <v>6419430.7000000002</v>
      </c>
      <c r="BF9" s="72">
        <f t="shared" si="3"/>
        <v>952355.55999999994</v>
      </c>
      <c r="BG9" s="72">
        <f t="shared" si="4"/>
        <v>3764733.3899999997</v>
      </c>
    </row>
    <row r="10" spans="1:59" ht="16.5" customHeight="1" x14ac:dyDescent="0.3">
      <c r="A10" s="64"/>
      <c r="B10" s="67" t="s">
        <v>319</v>
      </c>
      <c r="C10" s="4">
        <v>51696.7</v>
      </c>
      <c r="D10" s="4">
        <v>20630.400000000001</v>
      </c>
      <c r="E10" s="4">
        <v>24376.85</v>
      </c>
      <c r="F10" s="4">
        <v>123421.75</v>
      </c>
      <c r="G10" s="4">
        <v>307300.21000000002</v>
      </c>
      <c r="H10" s="4">
        <v>287200.68</v>
      </c>
      <c r="I10" s="4">
        <v>220236.53</v>
      </c>
      <c r="J10" s="4">
        <v>2040955.6</v>
      </c>
      <c r="K10" s="4">
        <v>89612.2</v>
      </c>
      <c r="L10" s="4">
        <v>1195.2</v>
      </c>
      <c r="M10" s="4">
        <v>581080.75</v>
      </c>
      <c r="N10" s="4">
        <v>47745.2</v>
      </c>
      <c r="O10" s="4">
        <v>7787.8</v>
      </c>
      <c r="P10" s="4">
        <v>16950.099999999999</v>
      </c>
      <c r="Q10" s="4">
        <v>17278.7</v>
      </c>
      <c r="R10" s="4">
        <v>50078.65</v>
      </c>
      <c r="S10" s="4">
        <v>22899.200000000001</v>
      </c>
      <c r="T10" s="4">
        <v>47857.3</v>
      </c>
      <c r="U10" s="4">
        <v>227201.85</v>
      </c>
      <c r="V10" s="4">
        <v>14902.05</v>
      </c>
      <c r="W10" s="4">
        <v>87737.75</v>
      </c>
      <c r="X10" s="4">
        <v>102630.58</v>
      </c>
      <c r="Y10" s="4">
        <v>1766.55</v>
      </c>
      <c r="Z10" s="4">
        <v>8586.65</v>
      </c>
      <c r="AA10" s="4">
        <v>95585.600000000006</v>
      </c>
      <c r="AB10" s="4">
        <v>65264.55</v>
      </c>
      <c r="AC10" s="4">
        <v>50560.57</v>
      </c>
      <c r="AD10" s="4">
        <v>44901.25</v>
      </c>
      <c r="AE10" s="4">
        <v>185999.8</v>
      </c>
      <c r="AF10" s="4">
        <v>195638.65</v>
      </c>
      <c r="AG10" s="4">
        <v>13511.15</v>
      </c>
      <c r="AH10" s="4">
        <v>18757</v>
      </c>
      <c r="AI10" s="4">
        <v>117014.75</v>
      </c>
      <c r="AJ10" s="4">
        <v>117605.45</v>
      </c>
      <c r="AK10" s="4">
        <v>56126.3</v>
      </c>
      <c r="AL10" s="4">
        <v>7220.95</v>
      </c>
      <c r="AM10" s="4">
        <v>83203.350000000006</v>
      </c>
      <c r="AN10" s="4">
        <v>53715.199999999997</v>
      </c>
      <c r="AO10" s="4">
        <v>40122.5</v>
      </c>
      <c r="AP10" s="4">
        <v>166087.70000000001</v>
      </c>
      <c r="AQ10" s="4">
        <v>48630.92</v>
      </c>
      <c r="AR10" s="4">
        <v>89043.88</v>
      </c>
      <c r="AS10" s="4">
        <v>12863.65</v>
      </c>
      <c r="AT10" s="4">
        <v>106774</v>
      </c>
      <c r="AU10" s="4">
        <v>56476.800000000003</v>
      </c>
      <c r="AV10" s="4">
        <v>22156.35</v>
      </c>
      <c r="AW10" s="4">
        <v>18991.150000000001</v>
      </c>
      <c r="AX10" s="4">
        <v>116192.95</v>
      </c>
      <c r="AY10" s="4">
        <v>44199.199999999997</v>
      </c>
      <c r="AZ10" s="4">
        <v>99205.5</v>
      </c>
      <c r="BA10" s="4">
        <v>13694.5</v>
      </c>
      <c r="BB10" s="4">
        <v>1122738.46</v>
      </c>
      <c r="BC10" s="4">
        <v>55948.2</v>
      </c>
      <c r="BD10" s="72">
        <f t="shared" si="1"/>
        <v>7519359.5800000019</v>
      </c>
      <c r="BE10" s="72">
        <f t="shared" si="2"/>
        <v>4185505.6700000009</v>
      </c>
      <c r="BF10" s="72">
        <f t="shared" si="3"/>
        <v>885842.15</v>
      </c>
      <c r="BG10" s="72">
        <f t="shared" si="4"/>
        <v>2448011.7600000002</v>
      </c>
    </row>
    <row r="11" spans="1:59" ht="16.5" customHeight="1" x14ac:dyDescent="0.3">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3">
      <c r="A12" s="71">
        <v>2</v>
      </c>
      <c r="B12" s="69" t="s">
        <v>310</v>
      </c>
      <c r="C12" s="70">
        <f>C13-C14</f>
        <v>1212290.8599999999</v>
      </c>
      <c r="D12" s="70">
        <f t="shared" ref="D12:BC12" si="6">D13-D14</f>
        <v>329798.64999999997</v>
      </c>
      <c r="E12" s="70">
        <f t="shared" si="6"/>
        <v>642346.32000000007</v>
      </c>
      <c r="F12" s="70">
        <f t="shared" si="6"/>
        <v>586778.91</v>
      </c>
      <c r="G12" s="70">
        <f t="shared" si="6"/>
        <v>4626017.7</v>
      </c>
      <c r="H12" s="70">
        <f t="shared" si="6"/>
        <v>4366077.4300000006</v>
      </c>
      <c r="I12" s="70">
        <f t="shared" si="6"/>
        <v>3443468.33</v>
      </c>
      <c r="J12" s="70">
        <f t="shared" si="6"/>
        <v>16449187.390000001</v>
      </c>
      <c r="K12" s="70">
        <f t="shared" si="6"/>
        <v>1862499.76</v>
      </c>
      <c r="L12" s="70">
        <f t="shared" si="6"/>
        <v>140899.30000000002</v>
      </c>
      <c r="M12" s="70">
        <f t="shared" si="6"/>
        <v>9143787.370000001</v>
      </c>
      <c r="N12" s="70">
        <f t="shared" si="6"/>
        <v>737545.34000000008</v>
      </c>
      <c r="O12" s="70">
        <f t="shared" si="6"/>
        <v>139384.34</v>
      </c>
      <c r="P12" s="70">
        <f t="shared" si="6"/>
        <v>554251.1</v>
      </c>
      <c r="Q12" s="70">
        <f t="shared" si="6"/>
        <v>445478.29999999993</v>
      </c>
      <c r="R12" s="70">
        <f t="shared" si="6"/>
        <v>973384.4</v>
      </c>
      <c r="S12" s="70">
        <f t="shared" si="6"/>
        <v>311006.56</v>
      </c>
      <c r="T12" s="70">
        <f t="shared" si="6"/>
        <v>527678.1</v>
      </c>
      <c r="U12" s="70">
        <f t="shared" si="6"/>
        <v>4260307.04</v>
      </c>
      <c r="V12" s="70">
        <f t="shared" si="6"/>
        <v>363193.08</v>
      </c>
      <c r="W12" s="70">
        <f t="shared" si="6"/>
        <v>1585180.39</v>
      </c>
      <c r="X12" s="70">
        <f t="shared" si="6"/>
        <v>1900169.0099999998</v>
      </c>
      <c r="Y12" s="70">
        <f t="shared" si="6"/>
        <v>145136.65999999997</v>
      </c>
      <c r="Z12" s="70">
        <f t="shared" si="6"/>
        <v>182605.25</v>
      </c>
      <c r="AA12" s="70">
        <f t="shared" si="6"/>
        <v>666878.19000000006</v>
      </c>
      <c r="AB12" s="70">
        <f t="shared" si="6"/>
        <v>878680.95</v>
      </c>
      <c r="AC12" s="70">
        <f t="shared" si="6"/>
        <v>726807.7</v>
      </c>
      <c r="AD12" s="70">
        <f t="shared" si="6"/>
        <v>666368.32999999996</v>
      </c>
      <c r="AE12" s="70">
        <f t="shared" si="6"/>
        <v>2673934.04</v>
      </c>
      <c r="AF12" s="70">
        <f t="shared" si="6"/>
        <v>3468644.54</v>
      </c>
      <c r="AG12" s="70">
        <f t="shared" si="6"/>
        <v>271906.27</v>
      </c>
      <c r="AH12" s="70">
        <f t="shared" si="6"/>
        <v>137494.65</v>
      </c>
      <c r="AI12" s="70">
        <f t="shared" si="6"/>
        <v>2390084.35</v>
      </c>
      <c r="AJ12" s="70">
        <f t="shared" si="6"/>
        <v>1512385.44</v>
      </c>
      <c r="AK12" s="70">
        <f t="shared" si="6"/>
        <v>1658435.8499999999</v>
      </c>
      <c r="AL12" s="70">
        <f t="shared" si="6"/>
        <v>127471.42</v>
      </c>
      <c r="AM12" s="70">
        <f t="shared" si="6"/>
        <v>1711743.23</v>
      </c>
      <c r="AN12" s="70">
        <f t="shared" si="6"/>
        <v>797750.15</v>
      </c>
      <c r="AO12" s="70">
        <f t="shared" si="6"/>
        <v>893284.9</v>
      </c>
      <c r="AP12" s="70">
        <f t="shared" si="6"/>
        <v>1614355.56</v>
      </c>
      <c r="AQ12" s="70">
        <f t="shared" si="6"/>
        <v>980297.69</v>
      </c>
      <c r="AR12" s="70">
        <f t="shared" si="6"/>
        <v>1353785.89</v>
      </c>
      <c r="AS12" s="70">
        <f t="shared" si="6"/>
        <v>359803.06999999995</v>
      </c>
      <c r="AT12" s="70">
        <f t="shared" si="6"/>
        <v>2997392.9499999997</v>
      </c>
      <c r="AU12" s="70">
        <f t="shared" si="6"/>
        <v>1020726.72</v>
      </c>
      <c r="AV12" s="70">
        <f t="shared" si="6"/>
        <v>237032.14</v>
      </c>
      <c r="AW12" s="70">
        <f t="shared" si="6"/>
        <v>439078.29</v>
      </c>
      <c r="AX12" s="70">
        <f t="shared" si="6"/>
        <v>2344553.41</v>
      </c>
      <c r="AY12" s="70">
        <f t="shared" si="6"/>
        <v>495653.82</v>
      </c>
      <c r="AZ12" s="70">
        <f t="shared" si="6"/>
        <v>1385738.32</v>
      </c>
      <c r="BA12" s="70">
        <f t="shared" si="6"/>
        <v>208205.36</v>
      </c>
      <c r="BB12" s="70">
        <f t="shared" si="6"/>
        <v>7952657.3300000001</v>
      </c>
      <c r="BC12" s="70">
        <f t="shared" si="6"/>
        <v>680909.1</v>
      </c>
      <c r="BD12" s="70">
        <f t="shared" si="1"/>
        <v>95580531.25</v>
      </c>
      <c r="BE12" s="70">
        <f t="shared" si="2"/>
        <v>50752187.200000018</v>
      </c>
      <c r="BF12" s="70">
        <f t="shared" si="3"/>
        <v>13666999.060000001</v>
      </c>
      <c r="BG12" s="70">
        <f t="shared" si="4"/>
        <v>31161344.990000002</v>
      </c>
    </row>
    <row r="13" spans="1:59" ht="16.5" customHeight="1" x14ac:dyDescent="0.3">
      <c r="A13" s="65"/>
      <c r="B13" s="67" t="s">
        <v>318</v>
      </c>
      <c r="C13" s="72">
        <v>1241073.3899999999</v>
      </c>
      <c r="D13" s="72">
        <v>341024.8</v>
      </c>
      <c r="E13" s="72">
        <v>684189.42</v>
      </c>
      <c r="F13" s="72">
        <v>609316.4</v>
      </c>
      <c r="G13" s="72">
        <v>5089275</v>
      </c>
      <c r="H13" s="72">
        <v>4477440.4800000004</v>
      </c>
      <c r="I13" s="72">
        <v>3468818.08</v>
      </c>
      <c r="J13" s="72">
        <v>17636051.370000001</v>
      </c>
      <c r="K13" s="72">
        <v>1906815.51</v>
      </c>
      <c r="L13" s="72">
        <v>141092.35</v>
      </c>
      <c r="M13" s="72">
        <v>9606352.9700000007</v>
      </c>
      <c r="N13" s="72">
        <v>766894.54</v>
      </c>
      <c r="O13" s="72">
        <v>142196.99</v>
      </c>
      <c r="P13" s="72">
        <v>570634.1</v>
      </c>
      <c r="Q13" s="72">
        <v>525222.94999999995</v>
      </c>
      <c r="R13" s="72">
        <v>1030539.4</v>
      </c>
      <c r="S13" s="72">
        <v>341656.06</v>
      </c>
      <c r="T13" s="72">
        <v>717403.1</v>
      </c>
      <c r="U13" s="72">
        <v>4608618.53</v>
      </c>
      <c r="V13" s="72">
        <v>422041.33</v>
      </c>
      <c r="W13" s="72">
        <v>1679553.95</v>
      </c>
      <c r="X13" s="72">
        <v>2525529.8199999998</v>
      </c>
      <c r="Y13" s="72">
        <v>187729.86</v>
      </c>
      <c r="Z13" s="72">
        <v>182829.25</v>
      </c>
      <c r="AA13" s="72">
        <v>729845.89</v>
      </c>
      <c r="AB13" s="72">
        <v>1206049.2</v>
      </c>
      <c r="AC13" s="72">
        <v>866705.65</v>
      </c>
      <c r="AD13" s="72">
        <v>676867.33</v>
      </c>
      <c r="AE13" s="72">
        <v>2776229.29</v>
      </c>
      <c r="AF13" s="72">
        <v>3557428.79</v>
      </c>
      <c r="AG13" s="72">
        <v>290202.07</v>
      </c>
      <c r="AH13" s="72">
        <v>137494.65</v>
      </c>
      <c r="AI13" s="72">
        <v>2418661.9</v>
      </c>
      <c r="AJ13" s="72">
        <v>1602463.74</v>
      </c>
      <c r="AK13" s="72">
        <v>1857587.4</v>
      </c>
      <c r="AL13" s="72">
        <v>127538.42</v>
      </c>
      <c r="AM13" s="72">
        <v>1738093.18</v>
      </c>
      <c r="AN13" s="72">
        <v>882594.05</v>
      </c>
      <c r="AO13" s="72">
        <v>895835.35</v>
      </c>
      <c r="AP13" s="72">
        <v>1856319.36</v>
      </c>
      <c r="AQ13" s="72">
        <v>1125920.51</v>
      </c>
      <c r="AR13" s="72">
        <v>1381401.49</v>
      </c>
      <c r="AS13" s="72">
        <v>361862.72</v>
      </c>
      <c r="AT13" s="72">
        <v>3066781.65</v>
      </c>
      <c r="AU13" s="72">
        <v>1074309.17</v>
      </c>
      <c r="AV13" s="72">
        <v>237369.14</v>
      </c>
      <c r="AW13" s="72">
        <v>442293.69</v>
      </c>
      <c r="AX13" s="72">
        <v>2466827.41</v>
      </c>
      <c r="AY13" s="72">
        <v>711655.12</v>
      </c>
      <c r="AZ13" s="72">
        <v>1424054.47</v>
      </c>
      <c r="BA13" s="72">
        <v>208429.36</v>
      </c>
      <c r="BB13" s="72">
        <v>8518409.7599999998</v>
      </c>
      <c r="BC13" s="72">
        <v>781849.5</v>
      </c>
      <c r="BD13" s="72">
        <f t="shared" si="1"/>
        <v>102323379.91000003</v>
      </c>
      <c r="BE13" s="72">
        <f t="shared" si="2"/>
        <v>53904615.440000013</v>
      </c>
      <c r="BF13" s="72">
        <f t="shared" si="3"/>
        <v>15238507.08</v>
      </c>
      <c r="BG13" s="72">
        <f t="shared" si="4"/>
        <v>33180257.390000001</v>
      </c>
    </row>
    <row r="14" spans="1:59" ht="16.5" customHeight="1" x14ac:dyDescent="0.3">
      <c r="A14" s="65"/>
      <c r="B14" s="67" t="s">
        <v>319</v>
      </c>
      <c r="C14" s="72">
        <v>28782.53</v>
      </c>
      <c r="D14" s="72">
        <v>11226.15</v>
      </c>
      <c r="E14" s="72">
        <v>41843.1</v>
      </c>
      <c r="F14" s="72">
        <v>22537.49</v>
      </c>
      <c r="G14" s="72">
        <v>463257.3</v>
      </c>
      <c r="H14" s="72">
        <v>111363.05</v>
      </c>
      <c r="I14" s="72">
        <v>25349.75</v>
      </c>
      <c r="J14" s="72">
        <v>1186863.98</v>
      </c>
      <c r="K14" s="72">
        <v>44315.75</v>
      </c>
      <c r="L14" s="72">
        <v>193.05</v>
      </c>
      <c r="M14" s="72">
        <v>462565.6</v>
      </c>
      <c r="N14" s="72">
        <v>29349.200000000001</v>
      </c>
      <c r="O14" s="72">
        <v>2812.65</v>
      </c>
      <c r="P14" s="72">
        <v>16383</v>
      </c>
      <c r="Q14" s="72">
        <v>79744.649999999994</v>
      </c>
      <c r="R14" s="72">
        <v>57155</v>
      </c>
      <c r="S14" s="72">
        <v>30649.5</v>
      </c>
      <c r="T14" s="72">
        <v>189725</v>
      </c>
      <c r="U14" s="72">
        <v>348311.49</v>
      </c>
      <c r="V14" s="72">
        <v>58848.25</v>
      </c>
      <c r="W14" s="72">
        <v>94373.56</v>
      </c>
      <c r="X14" s="72">
        <v>625360.81000000006</v>
      </c>
      <c r="Y14" s="72">
        <v>42593.2</v>
      </c>
      <c r="Z14" s="72">
        <v>224</v>
      </c>
      <c r="AA14" s="72">
        <v>62967.7</v>
      </c>
      <c r="AB14" s="72">
        <v>327368.25</v>
      </c>
      <c r="AC14" s="72">
        <v>139897.95000000001</v>
      </c>
      <c r="AD14" s="72">
        <v>10499</v>
      </c>
      <c r="AE14" s="72">
        <v>102295.25</v>
      </c>
      <c r="AF14" s="72">
        <v>88784.25</v>
      </c>
      <c r="AG14" s="72">
        <v>18295.8</v>
      </c>
      <c r="AH14" s="72">
        <v>0</v>
      </c>
      <c r="AI14" s="72">
        <v>28577.55</v>
      </c>
      <c r="AJ14" s="72">
        <v>90078.3</v>
      </c>
      <c r="AK14" s="72">
        <v>199151.55</v>
      </c>
      <c r="AL14" s="72">
        <v>67</v>
      </c>
      <c r="AM14" s="72">
        <v>26349.95</v>
      </c>
      <c r="AN14" s="72">
        <v>84843.9</v>
      </c>
      <c r="AO14" s="72">
        <v>2550.4499999999998</v>
      </c>
      <c r="AP14" s="72">
        <v>241963.8</v>
      </c>
      <c r="AQ14" s="72">
        <v>145622.82</v>
      </c>
      <c r="AR14" s="72">
        <v>27615.599999999999</v>
      </c>
      <c r="AS14" s="72">
        <v>2059.65</v>
      </c>
      <c r="AT14" s="72">
        <v>69388.7</v>
      </c>
      <c r="AU14" s="72">
        <v>53582.45</v>
      </c>
      <c r="AV14" s="72">
        <v>337</v>
      </c>
      <c r="AW14" s="72">
        <v>3215.4</v>
      </c>
      <c r="AX14" s="72">
        <v>122274</v>
      </c>
      <c r="AY14" s="72">
        <v>216001.3</v>
      </c>
      <c r="AZ14" s="72">
        <v>38316.15</v>
      </c>
      <c r="BA14" s="72">
        <v>224</v>
      </c>
      <c r="BB14" s="72">
        <v>565752.43000000005</v>
      </c>
      <c r="BC14" s="72">
        <v>100940.4</v>
      </c>
      <c r="BD14" s="72">
        <f t="shared" si="1"/>
        <v>6742848.660000002</v>
      </c>
      <c r="BE14" s="72">
        <f t="shared" si="2"/>
        <v>3152428.24</v>
      </c>
      <c r="BF14" s="72">
        <f t="shared" si="3"/>
        <v>1571508.02</v>
      </c>
      <c r="BG14" s="72">
        <f t="shared" si="4"/>
        <v>2018912.4</v>
      </c>
    </row>
    <row r="15" spans="1:59" ht="16.5" customHeight="1" x14ac:dyDescent="0.3">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3">
      <c r="A16" s="71">
        <v>3</v>
      </c>
      <c r="B16" s="69" t="s">
        <v>311</v>
      </c>
      <c r="C16" s="70">
        <f>C17-C18</f>
        <v>21824</v>
      </c>
      <c r="D16" s="70">
        <f t="shared" ref="D16:BC16" si="7">D17-D18</f>
        <v>7238.0999999999985</v>
      </c>
      <c r="E16" s="70">
        <f t="shared" si="7"/>
        <v>5439</v>
      </c>
      <c r="F16" s="70">
        <f t="shared" si="7"/>
        <v>8685.65</v>
      </c>
      <c r="G16" s="70">
        <f t="shared" si="7"/>
        <v>129013.36</v>
      </c>
      <c r="H16" s="70">
        <f t="shared" si="7"/>
        <v>152399.41</v>
      </c>
      <c r="I16" s="70">
        <f t="shared" si="7"/>
        <v>283259.89</v>
      </c>
      <c r="J16" s="70">
        <f t="shared" si="7"/>
        <v>4709971.33</v>
      </c>
      <c r="K16" s="70">
        <f t="shared" si="7"/>
        <v>56087.94</v>
      </c>
      <c r="L16" s="70">
        <f t="shared" si="7"/>
        <v>0</v>
      </c>
      <c r="M16" s="70">
        <f t="shared" si="7"/>
        <v>670353.80999999994</v>
      </c>
      <c r="N16" s="70">
        <f t="shared" si="7"/>
        <v>14160</v>
      </c>
      <c r="O16" s="70">
        <f t="shared" si="7"/>
        <v>2315.8500000000004</v>
      </c>
      <c r="P16" s="70">
        <f t="shared" si="7"/>
        <v>16708.2</v>
      </c>
      <c r="Q16" s="70">
        <f t="shared" si="7"/>
        <v>35149.75</v>
      </c>
      <c r="R16" s="70">
        <f t="shared" si="7"/>
        <v>18911.05</v>
      </c>
      <c r="S16" s="70">
        <f t="shared" si="7"/>
        <v>22789.8</v>
      </c>
      <c r="T16" s="70">
        <f t="shared" si="7"/>
        <v>71678.799999999988</v>
      </c>
      <c r="U16" s="70">
        <f t="shared" si="7"/>
        <v>82950.649999999994</v>
      </c>
      <c r="V16" s="70">
        <f t="shared" si="7"/>
        <v>25401.15</v>
      </c>
      <c r="W16" s="70">
        <f t="shared" si="7"/>
        <v>322089</v>
      </c>
      <c r="X16" s="70">
        <f t="shared" si="7"/>
        <v>361805.15</v>
      </c>
      <c r="Y16" s="70">
        <f t="shared" si="7"/>
        <v>3625.45</v>
      </c>
      <c r="Z16" s="70">
        <f t="shared" si="7"/>
        <v>13378</v>
      </c>
      <c r="AA16" s="70">
        <f t="shared" si="7"/>
        <v>124487.74999999999</v>
      </c>
      <c r="AB16" s="70">
        <f t="shared" si="7"/>
        <v>50559.249999999993</v>
      </c>
      <c r="AC16" s="70">
        <f t="shared" si="7"/>
        <v>44122.35</v>
      </c>
      <c r="AD16" s="70">
        <f t="shared" si="7"/>
        <v>33866.449999999997</v>
      </c>
      <c r="AE16" s="70">
        <f t="shared" si="7"/>
        <v>207510.33000000002</v>
      </c>
      <c r="AF16" s="70">
        <f t="shared" si="7"/>
        <v>475587.55</v>
      </c>
      <c r="AG16" s="70">
        <f t="shared" si="7"/>
        <v>13519.15</v>
      </c>
      <c r="AH16" s="70">
        <f t="shared" si="7"/>
        <v>6752.45</v>
      </c>
      <c r="AI16" s="70">
        <f t="shared" si="7"/>
        <v>69018.45</v>
      </c>
      <c r="AJ16" s="70">
        <f t="shared" si="7"/>
        <v>47327.97</v>
      </c>
      <c r="AK16" s="70">
        <f t="shared" si="7"/>
        <v>46844.95</v>
      </c>
      <c r="AL16" s="70">
        <f t="shared" si="7"/>
        <v>4200.2</v>
      </c>
      <c r="AM16" s="70">
        <f t="shared" si="7"/>
        <v>748695.88</v>
      </c>
      <c r="AN16" s="70">
        <f t="shared" si="7"/>
        <v>35555.25</v>
      </c>
      <c r="AO16" s="70">
        <f t="shared" si="7"/>
        <v>19740.3</v>
      </c>
      <c r="AP16" s="70">
        <f t="shared" si="7"/>
        <v>82099.8</v>
      </c>
      <c r="AQ16" s="70">
        <f t="shared" si="7"/>
        <v>31710.639999999996</v>
      </c>
      <c r="AR16" s="70">
        <f t="shared" si="7"/>
        <v>30812.55</v>
      </c>
      <c r="AS16" s="70">
        <f t="shared" si="7"/>
        <v>15882.6</v>
      </c>
      <c r="AT16" s="70">
        <f t="shared" si="7"/>
        <v>207284.75</v>
      </c>
      <c r="AU16" s="70">
        <f t="shared" si="7"/>
        <v>43587.8</v>
      </c>
      <c r="AV16" s="70">
        <f t="shared" si="7"/>
        <v>4659.75</v>
      </c>
      <c r="AW16" s="70">
        <f t="shared" si="7"/>
        <v>125085.65</v>
      </c>
      <c r="AX16" s="70">
        <f t="shared" si="7"/>
        <v>120187.5</v>
      </c>
      <c r="AY16" s="70">
        <f t="shared" si="7"/>
        <v>13827.05</v>
      </c>
      <c r="AZ16" s="70">
        <f t="shared" si="7"/>
        <v>138368.51999999999</v>
      </c>
      <c r="BA16" s="70">
        <f t="shared" si="7"/>
        <v>4184.3500000000004</v>
      </c>
      <c r="BB16" s="70">
        <f t="shared" si="7"/>
        <v>3034546.78</v>
      </c>
      <c r="BC16" s="70">
        <f t="shared" si="7"/>
        <v>98232.37</v>
      </c>
      <c r="BD16" s="70">
        <f t="shared" si="1"/>
        <v>12913493.730000004</v>
      </c>
      <c r="BE16" s="70">
        <f t="shared" si="2"/>
        <v>6308936.5899999999</v>
      </c>
      <c r="BF16" s="70">
        <f t="shared" si="3"/>
        <v>1682704.0299999998</v>
      </c>
      <c r="BG16" s="70">
        <f t="shared" si="4"/>
        <v>4921853.1100000003</v>
      </c>
    </row>
    <row r="17" spans="1:59" ht="16.5" customHeight="1" x14ac:dyDescent="0.3">
      <c r="A17" s="65"/>
      <c r="B17" s="67" t="s">
        <v>318</v>
      </c>
      <c r="C17" s="4">
        <v>21824</v>
      </c>
      <c r="D17" s="4">
        <v>21688.1</v>
      </c>
      <c r="E17" s="4">
        <v>57977.2</v>
      </c>
      <c r="F17" s="4">
        <v>8685.65</v>
      </c>
      <c r="G17" s="4">
        <v>130013.36</v>
      </c>
      <c r="H17" s="4">
        <v>196052.76</v>
      </c>
      <c r="I17" s="4">
        <v>315309.89</v>
      </c>
      <c r="J17" s="4">
        <v>5654955.5800000001</v>
      </c>
      <c r="K17" s="4">
        <v>66389.94</v>
      </c>
      <c r="L17" s="4">
        <v>0</v>
      </c>
      <c r="M17" s="4">
        <v>761298.6</v>
      </c>
      <c r="N17" s="4">
        <v>14160</v>
      </c>
      <c r="O17" s="4">
        <v>6179.85</v>
      </c>
      <c r="P17" s="4">
        <v>17130.2</v>
      </c>
      <c r="Q17" s="4">
        <v>36142.75</v>
      </c>
      <c r="R17" s="4">
        <v>19321.05</v>
      </c>
      <c r="S17" s="4">
        <v>22789.8</v>
      </c>
      <c r="T17" s="4">
        <v>98391.15</v>
      </c>
      <c r="U17" s="4">
        <v>86010.65</v>
      </c>
      <c r="V17" s="4">
        <v>25401.15</v>
      </c>
      <c r="W17" s="4">
        <v>338198.25</v>
      </c>
      <c r="X17" s="4">
        <v>372314.75</v>
      </c>
      <c r="Y17" s="4">
        <v>3625.45</v>
      </c>
      <c r="Z17" s="4">
        <v>13378</v>
      </c>
      <c r="AA17" s="4">
        <v>158672.04999999999</v>
      </c>
      <c r="AB17" s="4">
        <v>82457.899999999994</v>
      </c>
      <c r="AC17" s="4">
        <v>44122.35</v>
      </c>
      <c r="AD17" s="4">
        <v>33866.449999999997</v>
      </c>
      <c r="AE17" s="4">
        <v>218807.63</v>
      </c>
      <c r="AF17" s="4">
        <v>475587.55</v>
      </c>
      <c r="AG17" s="4">
        <v>13519.15</v>
      </c>
      <c r="AH17" s="4">
        <v>6752.45</v>
      </c>
      <c r="AI17" s="4">
        <v>69018.45</v>
      </c>
      <c r="AJ17" s="4">
        <v>49802.97</v>
      </c>
      <c r="AK17" s="4">
        <v>54604.95</v>
      </c>
      <c r="AL17" s="4">
        <v>4680.2</v>
      </c>
      <c r="AM17" s="4">
        <v>830970.88</v>
      </c>
      <c r="AN17" s="4">
        <v>41287.25</v>
      </c>
      <c r="AO17" s="4">
        <v>19740.3</v>
      </c>
      <c r="AP17" s="4">
        <v>82299.8</v>
      </c>
      <c r="AQ17" s="4">
        <v>53831.45</v>
      </c>
      <c r="AR17" s="4">
        <v>32306.55</v>
      </c>
      <c r="AS17" s="4">
        <v>15882.6</v>
      </c>
      <c r="AT17" s="4">
        <v>215090.15</v>
      </c>
      <c r="AU17" s="4">
        <v>47517.8</v>
      </c>
      <c r="AV17" s="4">
        <v>6269.75</v>
      </c>
      <c r="AW17" s="4">
        <v>130311.65</v>
      </c>
      <c r="AX17" s="4">
        <v>125362.5</v>
      </c>
      <c r="AY17" s="4">
        <v>14027.05</v>
      </c>
      <c r="AZ17" s="4">
        <v>143676.51999999999</v>
      </c>
      <c r="BA17" s="4">
        <v>4184.3500000000004</v>
      </c>
      <c r="BB17" s="4">
        <v>3604396.36</v>
      </c>
      <c r="BC17" s="4">
        <v>119249.87</v>
      </c>
      <c r="BD17" s="72">
        <f t="shared" si="1"/>
        <v>14985535.060000002</v>
      </c>
      <c r="BE17" s="72">
        <f t="shared" si="2"/>
        <v>7534320.5300000003</v>
      </c>
      <c r="BF17" s="72">
        <f t="shared" si="3"/>
        <v>1786703.13</v>
      </c>
      <c r="BG17" s="72">
        <f t="shared" si="4"/>
        <v>5664511.4000000004</v>
      </c>
    </row>
    <row r="18" spans="1:59" ht="16.5" customHeight="1" x14ac:dyDescent="0.3">
      <c r="A18" s="65"/>
      <c r="B18" s="67" t="s">
        <v>319</v>
      </c>
      <c r="C18" s="4">
        <v>0</v>
      </c>
      <c r="D18" s="4">
        <v>14450</v>
      </c>
      <c r="E18" s="4">
        <v>52538.2</v>
      </c>
      <c r="F18" s="4">
        <v>0</v>
      </c>
      <c r="G18" s="4">
        <v>1000</v>
      </c>
      <c r="H18" s="4">
        <v>43653.35</v>
      </c>
      <c r="I18" s="4">
        <v>32050</v>
      </c>
      <c r="J18" s="4">
        <v>944984.25</v>
      </c>
      <c r="K18" s="4">
        <v>10302</v>
      </c>
      <c r="L18" s="4">
        <v>0</v>
      </c>
      <c r="M18" s="4">
        <v>90944.79</v>
      </c>
      <c r="N18" s="4">
        <v>0</v>
      </c>
      <c r="O18" s="4">
        <v>3864</v>
      </c>
      <c r="P18" s="4">
        <v>422</v>
      </c>
      <c r="Q18" s="4">
        <v>993</v>
      </c>
      <c r="R18" s="4">
        <v>410</v>
      </c>
      <c r="S18" s="4">
        <v>0</v>
      </c>
      <c r="T18" s="4">
        <v>26712.35</v>
      </c>
      <c r="U18" s="4">
        <v>3060</v>
      </c>
      <c r="V18" s="4">
        <v>0</v>
      </c>
      <c r="W18" s="4">
        <v>16109.25</v>
      </c>
      <c r="X18" s="4">
        <v>10509.6</v>
      </c>
      <c r="Y18" s="4">
        <v>0</v>
      </c>
      <c r="Z18" s="4">
        <v>0</v>
      </c>
      <c r="AA18" s="4">
        <v>34184.300000000003</v>
      </c>
      <c r="AB18" s="4">
        <v>31898.65</v>
      </c>
      <c r="AC18" s="4">
        <v>0</v>
      </c>
      <c r="AD18" s="4">
        <v>0</v>
      </c>
      <c r="AE18" s="4">
        <v>11297.3</v>
      </c>
      <c r="AF18" s="4">
        <v>0</v>
      </c>
      <c r="AG18" s="4">
        <v>0</v>
      </c>
      <c r="AH18" s="4">
        <v>0</v>
      </c>
      <c r="AI18" s="4">
        <v>0</v>
      </c>
      <c r="AJ18" s="4">
        <v>2475</v>
      </c>
      <c r="AK18" s="4">
        <v>7760</v>
      </c>
      <c r="AL18" s="4">
        <v>480</v>
      </c>
      <c r="AM18" s="4">
        <v>82275</v>
      </c>
      <c r="AN18" s="4">
        <v>5732</v>
      </c>
      <c r="AO18" s="4">
        <v>0</v>
      </c>
      <c r="AP18" s="4">
        <v>200</v>
      </c>
      <c r="AQ18" s="4">
        <v>22120.81</v>
      </c>
      <c r="AR18" s="4">
        <v>1494</v>
      </c>
      <c r="AS18" s="4">
        <v>0</v>
      </c>
      <c r="AT18" s="4">
        <v>7805.4</v>
      </c>
      <c r="AU18" s="4">
        <v>3930</v>
      </c>
      <c r="AV18" s="4">
        <v>1610</v>
      </c>
      <c r="AW18" s="4">
        <v>5226</v>
      </c>
      <c r="AX18" s="4">
        <v>5175</v>
      </c>
      <c r="AY18" s="4">
        <v>200</v>
      </c>
      <c r="AZ18" s="4">
        <v>5308</v>
      </c>
      <c r="BA18" s="4">
        <v>0</v>
      </c>
      <c r="BB18" s="4">
        <v>569849.57999999996</v>
      </c>
      <c r="BC18" s="4">
        <v>21017.5</v>
      </c>
      <c r="BD18" s="72">
        <f t="shared" si="1"/>
        <v>2072041.33</v>
      </c>
      <c r="BE18" s="72">
        <f t="shared" si="2"/>
        <v>1225383.9400000002</v>
      </c>
      <c r="BF18" s="72">
        <f t="shared" si="3"/>
        <v>103999.1</v>
      </c>
      <c r="BG18" s="72">
        <f t="shared" si="4"/>
        <v>742658.28999999992</v>
      </c>
    </row>
    <row r="19" spans="1:59" ht="16.5" customHeight="1" x14ac:dyDescent="0.3">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3">
      <c r="A20" s="71">
        <v>4</v>
      </c>
      <c r="B20" s="69" t="s">
        <v>312</v>
      </c>
      <c r="C20" s="70">
        <f>C21-C22</f>
        <v>5476.04</v>
      </c>
      <c r="D20" s="70">
        <f t="shared" ref="D20:BC20" si="8">D21-D22</f>
        <v>3979.35</v>
      </c>
      <c r="E20" s="70">
        <f t="shared" si="8"/>
        <v>5583.73</v>
      </c>
      <c r="F20" s="70">
        <f t="shared" si="8"/>
        <v>3237.5</v>
      </c>
      <c r="G20" s="70">
        <f t="shared" si="8"/>
        <v>94627.839999999997</v>
      </c>
      <c r="H20" s="70">
        <f t="shared" si="8"/>
        <v>27828.05</v>
      </c>
      <c r="I20" s="70">
        <f t="shared" si="8"/>
        <v>26698.720000000001</v>
      </c>
      <c r="J20" s="70">
        <f t="shared" si="8"/>
        <v>137292.01</v>
      </c>
      <c r="K20" s="70">
        <f t="shared" si="8"/>
        <v>19467.87</v>
      </c>
      <c r="L20" s="70">
        <f t="shared" si="8"/>
        <v>0</v>
      </c>
      <c r="M20" s="70">
        <f t="shared" si="8"/>
        <v>46264.78</v>
      </c>
      <c r="N20" s="70">
        <f t="shared" si="8"/>
        <v>3551.96</v>
      </c>
      <c r="O20" s="70">
        <f t="shared" si="8"/>
        <v>10.5</v>
      </c>
      <c r="P20" s="70">
        <f t="shared" si="8"/>
        <v>600</v>
      </c>
      <c r="Q20" s="70">
        <f t="shared" si="8"/>
        <v>8249.25</v>
      </c>
      <c r="R20" s="70">
        <f t="shared" si="8"/>
        <v>142.30000000000001</v>
      </c>
      <c r="S20" s="70">
        <f t="shared" si="8"/>
        <v>3843.99</v>
      </c>
      <c r="T20" s="70">
        <f t="shared" si="8"/>
        <v>3836.1</v>
      </c>
      <c r="U20" s="70">
        <f t="shared" si="8"/>
        <v>38170.910000000003</v>
      </c>
      <c r="V20" s="70">
        <f t="shared" si="8"/>
        <v>2408.7600000000002</v>
      </c>
      <c r="W20" s="70">
        <f t="shared" si="8"/>
        <v>5901.78</v>
      </c>
      <c r="X20" s="70">
        <f t="shared" si="8"/>
        <v>14787.17</v>
      </c>
      <c r="Y20" s="70">
        <f t="shared" si="8"/>
        <v>414.9</v>
      </c>
      <c r="Z20" s="70">
        <f t="shared" si="8"/>
        <v>724.4</v>
      </c>
      <c r="AA20" s="70">
        <f t="shared" si="8"/>
        <v>4402.3999999999996</v>
      </c>
      <c r="AB20" s="70">
        <f t="shared" si="8"/>
        <v>4608.2</v>
      </c>
      <c r="AC20" s="70">
        <f t="shared" si="8"/>
        <v>2701.45</v>
      </c>
      <c r="AD20" s="70">
        <f t="shared" si="8"/>
        <v>9307.23</v>
      </c>
      <c r="AE20" s="70">
        <f t="shared" si="8"/>
        <v>22430.43</v>
      </c>
      <c r="AF20" s="70">
        <f t="shared" si="8"/>
        <v>12863.4</v>
      </c>
      <c r="AG20" s="70">
        <f t="shared" si="8"/>
        <v>1336.18</v>
      </c>
      <c r="AH20" s="70">
        <f t="shared" si="8"/>
        <v>515.4</v>
      </c>
      <c r="AI20" s="70">
        <f t="shared" si="8"/>
        <v>11244.5</v>
      </c>
      <c r="AJ20" s="70">
        <f t="shared" si="8"/>
        <v>7912.5999999999995</v>
      </c>
      <c r="AK20" s="70">
        <f t="shared" si="8"/>
        <v>11500.45</v>
      </c>
      <c r="AL20" s="70">
        <f t="shared" si="8"/>
        <v>490.33</v>
      </c>
      <c r="AM20" s="70">
        <f t="shared" si="8"/>
        <v>27809.66</v>
      </c>
      <c r="AN20" s="70">
        <f t="shared" si="8"/>
        <v>5298.1</v>
      </c>
      <c r="AO20" s="70">
        <f t="shared" si="8"/>
        <v>6670</v>
      </c>
      <c r="AP20" s="70">
        <f t="shared" si="8"/>
        <v>8123.69</v>
      </c>
      <c r="AQ20" s="70">
        <f t="shared" si="8"/>
        <v>5652.15</v>
      </c>
      <c r="AR20" s="70">
        <f t="shared" si="8"/>
        <v>7489.2</v>
      </c>
      <c r="AS20" s="70">
        <f t="shared" si="8"/>
        <v>2489.9299999999998</v>
      </c>
      <c r="AT20" s="70">
        <f t="shared" si="8"/>
        <v>25273.599999999999</v>
      </c>
      <c r="AU20" s="70">
        <f t="shared" si="8"/>
        <v>9099.34</v>
      </c>
      <c r="AV20" s="70">
        <f t="shared" si="8"/>
        <v>3715.11</v>
      </c>
      <c r="AW20" s="70">
        <f t="shared" si="8"/>
        <v>3871.51</v>
      </c>
      <c r="AX20" s="70">
        <f t="shared" si="8"/>
        <v>22194</v>
      </c>
      <c r="AY20" s="70">
        <f t="shared" si="8"/>
        <v>5896.7</v>
      </c>
      <c r="AZ20" s="70">
        <f t="shared" si="8"/>
        <v>15054.92</v>
      </c>
      <c r="BA20" s="70">
        <f t="shared" si="8"/>
        <v>2151.58</v>
      </c>
      <c r="BB20" s="70">
        <f t="shared" si="8"/>
        <v>91286.32</v>
      </c>
      <c r="BC20" s="70">
        <f t="shared" si="8"/>
        <v>5347.5</v>
      </c>
      <c r="BD20" s="70">
        <f t="shared" si="1"/>
        <v>789833.79</v>
      </c>
      <c r="BE20" s="70">
        <f t="shared" si="2"/>
        <v>428860.9</v>
      </c>
      <c r="BF20" s="70">
        <f t="shared" si="3"/>
        <v>82401.699999999983</v>
      </c>
      <c r="BG20" s="70">
        <f t="shared" si="4"/>
        <v>278571.19</v>
      </c>
    </row>
    <row r="21" spans="1:59" ht="16.5" customHeight="1" x14ac:dyDescent="0.3">
      <c r="A21" s="65"/>
      <c r="B21" s="67" t="s">
        <v>318</v>
      </c>
      <c r="C21" s="4">
        <v>5476.04</v>
      </c>
      <c r="D21" s="4">
        <v>3979.35</v>
      </c>
      <c r="E21" s="4">
        <v>5891.73</v>
      </c>
      <c r="F21" s="4">
        <v>3237.5</v>
      </c>
      <c r="G21" s="4">
        <v>94775.94</v>
      </c>
      <c r="H21" s="4">
        <v>27828.05</v>
      </c>
      <c r="I21" s="4">
        <v>26698.720000000001</v>
      </c>
      <c r="J21" s="4">
        <v>147133.51</v>
      </c>
      <c r="K21" s="4">
        <v>19957.32</v>
      </c>
      <c r="L21" s="4">
        <v>0</v>
      </c>
      <c r="M21" s="4">
        <v>46264.78</v>
      </c>
      <c r="N21" s="4">
        <v>3551.96</v>
      </c>
      <c r="O21" s="4">
        <v>10.5</v>
      </c>
      <c r="P21" s="4">
        <v>600</v>
      </c>
      <c r="Q21" s="4">
        <v>8249.25</v>
      </c>
      <c r="R21" s="4">
        <v>142.30000000000001</v>
      </c>
      <c r="S21" s="4">
        <v>5059.99</v>
      </c>
      <c r="T21" s="4">
        <v>3836.1</v>
      </c>
      <c r="U21" s="4">
        <v>38170.910000000003</v>
      </c>
      <c r="V21" s="4">
        <v>2408.7600000000002</v>
      </c>
      <c r="W21" s="4">
        <v>5901.78</v>
      </c>
      <c r="X21" s="4">
        <v>14787.17</v>
      </c>
      <c r="Y21" s="4">
        <v>414.9</v>
      </c>
      <c r="Z21" s="4">
        <v>724.4</v>
      </c>
      <c r="AA21" s="4">
        <v>4402.3999999999996</v>
      </c>
      <c r="AB21" s="4">
        <v>4608.2</v>
      </c>
      <c r="AC21" s="4">
        <v>2701.45</v>
      </c>
      <c r="AD21" s="4">
        <v>9307.23</v>
      </c>
      <c r="AE21" s="4">
        <v>22430.43</v>
      </c>
      <c r="AF21" s="4">
        <v>12863.4</v>
      </c>
      <c r="AG21" s="4">
        <v>1336.18</v>
      </c>
      <c r="AH21" s="4">
        <v>515.4</v>
      </c>
      <c r="AI21" s="4">
        <v>11244.5</v>
      </c>
      <c r="AJ21" s="4">
        <v>8454.15</v>
      </c>
      <c r="AK21" s="4">
        <v>11500.45</v>
      </c>
      <c r="AL21" s="4">
        <v>490.33</v>
      </c>
      <c r="AM21" s="4">
        <v>27849.66</v>
      </c>
      <c r="AN21" s="4">
        <v>5298.1</v>
      </c>
      <c r="AO21" s="4">
        <v>6670</v>
      </c>
      <c r="AP21" s="4">
        <v>8123.69</v>
      </c>
      <c r="AQ21" s="4">
        <v>5652.15</v>
      </c>
      <c r="AR21" s="4">
        <v>7489.2</v>
      </c>
      <c r="AS21" s="4">
        <v>2489.9299999999998</v>
      </c>
      <c r="AT21" s="4">
        <v>25273.599999999999</v>
      </c>
      <c r="AU21" s="4">
        <v>9099.34</v>
      </c>
      <c r="AV21" s="4">
        <v>3715.11</v>
      </c>
      <c r="AW21" s="4">
        <v>3871.51</v>
      </c>
      <c r="AX21" s="4">
        <v>22344</v>
      </c>
      <c r="AY21" s="4">
        <v>5944.7</v>
      </c>
      <c r="AZ21" s="4">
        <v>15054.92</v>
      </c>
      <c r="BA21" s="4">
        <v>2151.58</v>
      </c>
      <c r="BB21" s="4">
        <v>93286.32</v>
      </c>
      <c r="BC21" s="4">
        <v>5347.5</v>
      </c>
      <c r="BD21" s="72">
        <f t="shared" si="1"/>
        <v>804616.3899999999</v>
      </c>
      <c r="BE21" s="72">
        <f t="shared" si="2"/>
        <v>440863.94999999995</v>
      </c>
      <c r="BF21" s="72">
        <f t="shared" si="3"/>
        <v>82401.699999999983</v>
      </c>
      <c r="BG21" s="72">
        <f t="shared" si="4"/>
        <v>281350.74</v>
      </c>
    </row>
    <row r="22" spans="1:59" ht="16.5" customHeight="1" x14ac:dyDescent="0.3">
      <c r="A22" s="65"/>
      <c r="B22" s="67" t="s">
        <v>319</v>
      </c>
      <c r="C22" s="4">
        <v>0</v>
      </c>
      <c r="D22" s="4">
        <v>0</v>
      </c>
      <c r="E22" s="4">
        <v>308</v>
      </c>
      <c r="F22" s="4">
        <v>0</v>
      </c>
      <c r="G22" s="4">
        <v>148.1</v>
      </c>
      <c r="H22" s="4">
        <v>0</v>
      </c>
      <c r="I22" s="4">
        <v>0</v>
      </c>
      <c r="J22" s="4">
        <v>9841.5</v>
      </c>
      <c r="K22" s="4">
        <v>489.45</v>
      </c>
      <c r="L22" s="4">
        <v>0</v>
      </c>
      <c r="M22" s="4">
        <v>0</v>
      </c>
      <c r="N22" s="4">
        <v>0</v>
      </c>
      <c r="O22" s="4">
        <v>0</v>
      </c>
      <c r="P22" s="4">
        <v>0</v>
      </c>
      <c r="Q22" s="4">
        <v>0</v>
      </c>
      <c r="R22" s="4">
        <v>0</v>
      </c>
      <c r="S22" s="4">
        <v>1216</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541.54999999999995</v>
      </c>
      <c r="AK22" s="4">
        <v>0</v>
      </c>
      <c r="AL22" s="4">
        <v>0</v>
      </c>
      <c r="AM22" s="4">
        <v>40</v>
      </c>
      <c r="AN22" s="4">
        <v>0</v>
      </c>
      <c r="AO22" s="4">
        <v>0</v>
      </c>
      <c r="AP22" s="4">
        <v>0</v>
      </c>
      <c r="AQ22" s="4">
        <v>0</v>
      </c>
      <c r="AR22" s="4">
        <v>0</v>
      </c>
      <c r="AS22" s="4">
        <v>0</v>
      </c>
      <c r="AT22" s="4">
        <v>0</v>
      </c>
      <c r="AU22" s="4">
        <v>0</v>
      </c>
      <c r="AV22" s="4">
        <v>0</v>
      </c>
      <c r="AW22" s="4">
        <v>0</v>
      </c>
      <c r="AX22" s="4">
        <v>150</v>
      </c>
      <c r="AY22" s="4">
        <v>48</v>
      </c>
      <c r="AZ22" s="4">
        <v>0</v>
      </c>
      <c r="BA22" s="4">
        <v>0</v>
      </c>
      <c r="BB22" s="4">
        <v>2000</v>
      </c>
      <c r="BC22" s="4">
        <v>0</v>
      </c>
      <c r="BD22" s="72">
        <f t="shared" si="1"/>
        <v>14782.6</v>
      </c>
      <c r="BE22" s="72">
        <f t="shared" si="2"/>
        <v>12003.050000000001</v>
      </c>
      <c r="BF22" s="72">
        <f t="shared" si="3"/>
        <v>0</v>
      </c>
      <c r="BG22" s="72">
        <f t="shared" si="4"/>
        <v>2779.55</v>
      </c>
    </row>
    <row r="23" spans="1:59" ht="16.5" customHeight="1" x14ac:dyDescent="0.3">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3">
      <c r="A24" s="71">
        <v>5</v>
      </c>
      <c r="B24" s="69" t="s">
        <v>313</v>
      </c>
      <c r="C24" s="70">
        <f>C25-C26</f>
        <v>756178.04999999993</v>
      </c>
      <c r="D24" s="70">
        <f t="shared" ref="D24:BC24" si="9">D25-D26</f>
        <v>198605.75</v>
      </c>
      <c r="E24" s="70">
        <f t="shared" si="9"/>
        <v>367622.08</v>
      </c>
      <c r="F24" s="70">
        <f t="shared" si="9"/>
        <v>279704.60000000003</v>
      </c>
      <c r="G24" s="70">
        <f t="shared" si="9"/>
        <v>2819293.0599999996</v>
      </c>
      <c r="H24" s="70">
        <f t="shared" si="9"/>
        <v>2456722.4300000002</v>
      </c>
      <c r="I24" s="70">
        <f t="shared" si="9"/>
        <v>1963671.48</v>
      </c>
      <c r="J24" s="70">
        <f t="shared" si="9"/>
        <v>9777395.0100000016</v>
      </c>
      <c r="K24" s="70">
        <f t="shared" si="9"/>
        <v>1014081.5099999999</v>
      </c>
      <c r="L24" s="70">
        <f t="shared" si="9"/>
        <v>112408.95</v>
      </c>
      <c r="M24" s="70">
        <f t="shared" si="9"/>
        <v>5470906.7400000002</v>
      </c>
      <c r="N24" s="70">
        <f t="shared" si="9"/>
        <v>436440.64999999997</v>
      </c>
      <c r="O24" s="70">
        <f t="shared" si="9"/>
        <v>95512.2</v>
      </c>
      <c r="P24" s="70">
        <f t="shared" si="9"/>
        <v>338940.2</v>
      </c>
      <c r="Q24" s="70">
        <f t="shared" si="9"/>
        <v>261830.40000000002</v>
      </c>
      <c r="R24" s="70">
        <f t="shared" si="9"/>
        <v>523146.89999999997</v>
      </c>
      <c r="S24" s="70">
        <f t="shared" si="9"/>
        <v>205291.8</v>
      </c>
      <c r="T24" s="70">
        <f t="shared" si="9"/>
        <v>333202.16000000003</v>
      </c>
      <c r="U24" s="70">
        <f t="shared" si="9"/>
        <v>2548629.2600000002</v>
      </c>
      <c r="V24" s="70">
        <f t="shared" si="9"/>
        <v>218743.6</v>
      </c>
      <c r="W24" s="70">
        <f t="shared" si="9"/>
        <v>897612.63000000012</v>
      </c>
      <c r="X24" s="70">
        <f t="shared" si="9"/>
        <v>1156404.51</v>
      </c>
      <c r="Y24" s="70">
        <f t="shared" si="9"/>
        <v>69567.25</v>
      </c>
      <c r="Z24" s="70">
        <f t="shared" si="9"/>
        <v>105809.9</v>
      </c>
      <c r="AA24" s="70">
        <f t="shared" si="9"/>
        <v>362683.5</v>
      </c>
      <c r="AB24" s="70">
        <f t="shared" si="9"/>
        <v>501467.35</v>
      </c>
      <c r="AC24" s="70">
        <f t="shared" si="9"/>
        <v>428214.2</v>
      </c>
      <c r="AD24" s="70">
        <f t="shared" si="9"/>
        <v>361973.2</v>
      </c>
      <c r="AE24" s="70">
        <f t="shared" si="9"/>
        <v>1476039.8199999998</v>
      </c>
      <c r="AF24" s="70">
        <f t="shared" si="9"/>
        <v>1898835.9</v>
      </c>
      <c r="AG24" s="70">
        <f t="shared" si="9"/>
        <v>169392.85</v>
      </c>
      <c r="AH24" s="70">
        <f t="shared" si="9"/>
        <v>89306.55</v>
      </c>
      <c r="AI24" s="70">
        <f t="shared" si="9"/>
        <v>1326036.96</v>
      </c>
      <c r="AJ24" s="70">
        <f t="shared" si="9"/>
        <v>738214.75000000012</v>
      </c>
      <c r="AK24" s="70">
        <f t="shared" si="9"/>
        <v>980198.45000000007</v>
      </c>
      <c r="AL24" s="70">
        <f t="shared" si="9"/>
        <v>131779.69999999998</v>
      </c>
      <c r="AM24" s="70">
        <f t="shared" si="9"/>
        <v>1062938.9099999999</v>
      </c>
      <c r="AN24" s="70">
        <f t="shared" si="9"/>
        <v>473268.94999999995</v>
      </c>
      <c r="AO24" s="70">
        <f t="shared" si="9"/>
        <v>436494.15</v>
      </c>
      <c r="AP24" s="70">
        <f t="shared" si="9"/>
        <v>1001047.25</v>
      </c>
      <c r="AQ24" s="70">
        <f t="shared" si="9"/>
        <v>396425.1</v>
      </c>
      <c r="AR24" s="70">
        <f t="shared" si="9"/>
        <v>803431.64999999991</v>
      </c>
      <c r="AS24" s="70">
        <f t="shared" si="9"/>
        <v>233971.75</v>
      </c>
      <c r="AT24" s="70">
        <f t="shared" si="9"/>
        <v>2198665.4500000002</v>
      </c>
      <c r="AU24" s="70">
        <f t="shared" si="9"/>
        <v>549736.85</v>
      </c>
      <c r="AV24" s="70">
        <f t="shared" si="9"/>
        <v>134000.6</v>
      </c>
      <c r="AW24" s="70">
        <f t="shared" si="9"/>
        <v>222755.5</v>
      </c>
      <c r="AX24" s="70">
        <f t="shared" si="9"/>
        <v>1338033.5</v>
      </c>
      <c r="AY24" s="70">
        <f t="shared" si="9"/>
        <v>295124.44999999995</v>
      </c>
      <c r="AZ24" s="70">
        <f t="shared" si="9"/>
        <v>841916.32000000007</v>
      </c>
      <c r="BA24" s="70">
        <f t="shared" si="9"/>
        <v>112320.75</v>
      </c>
      <c r="BB24" s="70">
        <f t="shared" si="9"/>
        <v>4989949.5699999984</v>
      </c>
      <c r="BC24" s="70">
        <f t="shared" si="9"/>
        <v>432284.75</v>
      </c>
      <c r="BD24" s="70">
        <f t="shared" si="1"/>
        <v>56394229.850000016</v>
      </c>
      <c r="BE24" s="70">
        <f t="shared" si="2"/>
        <v>29959583.23</v>
      </c>
      <c r="BF24" s="70">
        <f t="shared" si="3"/>
        <v>7736051.2600000007</v>
      </c>
      <c r="BG24" s="70">
        <f t="shared" si="4"/>
        <v>18698595.359999999</v>
      </c>
    </row>
    <row r="25" spans="1:59" ht="16.5" customHeight="1" x14ac:dyDescent="0.3">
      <c r="A25" s="65"/>
      <c r="B25" s="67" t="s">
        <v>318</v>
      </c>
      <c r="C25" s="4">
        <v>829374.6</v>
      </c>
      <c r="D25" s="4">
        <v>200292.75</v>
      </c>
      <c r="E25" s="4">
        <v>426048.78</v>
      </c>
      <c r="F25" s="4">
        <v>323508.2</v>
      </c>
      <c r="G25" s="4">
        <v>3482952.26</v>
      </c>
      <c r="H25" s="4">
        <v>3929125.08</v>
      </c>
      <c r="I25" s="4">
        <v>2758537.13</v>
      </c>
      <c r="J25" s="4">
        <v>22381762.530000001</v>
      </c>
      <c r="K25" s="4">
        <v>1596599.65</v>
      </c>
      <c r="L25" s="4">
        <v>150631.15</v>
      </c>
      <c r="M25" s="4">
        <v>5831342.4900000002</v>
      </c>
      <c r="N25" s="4">
        <v>443500.79999999999</v>
      </c>
      <c r="O25" s="4">
        <v>96908.2</v>
      </c>
      <c r="P25" s="4">
        <v>341023.2</v>
      </c>
      <c r="Q25" s="4">
        <v>268681.2</v>
      </c>
      <c r="R25" s="4">
        <v>527216.94999999995</v>
      </c>
      <c r="S25" s="4">
        <v>213627</v>
      </c>
      <c r="T25" s="4">
        <v>665423.51</v>
      </c>
      <c r="U25" s="4">
        <v>3130803.2</v>
      </c>
      <c r="V25" s="4">
        <v>220684.95</v>
      </c>
      <c r="W25" s="4">
        <v>1762866.08</v>
      </c>
      <c r="X25" s="4">
        <v>2396627.79</v>
      </c>
      <c r="Y25" s="4">
        <v>73002.25</v>
      </c>
      <c r="Z25" s="4">
        <v>108097.9</v>
      </c>
      <c r="AA25" s="4">
        <v>404298.45</v>
      </c>
      <c r="AB25" s="4">
        <v>510357</v>
      </c>
      <c r="AC25" s="4">
        <v>446513.55</v>
      </c>
      <c r="AD25" s="4">
        <v>364651.2</v>
      </c>
      <c r="AE25" s="4">
        <v>1747397.97</v>
      </c>
      <c r="AF25" s="4">
        <v>2411276.4</v>
      </c>
      <c r="AG25" s="4">
        <v>176610.7</v>
      </c>
      <c r="AH25" s="4">
        <v>94192.3</v>
      </c>
      <c r="AI25" s="4">
        <v>2095588.81</v>
      </c>
      <c r="AJ25" s="4">
        <v>1310465.82</v>
      </c>
      <c r="AK25" s="4">
        <v>1014705.65</v>
      </c>
      <c r="AL25" s="4">
        <v>133277.65</v>
      </c>
      <c r="AM25" s="4">
        <v>1485130.93</v>
      </c>
      <c r="AN25" s="4">
        <v>1391793.97</v>
      </c>
      <c r="AO25" s="4">
        <v>459136</v>
      </c>
      <c r="AP25" s="4">
        <v>1780960.95</v>
      </c>
      <c r="AQ25" s="4">
        <v>433054.75</v>
      </c>
      <c r="AR25" s="4">
        <v>1241718.2</v>
      </c>
      <c r="AS25" s="4">
        <v>259443.05</v>
      </c>
      <c r="AT25" s="4">
        <v>2250580.9500000002</v>
      </c>
      <c r="AU25" s="4">
        <v>579884.1</v>
      </c>
      <c r="AV25" s="4">
        <v>135646.35</v>
      </c>
      <c r="AW25" s="4">
        <v>258455.45</v>
      </c>
      <c r="AX25" s="4">
        <v>1658365.62</v>
      </c>
      <c r="AY25" s="4">
        <v>313235.34999999998</v>
      </c>
      <c r="AZ25" s="4">
        <v>1647332.11</v>
      </c>
      <c r="BA25" s="4">
        <v>113893.9</v>
      </c>
      <c r="BB25" s="4">
        <v>13618537.869999999</v>
      </c>
      <c r="BC25" s="4">
        <v>549747.35</v>
      </c>
      <c r="BD25" s="72">
        <f t="shared" si="1"/>
        <v>91044890.049999997</v>
      </c>
      <c r="BE25" s="72">
        <f t="shared" si="2"/>
        <v>47597358.680000007</v>
      </c>
      <c r="BF25" s="72">
        <f t="shared" si="3"/>
        <v>10716576.540000001</v>
      </c>
      <c r="BG25" s="72">
        <f t="shared" si="4"/>
        <v>32730954.829999998</v>
      </c>
    </row>
    <row r="26" spans="1:59" ht="16.5" customHeight="1" x14ac:dyDescent="0.3">
      <c r="A26" s="65"/>
      <c r="B26" s="67" t="s">
        <v>319</v>
      </c>
      <c r="C26" s="4">
        <v>73196.55</v>
      </c>
      <c r="D26" s="4">
        <v>1687</v>
      </c>
      <c r="E26" s="4">
        <v>58426.7</v>
      </c>
      <c r="F26" s="4">
        <v>43803.6</v>
      </c>
      <c r="G26" s="4">
        <v>663659.19999999995</v>
      </c>
      <c r="H26" s="4">
        <v>1472402.65</v>
      </c>
      <c r="I26" s="4">
        <v>794865.65</v>
      </c>
      <c r="J26" s="4">
        <v>12604367.52</v>
      </c>
      <c r="K26" s="4">
        <v>582518.14</v>
      </c>
      <c r="L26" s="4">
        <v>38222.199999999997</v>
      </c>
      <c r="M26" s="4">
        <v>360435.75</v>
      </c>
      <c r="N26" s="4">
        <v>7060.15</v>
      </c>
      <c r="O26" s="4">
        <v>1396</v>
      </c>
      <c r="P26" s="4">
        <v>2083</v>
      </c>
      <c r="Q26" s="4">
        <v>6850.8</v>
      </c>
      <c r="R26" s="4">
        <v>4070.05</v>
      </c>
      <c r="S26" s="4">
        <v>8335.2000000000007</v>
      </c>
      <c r="T26" s="4">
        <v>332221.34999999998</v>
      </c>
      <c r="U26" s="4">
        <v>582173.93999999994</v>
      </c>
      <c r="V26" s="4">
        <v>1941.35</v>
      </c>
      <c r="W26" s="4">
        <v>865253.45</v>
      </c>
      <c r="X26" s="4">
        <v>1240223.28</v>
      </c>
      <c r="Y26" s="4">
        <v>3435</v>
      </c>
      <c r="Z26" s="4">
        <v>2288</v>
      </c>
      <c r="AA26" s="4">
        <v>41614.949999999997</v>
      </c>
      <c r="AB26" s="4">
        <v>8889.65</v>
      </c>
      <c r="AC26" s="4">
        <v>18299.349999999999</v>
      </c>
      <c r="AD26" s="4">
        <v>2678</v>
      </c>
      <c r="AE26" s="4">
        <v>271358.15000000002</v>
      </c>
      <c r="AF26" s="4">
        <v>512440.5</v>
      </c>
      <c r="AG26" s="4">
        <v>7217.85</v>
      </c>
      <c r="AH26" s="4">
        <v>4885.75</v>
      </c>
      <c r="AI26" s="4">
        <v>769551.85</v>
      </c>
      <c r="AJ26" s="4">
        <v>572251.06999999995</v>
      </c>
      <c r="AK26" s="4">
        <v>34507.199999999997</v>
      </c>
      <c r="AL26" s="4">
        <v>1497.95</v>
      </c>
      <c r="AM26" s="4">
        <v>422192.02</v>
      </c>
      <c r="AN26" s="4">
        <v>918525.02</v>
      </c>
      <c r="AO26" s="4">
        <v>22641.85</v>
      </c>
      <c r="AP26" s="4">
        <v>779913.7</v>
      </c>
      <c r="AQ26" s="4">
        <v>36629.65</v>
      </c>
      <c r="AR26" s="4">
        <v>438286.55</v>
      </c>
      <c r="AS26" s="4">
        <v>25471.3</v>
      </c>
      <c r="AT26" s="4">
        <v>51915.5</v>
      </c>
      <c r="AU26" s="4">
        <v>30147.25</v>
      </c>
      <c r="AV26" s="4">
        <v>1645.75</v>
      </c>
      <c r="AW26" s="4">
        <v>35699.949999999997</v>
      </c>
      <c r="AX26" s="4">
        <v>320332.12</v>
      </c>
      <c r="AY26" s="4">
        <v>18110.900000000001</v>
      </c>
      <c r="AZ26" s="4">
        <v>805415.79</v>
      </c>
      <c r="BA26" s="4">
        <v>1573.15</v>
      </c>
      <c r="BB26" s="4">
        <v>8628588.3000000007</v>
      </c>
      <c r="BC26" s="4">
        <v>117462.6</v>
      </c>
      <c r="BD26" s="72">
        <f t="shared" si="1"/>
        <v>34650660.200000003</v>
      </c>
      <c r="BE26" s="72">
        <f t="shared" si="2"/>
        <v>17637775.450000003</v>
      </c>
      <c r="BF26" s="72">
        <f t="shared" si="3"/>
        <v>2980525.2800000003</v>
      </c>
      <c r="BG26" s="72">
        <f t="shared" si="4"/>
        <v>14032359.470000001</v>
      </c>
    </row>
    <row r="27" spans="1:59" ht="16.5" customHeight="1" x14ac:dyDescent="0.3">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3">
      <c r="A28" s="71">
        <v>6</v>
      </c>
      <c r="B28" s="69" t="s">
        <v>314</v>
      </c>
      <c r="C28" s="70">
        <f>C29-C30</f>
        <v>515947.65</v>
      </c>
      <c r="D28" s="70">
        <f t="shared" ref="D28:BC28" si="10">D29-D30</f>
        <v>42552.5</v>
      </c>
      <c r="E28" s="70">
        <f t="shared" si="10"/>
        <v>27321.599999999999</v>
      </c>
      <c r="F28" s="70">
        <f t="shared" si="10"/>
        <v>36996.900000000009</v>
      </c>
      <c r="G28" s="70">
        <f t="shared" si="10"/>
        <v>516695.81000000006</v>
      </c>
      <c r="H28" s="70">
        <f t="shared" si="10"/>
        <v>659322.56000000006</v>
      </c>
      <c r="I28" s="70">
        <f t="shared" si="10"/>
        <v>381081.44999999995</v>
      </c>
      <c r="J28" s="70">
        <f t="shared" si="10"/>
        <v>4627432.0299999993</v>
      </c>
      <c r="K28" s="70">
        <f t="shared" si="10"/>
        <v>250431.91999999998</v>
      </c>
      <c r="L28" s="70">
        <f t="shared" si="10"/>
        <v>8139.7999999999956</v>
      </c>
      <c r="M28" s="70">
        <f t="shared" si="10"/>
        <v>1367932.23</v>
      </c>
      <c r="N28" s="70">
        <f t="shared" si="10"/>
        <v>24148.549999999996</v>
      </c>
      <c r="O28" s="70">
        <f t="shared" si="10"/>
        <v>4682.3999999999996</v>
      </c>
      <c r="P28" s="70">
        <f t="shared" si="10"/>
        <v>86398.049999999988</v>
      </c>
      <c r="Q28" s="70">
        <f t="shared" si="10"/>
        <v>126081.1</v>
      </c>
      <c r="R28" s="70">
        <f t="shared" si="10"/>
        <v>36868.85</v>
      </c>
      <c r="S28" s="70">
        <f t="shared" si="10"/>
        <v>28467.899999999998</v>
      </c>
      <c r="T28" s="70">
        <f t="shared" si="10"/>
        <v>136987.54999999999</v>
      </c>
      <c r="U28" s="70">
        <f t="shared" si="10"/>
        <v>724909.36</v>
      </c>
      <c r="V28" s="70">
        <f t="shared" si="10"/>
        <v>50349.35</v>
      </c>
      <c r="W28" s="70">
        <f t="shared" si="10"/>
        <v>306116.23</v>
      </c>
      <c r="X28" s="70">
        <f t="shared" si="10"/>
        <v>318746.68000000005</v>
      </c>
      <c r="Y28" s="70">
        <f t="shared" si="10"/>
        <v>18313.349999999999</v>
      </c>
      <c r="Z28" s="70">
        <f t="shared" si="10"/>
        <v>-740.70000000000073</v>
      </c>
      <c r="AA28" s="70">
        <f t="shared" si="10"/>
        <v>203058.36999999997</v>
      </c>
      <c r="AB28" s="70">
        <f t="shared" si="10"/>
        <v>75210.25</v>
      </c>
      <c r="AC28" s="70">
        <f t="shared" si="10"/>
        <v>164985.84999999998</v>
      </c>
      <c r="AD28" s="70">
        <f t="shared" si="10"/>
        <v>146432.5</v>
      </c>
      <c r="AE28" s="70">
        <f t="shared" si="10"/>
        <v>596450.93000000005</v>
      </c>
      <c r="AF28" s="70">
        <f t="shared" si="10"/>
        <v>782864.88</v>
      </c>
      <c r="AG28" s="70">
        <f t="shared" si="10"/>
        <v>21834.5</v>
      </c>
      <c r="AH28" s="70">
        <f t="shared" si="10"/>
        <v>40358.199999999997</v>
      </c>
      <c r="AI28" s="70">
        <f t="shared" si="10"/>
        <v>189123.65999999997</v>
      </c>
      <c r="AJ28" s="70">
        <f t="shared" si="10"/>
        <v>297103</v>
      </c>
      <c r="AK28" s="70">
        <f t="shared" si="10"/>
        <v>266393.71999999997</v>
      </c>
      <c r="AL28" s="70">
        <f t="shared" si="10"/>
        <v>26168.46</v>
      </c>
      <c r="AM28" s="70">
        <f t="shared" si="10"/>
        <v>577170.07000000007</v>
      </c>
      <c r="AN28" s="70">
        <f t="shared" si="10"/>
        <v>191160.85</v>
      </c>
      <c r="AO28" s="70">
        <f t="shared" si="10"/>
        <v>141719.69999999998</v>
      </c>
      <c r="AP28" s="70">
        <f t="shared" si="10"/>
        <v>191813.75</v>
      </c>
      <c r="AQ28" s="70">
        <f t="shared" si="10"/>
        <v>169589.39</v>
      </c>
      <c r="AR28" s="70">
        <f t="shared" si="10"/>
        <v>160188.54999999999</v>
      </c>
      <c r="AS28" s="70">
        <f t="shared" si="10"/>
        <v>402003.25</v>
      </c>
      <c r="AT28" s="70">
        <f t="shared" si="10"/>
        <v>525019.91</v>
      </c>
      <c r="AU28" s="70">
        <f t="shared" si="10"/>
        <v>176386.78000000003</v>
      </c>
      <c r="AV28" s="70">
        <f t="shared" si="10"/>
        <v>11286.8</v>
      </c>
      <c r="AW28" s="70">
        <f t="shared" si="10"/>
        <v>87175.3</v>
      </c>
      <c r="AX28" s="70">
        <f t="shared" si="10"/>
        <v>532371.04999999993</v>
      </c>
      <c r="AY28" s="70">
        <f t="shared" si="10"/>
        <v>60835.75</v>
      </c>
      <c r="AZ28" s="70">
        <f t="shared" si="10"/>
        <v>494303.61</v>
      </c>
      <c r="BA28" s="70">
        <f t="shared" si="10"/>
        <v>1454.9500000000007</v>
      </c>
      <c r="BB28" s="70">
        <f t="shared" si="10"/>
        <v>2735368.2800000003</v>
      </c>
      <c r="BC28" s="70">
        <f t="shared" si="10"/>
        <v>143709.35</v>
      </c>
      <c r="BD28" s="70">
        <f t="shared" si="1"/>
        <v>19706724.780000005</v>
      </c>
      <c r="BE28" s="70">
        <f t="shared" si="2"/>
        <v>9602398.2100000009</v>
      </c>
      <c r="BF28" s="70">
        <f t="shared" si="3"/>
        <v>2723980.39</v>
      </c>
      <c r="BG28" s="70">
        <f t="shared" si="4"/>
        <v>7380346.1799999997</v>
      </c>
    </row>
    <row r="29" spans="1:59" ht="16.5" customHeight="1" x14ac:dyDescent="0.3">
      <c r="A29" s="65"/>
      <c r="B29" s="67" t="s">
        <v>318</v>
      </c>
      <c r="C29" s="4">
        <v>592033.05000000005</v>
      </c>
      <c r="D29" s="4">
        <v>115276.35</v>
      </c>
      <c r="E29" s="4">
        <v>47715.1</v>
      </c>
      <c r="F29" s="4">
        <v>78958.600000000006</v>
      </c>
      <c r="G29" s="4">
        <v>741513.16</v>
      </c>
      <c r="H29" s="4">
        <v>968953.41</v>
      </c>
      <c r="I29" s="4">
        <v>738693.2</v>
      </c>
      <c r="J29" s="4">
        <v>6922362.6799999997</v>
      </c>
      <c r="K29" s="4">
        <v>496023.37</v>
      </c>
      <c r="L29" s="4">
        <v>39850.949999999997</v>
      </c>
      <c r="M29" s="4">
        <v>1980129.54</v>
      </c>
      <c r="N29" s="4">
        <v>77531.899999999994</v>
      </c>
      <c r="O29" s="4">
        <v>11659.5</v>
      </c>
      <c r="P29" s="4">
        <v>155276.9</v>
      </c>
      <c r="Q29" s="4">
        <v>159484.1</v>
      </c>
      <c r="R29" s="4">
        <v>61519.85</v>
      </c>
      <c r="S29" s="4">
        <v>53154.31</v>
      </c>
      <c r="T29" s="4">
        <v>208483.55</v>
      </c>
      <c r="U29" s="4">
        <v>924060.96</v>
      </c>
      <c r="V29" s="4">
        <v>67046.5</v>
      </c>
      <c r="W29" s="4">
        <v>347960.88</v>
      </c>
      <c r="X29" s="4">
        <v>409870.58</v>
      </c>
      <c r="Y29" s="4">
        <v>20285.099999999999</v>
      </c>
      <c r="Z29" s="4">
        <v>27084.7</v>
      </c>
      <c r="AA29" s="4">
        <v>273527.71999999997</v>
      </c>
      <c r="AB29" s="4">
        <v>329591.05</v>
      </c>
      <c r="AC29" s="4">
        <v>275989.05</v>
      </c>
      <c r="AD29" s="4">
        <v>227553.8</v>
      </c>
      <c r="AE29" s="4">
        <v>720340.68</v>
      </c>
      <c r="AF29" s="4">
        <v>980152.48</v>
      </c>
      <c r="AG29" s="4">
        <v>73298.3</v>
      </c>
      <c r="AH29" s="4">
        <v>63592.2</v>
      </c>
      <c r="AI29" s="4">
        <v>311831.86</v>
      </c>
      <c r="AJ29" s="4">
        <v>361347</v>
      </c>
      <c r="AK29" s="4">
        <v>308571.12</v>
      </c>
      <c r="AL29" s="4">
        <v>32947.46</v>
      </c>
      <c r="AM29" s="4">
        <v>635779.76</v>
      </c>
      <c r="AN29" s="4">
        <v>277448</v>
      </c>
      <c r="AO29" s="4">
        <v>177909.8</v>
      </c>
      <c r="AP29" s="4">
        <v>753367.05</v>
      </c>
      <c r="AQ29" s="4">
        <v>246599.19</v>
      </c>
      <c r="AR29" s="4">
        <v>296323.75</v>
      </c>
      <c r="AS29" s="4">
        <v>427060.75</v>
      </c>
      <c r="AT29" s="4">
        <v>679330.76</v>
      </c>
      <c r="AU29" s="4">
        <v>224616.23</v>
      </c>
      <c r="AV29" s="4">
        <v>21781.8</v>
      </c>
      <c r="AW29" s="4">
        <v>107337.3</v>
      </c>
      <c r="AX29" s="4">
        <v>693615.7</v>
      </c>
      <c r="AY29" s="4">
        <v>81413.75</v>
      </c>
      <c r="AZ29" s="4">
        <v>610690.57999999996</v>
      </c>
      <c r="BA29" s="4">
        <v>32773.25</v>
      </c>
      <c r="BB29" s="4">
        <v>3142959.49</v>
      </c>
      <c r="BC29" s="4">
        <v>172083.20000000001</v>
      </c>
      <c r="BD29" s="72">
        <f t="shared" si="1"/>
        <v>27784761.320000011</v>
      </c>
      <c r="BE29" s="72">
        <f t="shared" si="2"/>
        <v>14372680.48</v>
      </c>
      <c r="BF29" s="72">
        <f t="shared" si="3"/>
        <v>3816293.04</v>
      </c>
      <c r="BG29" s="72">
        <f t="shared" si="4"/>
        <v>9595787.8000000007</v>
      </c>
    </row>
    <row r="30" spans="1:59" ht="16.5" customHeight="1" x14ac:dyDescent="0.3">
      <c r="A30" s="65"/>
      <c r="B30" s="67" t="s">
        <v>319</v>
      </c>
      <c r="C30" s="4">
        <v>76085.399999999994</v>
      </c>
      <c r="D30" s="4">
        <v>72723.850000000006</v>
      </c>
      <c r="E30" s="4">
        <v>20393.5</v>
      </c>
      <c r="F30" s="4">
        <v>41961.7</v>
      </c>
      <c r="G30" s="4">
        <v>224817.35</v>
      </c>
      <c r="H30" s="4">
        <v>309630.84999999998</v>
      </c>
      <c r="I30" s="4">
        <v>357611.75</v>
      </c>
      <c r="J30" s="4">
        <v>2294930.65</v>
      </c>
      <c r="K30" s="4">
        <v>245591.45</v>
      </c>
      <c r="L30" s="4">
        <v>31711.15</v>
      </c>
      <c r="M30" s="4">
        <v>612197.31000000006</v>
      </c>
      <c r="N30" s="4">
        <v>53383.35</v>
      </c>
      <c r="O30" s="4">
        <v>6977.1</v>
      </c>
      <c r="P30" s="4">
        <v>68878.850000000006</v>
      </c>
      <c r="Q30" s="4">
        <v>33403</v>
      </c>
      <c r="R30" s="4">
        <v>24651</v>
      </c>
      <c r="S30" s="4">
        <v>24686.41</v>
      </c>
      <c r="T30" s="4">
        <v>71496</v>
      </c>
      <c r="U30" s="4">
        <v>199151.6</v>
      </c>
      <c r="V30" s="4">
        <v>16697.150000000001</v>
      </c>
      <c r="W30" s="4">
        <v>41844.65</v>
      </c>
      <c r="X30" s="4">
        <v>91123.9</v>
      </c>
      <c r="Y30" s="4">
        <v>1971.75</v>
      </c>
      <c r="Z30" s="4">
        <v>27825.4</v>
      </c>
      <c r="AA30" s="4">
        <v>70469.350000000006</v>
      </c>
      <c r="AB30" s="4">
        <v>254380.79999999999</v>
      </c>
      <c r="AC30" s="4">
        <v>111003.2</v>
      </c>
      <c r="AD30" s="4">
        <v>81121.3</v>
      </c>
      <c r="AE30" s="4">
        <v>123889.75</v>
      </c>
      <c r="AF30" s="4">
        <v>197287.6</v>
      </c>
      <c r="AG30" s="4">
        <v>51463.8</v>
      </c>
      <c r="AH30" s="4">
        <v>23234</v>
      </c>
      <c r="AI30" s="4">
        <v>122708.2</v>
      </c>
      <c r="AJ30" s="4">
        <v>64244</v>
      </c>
      <c r="AK30" s="4">
        <v>42177.4</v>
      </c>
      <c r="AL30" s="4">
        <v>6779</v>
      </c>
      <c r="AM30" s="4">
        <v>58609.69</v>
      </c>
      <c r="AN30" s="4">
        <v>86287.15</v>
      </c>
      <c r="AO30" s="4">
        <v>36190.1</v>
      </c>
      <c r="AP30" s="4">
        <v>561553.30000000005</v>
      </c>
      <c r="AQ30" s="4">
        <v>77009.8</v>
      </c>
      <c r="AR30" s="4">
        <v>136135.20000000001</v>
      </c>
      <c r="AS30" s="4">
        <v>25057.5</v>
      </c>
      <c r="AT30" s="4">
        <v>154310.85</v>
      </c>
      <c r="AU30" s="4">
        <v>48229.45</v>
      </c>
      <c r="AV30" s="4">
        <v>10495</v>
      </c>
      <c r="AW30" s="4">
        <v>20162</v>
      </c>
      <c r="AX30" s="4">
        <v>161244.65</v>
      </c>
      <c r="AY30" s="4">
        <v>20578</v>
      </c>
      <c r="AZ30" s="4">
        <v>116386.97</v>
      </c>
      <c r="BA30" s="4">
        <v>31318.3</v>
      </c>
      <c r="BB30" s="4">
        <v>407591.21</v>
      </c>
      <c r="BC30" s="4">
        <v>28373.85</v>
      </c>
      <c r="BD30" s="72">
        <f t="shared" si="1"/>
        <v>8078036.5399999991</v>
      </c>
      <c r="BE30" s="72">
        <f t="shared" si="2"/>
        <v>4770282.2699999986</v>
      </c>
      <c r="BF30" s="72">
        <f t="shared" si="3"/>
        <v>1092312.6499999999</v>
      </c>
      <c r="BG30" s="72">
        <f t="shared" si="4"/>
        <v>2215441.62</v>
      </c>
    </row>
    <row r="31" spans="1:59" ht="16.5" customHeight="1" x14ac:dyDescent="0.3">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3">
      <c r="A32" s="71">
        <v>7</v>
      </c>
      <c r="B32" s="69" t="s">
        <v>315</v>
      </c>
      <c r="C32" s="70">
        <f>C33-C34</f>
        <v>-240238.62000000005</v>
      </c>
      <c r="D32" s="70">
        <f t="shared" ref="D32:BC32" si="11">D33-D34</f>
        <v>-14096.709999999992</v>
      </c>
      <c r="E32" s="70">
        <f t="shared" si="11"/>
        <v>10391.76999999999</v>
      </c>
      <c r="F32" s="70">
        <f t="shared" si="11"/>
        <v>-4010.9499999999825</v>
      </c>
      <c r="G32" s="70">
        <f t="shared" si="11"/>
        <v>-433133.09000000008</v>
      </c>
      <c r="H32" s="70">
        <f t="shared" si="11"/>
        <v>-161684.67999999993</v>
      </c>
      <c r="I32" s="70">
        <f t="shared" si="11"/>
        <v>-59647.780000000028</v>
      </c>
      <c r="J32" s="70">
        <f t="shared" si="11"/>
        <v>-311887.22000000067</v>
      </c>
      <c r="K32" s="70">
        <f t="shared" si="11"/>
        <v>-80072.709999999963</v>
      </c>
      <c r="L32" s="70">
        <f t="shared" si="11"/>
        <v>2353.9000000000015</v>
      </c>
      <c r="M32" s="70">
        <f t="shared" si="11"/>
        <v>-174520.16999999993</v>
      </c>
      <c r="N32" s="70">
        <f t="shared" si="11"/>
        <v>9105.1499999999942</v>
      </c>
      <c r="O32" s="70">
        <f t="shared" si="11"/>
        <v>-9661.86</v>
      </c>
      <c r="P32" s="70">
        <f t="shared" si="11"/>
        <v>-16124.910000000003</v>
      </c>
      <c r="Q32" s="70">
        <f t="shared" si="11"/>
        <v>-146222.22</v>
      </c>
      <c r="R32" s="70">
        <f t="shared" si="11"/>
        <v>-113710.18</v>
      </c>
      <c r="S32" s="70">
        <f t="shared" si="11"/>
        <v>-8012.5499999999884</v>
      </c>
      <c r="T32" s="70">
        <f t="shared" si="11"/>
        <v>66806.98000000001</v>
      </c>
      <c r="U32" s="70">
        <f t="shared" si="11"/>
        <v>-279078.07000000007</v>
      </c>
      <c r="V32" s="70">
        <f t="shared" si="11"/>
        <v>-6857.3500000000058</v>
      </c>
      <c r="W32" s="70">
        <f t="shared" si="11"/>
        <v>-85727.04999999993</v>
      </c>
      <c r="X32" s="70">
        <f t="shared" si="11"/>
        <v>-152151.33999999997</v>
      </c>
      <c r="Y32" s="70">
        <f t="shared" si="11"/>
        <v>18609.949999999997</v>
      </c>
      <c r="Z32" s="70">
        <f t="shared" si="11"/>
        <v>-14561.089999999997</v>
      </c>
      <c r="AA32" s="70">
        <f t="shared" si="11"/>
        <v>12182.72000000003</v>
      </c>
      <c r="AB32" s="70">
        <f t="shared" si="11"/>
        <v>-35840.199999999953</v>
      </c>
      <c r="AC32" s="70">
        <f t="shared" si="11"/>
        <v>53612.200000000012</v>
      </c>
      <c r="AD32" s="70">
        <f t="shared" si="11"/>
        <v>1341.1900000000023</v>
      </c>
      <c r="AE32" s="70">
        <f t="shared" si="11"/>
        <v>-107874.42000000016</v>
      </c>
      <c r="AF32" s="70">
        <f t="shared" si="11"/>
        <v>-193982.89999999991</v>
      </c>
      <c r="AG32" s="70">
        <f t="shared" si="11"/>
        <v>-4538.25</v>
      </c>
      <c r="AH32" s="70">
        <f t="shared" si="11"/>
        <v>4593.0500000000029</v>
      </c>
      <c r="AI32" s="70">
        <f t="shared" si="11"/>
        <v>-40300</v>
      </c>
      <c r="AJ32" s="70">
        <f t="shared" si="11"/>
        <v>105735.84999999998</v>
      </c>
      <c r="AK32" s="70">
        <f t="shared" si="11"/>
        <v>-35250.479999999981</v>
      </c>
      <c r="AL32" s="70">
        <f t="shared" si="11"/>
        <v>-13.880000000004657</v>
      </c>
      <c r="AM32" s="70">
        <f t="shared" si="11"/>
        <v>71045.670000000042</v>
      </c>
      <c r="AN32" s="70">
        <f t="shared" si="11"/>
        <v>-23405.950000000012</v>
      </c>
      <c r="AO32" s="70">
        <f t="shared" si="11"/>
        <v>18588.559999999998</v>
      </c>
      <c r="AP32" s="70">
        <f t="shared" si="11"/>
        <v>43258.329999999958</v>
      </c>
      <c r="AQ32" s="70">
        <f t="shared" si="11"/>
        <v>-39524.179999999993</v>
      </c>
      <c r="AR32" s="70">
        <f t="shared" si="11"/>
        <v>-97723.38</v>
      </c>
      <c r="AS32" s="70">
        <f t="shared" si="11"/>
        <v>-14048.469999999972</v>
      </c>
      <c r="AT32" s="70">
        <f t="shared" si="11"/>
        <v>-132833.50000000012</v>
      </c>
      <c r="AU32" s="70">
        <f t="shared" si="11"/>
        <v>-26973.200000000012</v>
      </c>
      <c r="AV32" s="70">
        <f t="shared" si="11"/>
        <v>-16925.699999999997</v>
      </c>
      <c r="AW32" s="70">
        <f t="shared" si="11"/>
        <v>-29513.049999999988</v>
      </c>
      <c r="AX32" s="70">
        <f t="shared" si="11"/>
        <v>21633.350000000093</v>
      </c>
      <c r="AY32" s="70">
        <f t="shared" si="11"/>
        <v>-116028.4</v>
      </c>
      <c r="AZ32" s="70">
        <f t="shared" si="11"/>
        <v>30939.219999999972</v>
      </c>
      <c r="BA32" s="70">
        <f t="shared" si="11"/>
        <v>3282.6100000000006</v>
      </c>
      <c r="BB32" s="70">
        <f t="shared" si="11"/>
        <v>101661.10000000009</v>
      </c>
      <c r="BC32" s="70">
        <f t="shared" si="11"/>
        <v>-38399.299999999988</v>
      </c>
      <c r="BD32" s="70">
        <f t="shared" si="1"/>
        <v>-2689432.2100000009</v>
      </c>
      <c r="BE32" s="70">
        <f t="shared" si="2"/>
        <v>-1963443.9200000009</v>
      </c>
      <c r="BF32" s="70">
        <f t="shared" si="3"/>
        <v>-511193.48999999993</v>
      </c>
      <c r="BG32" s="70">
        <f t="shared" si="4"/>
        <v>-214794.8</v>
      </c>
    </row>
    <row r="33" spans="1:59" ht="16.5" customHeight="1" x14ac:dyDescent="0.3">
      <c r="A33" s="65"/>
      <c r="B33" s="67" t="s">
        <v>318</v>
      </c>
      <c r="C33" s="4">
        <v>402978.18</v>
      </c>
      <c r="D33" s="4">
        <v>176477.19</v>
      </c>
      <c r="E33" s="4">
        <v>162516.62</v>
      </c>
      <c r="F33" s="4">
        <v>201459.45</v>
      </c>
      <c r="G33" s="4">
        <v>1271921.23</v>
      </c>
      <c r="H33" s="4">
        <v>1127251.3400000001</v>
      </c>
      <c r="I33" s="4">
        <v>1318667.77</v>
      </c>
      <c r="J33" s="4">
        <v>10183309.689999999</v>
      </c>
      <c r="K33" s="4">
        <v>610016.14</v>
      </c>
      <c r="L33" s="4">
        <v>43666.25</v>
      </c>
      <c r="M33" s="4">
        <v>3221540.67</v>
      </c>
      <c r="N33" s="4">
        <v>190227.07</v>
      </c>
      <c r="O33" s="4">
        <v>30045.14</v>
      </c>
      <c r="P33" s="4">
        <v>156926.15</v>
      </c>
      <c r="Q33" s="4">
        <v>142442.07999999999</v>
      </c>
      <c r="R33" s="4">
        <v>267827.42</v>
      </c>
      <c r="S33" s="4">
        <v>153680.35</v>
      </c>
      <c r="T33" s="4">
        <v>231808.42</v>
      </c>
      <c r="U33" s="4">
        <v>745442.33</v>
      </c>
      <c r="V33" s="4">
        <v>181796.3</v>
      </c>
      <c r="W33" s="4">
        <v>683278.3</v>
      </c>
      <c r="X33" s="4">
        <v>817613.48</v>
      </c>
      <c r="Y33" s="4">
        <v>86379.7</v>
      </c>
      <c r="Z33" s="4">
        <v>99302.61</v>
      </c>
      <c r="AA33" s="4">
        <v>435185.39</v>
      </c>
      <c r="AB33" s="4">
        <v>407049.28</v>
      </c>
      <c r="AC33" s="4">
        <v>462684.19</v>
      </c>
      <c r="AD33" s="4">
        <v>263336.3</v>
      </c>
      <c r="AE33" s="4">
        <v>1159039.19</v>
      </c>
      <c r="AF33" s="4">
        <v>1576822.1</v>
      </c>
      <c r="AG33" s="4">
        <v>169395.64</v>
      </c>
      <c r="AH33" s="4">
        <v>120992.25</v>
      </c>
      <c r="AI33" s="4">
        <v>912529.9</v>
      </c>
      <c r="AJ33" s="4">
        <v>814717.9</v>
      </c>
      <c r="AK33" s="4">
        <v>551743.17000000004</v>
      </c>
      <c r="AL33" s="4">
        <v>74709.62</v>
      </c>
      <c r="AM33" s="4">
        <v>855196.39</v>
      </c>
      <c r="AN33" s="4">
        <v>341095.95</v>
      </c>
      <c r="AO33" s="4">
        <v>374013.4</v>
      </c>
      <c r="AP33" s="4">
        <v>701272.33</v>
      </c>
      <c r="AQ33" s="4">
        <v>344803.2</v>
      </c>
      <c r="AR33" s="4">
        <v>445656.77</v>
      </c>
      <c r="AS33" s="4">
        <v>269873.33</v>
      </c>
      <c r="AT33" s="4">
        <v>1048193.1</v>
      </c>
      <c r="AU33" s="4">
        <v>350052.25</v>
      </c>
      <c r="AV33" s="4">
        <v>90096.39</v>
      </c>
      <c r="AW33" s="4">
        <v>195715.25</v>
      </c>
      <c r="AX33" s="4">
        <v>757144.55</v>
      </c>
      <c r="AY33" s="4">
        <v>168584.85</v>
      </c>
      <c r="AZ33" s="4">
        <v>718761.48</v>
      </c>
      <c r="BA33" s="4">
        <v>76759.41</v>
      </c>
      <c r="BB33" s="4">
        <v>3693570.92</v>
      </c>
      <c r="BC33" s="4">
        <v>247550.8</v>
      </c>
      <c r="BD33" s="72">
        <f t="shared" si="1"/>
        <v>40133119.179999992</v>
      </c>
      <c r="BE33" s="72">
        <f t="shared" si="2"/>
        <v>20638203.490000002</v>
      </c>
      <c r="BF33" s="72">
        <f t="shared" si="3"/>
        <v>6462874.7299999995</v>
      </c>
      <c r="BG33" s="72">
        <f t="shared" si="4"/>
        <v>13032040.960000001</v>
      </c>
    </row>
    <row r="34" spans="1:59" ht="16.5" customHeight="1" x14ac:dyDescent="0.3">
      <c r="A34" s="65"/>
      <c r="B34" s="67" t="s">
        <v>319</v>
      </c>
      <c r="C34" s="4">
        <v>643216.80000000005</v>
      </c>
      <c r="D34" s="4">
        <v>190573.9</v>
      </c>
      <c r="E34" s="4">
        <v>152124.85</v>
      </c>
      <c r="F34" s="4">
        <v>205470.4</v>
      </c>
      <c r="G34" s="4">
        <v>1705054.32</v>
      </c>
      <c r="H34" s="4">
        <v>1288936.02</v>
      </c>
      <c r="I34" s="4">
        <v>1378315.55</v>
      </c>
      <c r="J34" s="4">
        <v>10495196.91</v>
      </c>
      <c r="K34" s="4">
        <v>690088.85</v>
      </c>
      <c r="L34" s="4">
        <v>41312.35</v>
      </c>
      <c r="M34" s="4">
        <v>3396060.84</v>
      </c>
      <c r="N34" s="4">
        <v>181121.92000000001</v>
      </c>
      <c r="O34" s="4">
        <v>39707</v>
      </c>
      <c r="P34" s="4">
        <v>173051.06</v>
      </c>
      <c r="Q34" s="4">
        <v>288664.3</v>
      </c>
      <c r="R34" s="4">
        <v>381537.6</v>
      </c>
      <c r="S34" s="4">
        <v>161692.9</v>
      </c>
      <c r="T34" s="4">
        <v>165001.44</v>
      </c>
      <c r="U34" s="4">
        <v>1024520.4</v>
      </c>
      <c r="V34" s="4">
        <v>188653.65</v>
      </c>
      <c r="W34" s="4">
        <v>769005.35</v>
      </c>
      <c r="X34" s="4">
        <v>969764.82</v>
      </c>
      <c r="Y34" s="4">
        <v>67769.75</v>
      </c>
      <c r="Z34" s="4">
        <v>113863.7</v>
      </c>
      <c r="AA34" s="4">
        <v>423002.67</v>
      </c>
      <c r="AB34" s="4">
        <v>442889.48</v>
      </c>
      <c r="AC34" s="4">
        <v>409071.99</v>
      </c>
      <c r="AD34" s="4">
        <v>261995.11</v>
      </c>
      <c r="AE34" s="4">
        <v>1266913.6100000001</v>
      </c>
      <c r="AF34" s="4">
        <v>1770805</v>
      </c>
      <c r="AG34" s="4">
        <v>173933.89</v>
      </c>
      <c r="AH34" s="4">
        <v>116399.2</v>
      </c>
      <c r="AI34" s="4">
        <v>952829.9</v>
      </c>
      <c r="AJ34" s="4">
        <v>708982.05</v>
      </c>
      <c r="AK34" s="4">
        <v>586993.65</v>
      </c>
      <c r="AL34" s="4">
        <v>74723.5</v>
      </c>
      <c r="AM34" s="4">
        <v>784150.72</v>
      </c>
      <c r="AN34" s="4">
        <v>364501.9</v>
      </c>
      <c r="AO34" s="4">
        <v>355424.84</v>
      </c>
      <c r="AP34" s="4">
        <v>658014</v>
      </c>
      <c r="AQ34" s="4">
        <v>384327.38</v>
      </c>
      <c r="AR34" s="4">
        <v>543380.15</v>
      </c>
      <c r="AS34" s="4">
        <v>283921.8</v>
      </c>
      <c r="AT34" s="4">
        <v>1181026.6000000001</v>
      </c>
      <c r="AU34" s="4">
        <v>377025.45</v>
      </c>
      <c r="AV34" s="4">
        <v>107022.09</v>
      </c>
      <c r="AW34" s="4">
        <v>225228.3</v>
      </c>
      <c r="AX34" s="4">
        <v>735511.2</v>
      </c>
      <c r="AY34" s="4">
        <v>284613.25</v>
      </c>
      <c r="AZ34" s="4">
        <v>687822.26</v>
      </c>
      <c r="BA34" s="4">
        <v>73476.800000000003</v>
      </c>
      <c r="BB34" s="4">
        <v>3591909.82</v>
      </c>
      <c r="BC34" s="4">
        <v>285950.09999999998</v>
      </c>
      <c r="BD34" s="72">
        <f t="shared" si="1"/>
        <v>42822551.390000001</v>
      </c>
      <c r="BE34" s="72">
        <f t="shared" si="2"/>
        <v>22601647.41</v>
      </c>
      <c r="BF34" s="72">
        <f t="shared" si="3"/>
        <v>6974068.2199999997</v>
      </c>
      <c r="BG34" s="72">
        <f t="shared" si="4"/>
        <v>13246835.760000002</v>
      </c>
    </row>
    <row r="35" spans="1:59" ht="16.5" customHeight="1" x14ac:dyDescent="0.3">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3">
      <c r="A36" s="71">
        <v>8</v>
      </c>
      <c r="B36" s="69" t="s">
        <v>316</v>
      </c>
      <c r="C36" s="70">
        <f>C37-C38</f>
        <v>3640.8500000000004</v>
      </c>
      <c r="D36" s="70">
        <f t="shared" ref="D36:BC36" si="12">D37-D38</f>
        <v>1752.2</v>
      </c>
      <c r="E36" s="70">
        <f t="shared" si="12"/>
        <v>3363.8</v>
      </c>
      <c r="F36" s="70">
        <f t="shared" si="12"/>
        <v>-2256.16</v>
      </c>
      <c r="G36" s="70">
        <f t="shared" si="12"/>
        <v>-105956.19000000006</v>
      </c>
      <c r="H36" s="70">
        <f t="shared" si="12"/>
        <v>-162537.19999999995</v>
      </c>
      <c r="I36" s="70">
        <f t="shared" si="12"/>
        <v>-6591.679999999993</v>
      </c>
      <c r="J36" s="70">
        <f t="shared" si="12"/>
        <v>-287348.25</v>
      </c>
      <c r="K36" s="70">
        <f t="shared" si="12"/>
        <v>-28060.860000000102</v>
      </c>
      <c r="L36" s="70">
        <f t="shared" si="12"/>
        <v>2105.75</v>
      </c>
      <c r="M36" s="70">
        <f t="shared" si="12"/>
        <v>48604.619999999995</v>
      </c>
      <c r="N36" s="70">
        <f t="shared" si="12"/>
        <v>24124.150000000009</v>
      </c>
      <c r="O36" s="70">
        <f t="shared" si="12"/>
        <v>-40711.799999999996</v>
      </c>
      <c r="P36" s="70">
        <f t="shared" si="12"/>
        <v>-15959.199999999997</v>
      </c>
      <c r="Q36" s="70">
        <f t="shared" si="12"/>
        <v>-16152.9</v>
      </c>
      <c r="R36" s="70">
        <f t="shared" si="12"/>
        <v>-44076.950000000012</v>
      </c>
      <c r="S36" s="70">
        <f t="shared" si="12"/>
        <v>3418.4499999999989</v>
      </c>
      <c r="T36" s="70">
        <f t="shared" si="12"/>
        <v>-471.04999999999927</v>
      </c>
      <c r="U36" s="70">
        <f t="shared" si="12"/>
        <v>-16933.149999999994</v>
      </c>
      <c r="V36" s="70">
        <f t="shared" si="12"/>
        <v>-30340.04999999993</v>
      </c>
      <c r="W36" s="70">
        <f t="shared" si="12"/>
        <v>22698.51</v>
      </c>
      <c r="X36" s="70">
        <f t="shared" si="12"/>
        <v>20250.540000000037</v>
      </c>
      <c r="Y36" s="70">
        <f t="shared" si="12"/>
        <v>10864.75</v>
      </c>
      <c r="Z36" s="70">
        <f t="shared" si="12"/>
        <v>-17610.960000000021</v>
      </c>
      <c r="AA36" s="70">
        <f t="shared" si="12"/>
        <v>-31871.409999999974</v>
      </c>
      <c r="AB36" s="70">
        <f t="shared" si="12"/>
        <v>-23206.009999999995</v>
      </c>
      <c r="AC36" s="70">
        <f t="shared" si="12"/>
        <v>2390.3999999999942</v>
      </c>
      <c r="AD36" s="70">
        <f t="shared" si="12"/>
        <v>-72258.850000000093</v>
      </c>
      <c r="AE36" s="70">
        <f t="shared" si="12"/>
        <v>82061.680000000051</v>
      </c>
      <c r="AF36" s="70">
        <f t="shared" si="12"/>
        <v>-16147.199999999953</v>
      </c>
      <c r="AG36" s="70">
        <f t="shared" si="12"/>
        <v>-1984.8499999999913</v>
      </c>
      <c r="AH36" s="70">
        <f t="shared" si="12"/>
        <v>-12756.329999999987</v>
      </c>
      <c r="AI36" s="70">
        <f t="shared" si="12"/>
        <v>-16217.700000000012</v>
      </c>
      <c r="AJ36" s="70">
        <f t="shared" si="12"/>
        <v>-62877.699999999953</v>
      </c>
      <c r="AK36" s="70">
        <f t="shared" si="12"/>
        <v>-50174.3</v>
      </c>
      <c r="AL36" s="70">
        <f t="shared" si="12"/>
        <v>-17203.93</v>
      </c>
      <c r="AM36" s="70">
        <f t="shared" si="12"/>
        <v>133528.44999999998</v>
      </c>
      <c r="AN36" s="70">
        <f t="shared" si="12"/>
        <v>-60232.130000000005</v>
      </c>
      <c r="AO36" s="70">
        <f t="shared" si="12"/>
        <v>10744.539999999999</v>
      </c>
      <c r="AP36" s="70">
        <f t="shared" si="12"/>
        <v>121991.4</v>
      </c>
      <c r="AQ36" s="70">
        <f t="shared" si="12"/>
        <v>23248.159999999974</v>
      </c>
      <c r="AR36" s="70">
        <f t="shared" si="12"/>
        <v>-26488.26999999999</v>
      </c>
      <c r="AS36" s="70">
        <f t="shared" si="12"/>
        <v>-7123.1499999999942</v>
      </c>
      <c r="AT36" s="70">
        <f t="shared" si="12"/>
        <v>31877.619999999995</v>
      </c>
      <c r="AU36" s="70">
        <f t="shared" si="12"/>
        <v>7051.5000000000146</v>
      </c>
      <c r="AV36" s="70">
        <f t="shared" si="12"/>
        <v>18019.969999999994</v>
      </c>
      <c r="AW36" s="70">
        <f t="shared" si="12"/>
        <v>8253.7000000000044</v>
      </c>
      <c r="AX36" s="70">
        <f t="shared" si="12"/>
        <v>121300.54000000001</v>
      </c>
      <c r="AY36" s="70">
        <f t="shared" si="12"/>
        <v>25231.040000000001</v>
      </c>
      <c r="AZ36" s="70">
        <f t="shared" si="12"/>
        <v>-163747.65</v>
      </c>
      <c r="BA36" s="70">
        <f t="shared" si="12"/>
        <v>-7379.57</v>
      </c>
      <c r="BB36" s="70">
        <f t="shared" si="12"/>
        <v>348298.42</v>
      </c>
      <c r="BC36" s="70">
        <f t="shared" si="12"/>
        <v>-62083</v>
      </c>
      <c r="BD36" s="70">
        <f t="shared" si="1"/>
        <v>-331937.40999999986</v>
      </c>
      <c r="BE36" s="70">
        <f t="shared" si="2"/>
        <v>-640045.57000000018</v>
      </c>
      <c r="BF36" s="70">
        <f t="shared" si="3"/>
        <v>-67909.779999999868</v>
      </c>
      <c r="BG36" s="70">
        <f t="shared" si="4"/>
        <v>376017.94</v>
      </c>
    </row>
    <row r="37" spans="1:59" ht="16.5" customHeight="1" x14ac:dyDescent="0.3">
      <c r="A37" s="65"/>
      <c r="B37" s="67" t="s">
        <v>318</v>
      </c>
      <c r="C37" s="4">
        <v>18191.45</v>
      </c>
      <c r="D37" s="4">
        <v>1770.2</v>
      </c>
      <c r="E37" s="4">
        <v>7522.35</v>
      </c>
      <c r="F37" s="4">
        <v>25607.45</v>
      </c>
      <c r="G37" s="4">
        <v>923102.82</v>
      </c>
      <c r="H37" s="4">
        <v>565728.28</v>
      </c>
      <c r="I37" s="4">
        <v>348379.77</v>
      </c>
      <c r="J37" s="4">
        <v>24509229.129999999</v>
      </c>
      <c r="K37" s="4">
        <v>1585275.4</v>
      </c>
      <c r="L37" s="4">
        <v>4182.55</v>
      </c>
      <c r="M37" s="4">
        <v>317483.77</v>
      </c>
      <c r="N37" s="4">
        <v>73425.850000000006</v>
      </c>
      <c r="O37" s="4">
        <v>412.8</v>
      </c>
      <c r="P37" s="4">
        <v>18546</v>
      </c>
      <c r="Q37" s="4">
        <v>2304.65</v>
      </c>
      <c r="R37" s="4">
        <v>176262</v>
      </c>
      <c r="S37" s="4">
        <v>8285.7999999999993</v>
      </c>
      <c r="T37" s="4">
        <v>21352.9</v>
      </c>
      <c r="U37" s="4">
        <v>75295.850000000006</v>
      </c>
      <c r="V37" s="4">
        <v>690806.8</v>
      </c>
      <c r="W37" s="4">
        <v>24558.66</v>
      </c>
      <c r="X37" s="4">
        <v>977561.75</v>
      </c>
      <c r="Y37" s="4">
        <v>195647.45</v>
      </c>
      <c r="Z37" s="4">
        <v>297500.24</v>
      </c>
      <c r="AA37" s="4">
        <v>522170.92</v>
      </c>
      <c r="AB37" s="4">
        <v>95191.35</v>
      </c>
      <c r="AC37" s="4">
        <v>209731.36</v>
      </c>
      <c r="AD37" s="4">
        <v>1370143.71</v>
      </c>
      <c r="AE37" s="4">
        <v>885610.68</v>
      </c>
      <c r="AF37" s="4">
        <v>913765.05</v>
      </c>
      <c r="AG37" s="4">
        <v>74994.58</v>
      </c>
      <c r="AH37" s="4">
        <v>76243.570000000007</v>
      </c>
      <c r="AI37" s="4">
        <v>197705.96</v>
      </c>
      <c r="AJ37" s="4">
        <v>670289.05000000005</v>
      </c>
      <c r="AK37" s="4">
        <v>74818.7</v>
      </c>
      <c r="AL37" s="4">
        <v>57455.37</v>
      </c>
      <c r="AM37" s="4">
        <v>310968.34999999998</v>
      </c>
      <c r="AN37" s="4">
        <v>231678.64</v>
      </c>
      <c r="AO37" s="4">
        <v>16730.3</v>
      </c>
      <c r="AP37" s="4">
        <v>346892.25</v>
      </c>
      <c r="AQ37" s="4">
        <v>319226.68</v>
      </c>
      <c r="AR37" s="4">
        <v>240575.66</v>
      </c>
      <c r="AS37" s="4">
        <v>88336.1</v>
      </c>
      <c r="AT37" s="4">
        <v>184682.43</v>
      </c>
      <c r="AU37" s="4">
        <v>134878.20000000001</v>
      </c>
      <c r="AV37" s="4">
        <v>83443.37</v>
      </c>
      <c r="AW37" s="4">
        <v>46341.05</v>
      </c>
      <c r="AX37" s="4">
        <v>143905.54</v>
      </c>
      <c r="AY37" s="4">
        <v>40291.69</v>
      </c>
      <c r="AZ37" s="4">
        <v>83151.5</v>
      </c>
      <c r="BA37" s="4">
        <v>44981.03</v>
      </c>
      <c r="BB37" s="4">
        <v>386182.62</v>
      </c>
      <c r="BC37" s="4">
        <v>134252.29999999999</v>
      </c>
      <c r="BD37" s="72">
        <f t="shared" si="1"/>
        <v>38853071.929999985</v>
      </c>
      <c r="BE37" s="72">
        <f t="shared" si="2"/>
        <v>28682359.02</v>
      </c>
      <c r="BF37" s="72">
        <f t="shared" si="3"/>
        <v>6333926.1200000001</v>
      </c>
      <c r="BG37" s="72">
        <f t="shared" si="4"/>
        <v>3836786.79</v>
      </c>
    </row>
    <row r="38" spans="1:59" ht="16.5" customHeight="1" x14ac:dyDescent="0.3">
      <c r="A38" s="65"/>
      <c r="B38" s="67" t="s">
        <v>319</v>
      </c>
      <c r="C38" s="4">
        <v>14550.6</v>
      </c>
      <c r="D38" s="4">
        <v>18</v>
      </c>
      <c r="E38" s="4">
        <v>4158.55</v>
      </c>
      <c r="F38" s="4">
        <v>27863.61</v>
      </c>
      <c r="G38" s="4">
        <v>1029059.01</v>
      </c>
      <c r="H38" s="4">
        <v>728265.48</v>
      </c>
      <c r="I38" s="4">
        <v>354971.45</v>
      </c>
      <c r="J38" s="4">
        <v>24796577.379999999</v>
      </c>
      <c r="K38" s="4">
        <v>1613336.26</v>
      </c>
      <c r="L38" s="4">
        <v>2076.8000000000002</v>
      </c>
      <c r="M38" s="4">
        <v>268879.15000000002</v>
      </c>
      <c r="N38" s="4">
        <v>49301.7</v>
      </c>
      <c r="O38" s="4">
        <v>41124.6</v>
      </c>
      <c r="P38" s="4">
        <v>34505.199999999997</v>
      </c>
      <c r="Q38" s="4">
        <v>18457.55</v>
      </c>
      <c r="R38" s="4">
        <v>220338.95</v>
      </c>
      <c r="S38" s="4">
        <v>4867.3500000000004</v>
      </c>
      <c r="T38" s="4">
        <v>21823.95</v>
      </c>
      <c r="U38" s="4">
        <v>92229</v>
      </c>
      <c r="V38" s="4">
        <v>721146.85</v>
      </c>
      <c r="W38" s="4">
        <v>1860.15</v>
      </c>
      <c r="X38" s="4">
        <v>957311.21</v>
      </c>
      <c r="Y38" s="4">
        <v>184782.7</v>
      </c>
      <c r="Z38" s="4">
        <v>315111.2</v>
      </c>
      <c r="AA38" s="4">
        <v>554042.32999999996</v>
      </c>
      <c r="AB38" s="4">
        <v>118397.36</v>
      </c>
      <c r="AC38" s="4">
        <v>207340.96</v>
      </c>
      <c r="AD38" s="4">
        <v>1442402.56</v>
      </c>
      <c r="AE38" s="4">
        <v>803549</v>
      </c>
      <c r="AF38" s="4">
        <v>929912.25</v>
      </c>
      <c r="AG38" s="4">
        <v>76979.429999999993</v>
      </c>
      <c r="AH38" s="4">
        <v>88999.9</v>
      </c>
      <c r="AI38" s="4">
        <v>213923.66</v>
      </c>
      <c r="AJ38" s="4">
        <v>733166.75</v>
      </c>
      <c r="AK38" s="4">
        <v>124993</v>
      </c>
      <c r="AL38" s="4">
        <v>74659.3</v>
      </c>
      <c r="AM38" s="4">
        <v>177439.9</v>
      </c>
      <c r="AN38" s="4">
        <v>291910.77</v>
      </c>
      <c r="AO38" s="4">
        <v>5985.76</v>
      </c>
      <c r="AP38" s="4">
        <v>224900.85</v>
      </c>
      <c r="AQ38" s="4">
        <v>295978.52</v>
      </c>
      <c r="AR38" s="4">
        <v>267063.93</v>
      </c>
      <c r="AS38" s="4">
        <v>95459.25</v>
      </c>
      <c r="AT38" s="4">
        <v>152804.81</v>
      </c>
      <c r="AU38" s="4">
        <v>127826.7</v>
      </c>
      <c r="AV38" s="4">
        <v>65423.4</v>
      </c>
      <c r="AW38" s="4">
        <v>38087.35</v>
      </c>
      <c r="AX38" s="4">
        <v>22605</v>
      </c>
      <c r="AY38" s="4">
        <v>15060.65</v>
      </c>
      <c r="AZ38" s="4">
        <v>246899.15</v>
      </c>
      <c r="BA38" s="4">
        <v>52360.6</v>
      </c>
      <c r="BB38" s="4">
        <v>37884.199999999997</v>
      </c>
      <c r="BC38" s="4">
        <v>196335.3</v>
      </c>
      <c r="BD38" s="72">
        <f t="shared" si="1"/>
        <v>39185009.339999996</v>
      </c>
      <c r="BE38" s="72">
        <f t="shared" si="2"/>
        <v>29322404.59</v>
      </c>
      <c r="BF38" s="72">
        <f t="shared" si="3"/>
        <v>6401835.9000000004</v>
      </c>
      <c r="BG38" s="72">
        <f t="shared" si="4"/>
        <v>3460768.8500000006</v>
      </c>
    </row>
    <row r="39" spans="1:59" ht="16.5" customHeight="1" x14ac:dyDescent="0.3">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3">
      <c r="A40" s="71">
        <v>9</v>
      </c>
      <c r="B40" s="69" t="s">
        <v>317</v>
      </c>
      <c r="C40" s="70">
        <f>C41-C42</f>
        <v>-2694796.66</v>
      </c>
      <c r="D40" s="70">
        <f t="shared" ref="D40:BC40" si="13">D41-D42</f>
        <v>-827237.57</v>
      </c>
      <c r="E40" s="70">
        <f t="shared" si="13"/>
        <v>-1230835.17</v>
      </c>
      <c r="F40" s="70">
        <f t="shared" si="13"/>
        <v>-1156210.95</v>
      </c>
      <c r="G40" s="70">
        <f t="shared" si="13"/>
        <v>-8685565.1999999993</v>
      </c>
      <c r="H40" s="70">
        <f t="shared" si="13"/>
        <v>-8868571.7000000011</v>
      </c>
      <c r="I40" s="70">
        <f t="shared" si="13"/>
        <v>-6791870.7800000003</v>
      </c>
      <c r="J40" s="70">
        <f t="shared" si="13"/>
        <v>-44478832.530000001</v>
      </c>
      <c r="K40" s="70">
        <f t="shared" si="13"/>
        <v>-3551287.42</v>
      </c>
      <c r="L40" s="70">
        <f t="shared" si="13"/>
        <v>-259979.78</v>
      </c>
      <c r="M40" s="70">
        <f t="shared" si="13"/>
        <v>-18838827.759999998</v>
      </c>
      <c r="N40" s="70">
        <f t="shared" si="13"/>
        <v>-1319321.79</v>
      </c>
      <c r="O40" s="70">
        <f t="shared" si="13"/>
        <v>-252231.05</v>
      </c>
      <c r="P40" s="70">
        <f t="shared" si="13"/>
        <v>-1151337.1300000001</v>
      </c>
      <c r="Q40" s="70">
        <f t="shared" si="13"/>
        <v>-803764.99</v>
      </c>
      <c r="R40" s="70">
        <f t="shared" si="13"/>
        <v>-1933064.1999999997</v>
      </c>
      <c r="S40" s="70">
        <f t="shared" si="13"/>
        <v>-706972.24</v>
      </c>
      <c r="T40" s="70">
        <f t="shared" si="13"/>
        <v>-1264474.45</v>
      </c>
      <c r="U40" s="70">
        <f t="shared" si="13"/>
        <v>-8435576.7899999991</v>
      </c>
      <c r="V40" s="70">
        <f t="shared" si="13"/>
        <v>-767324.23</v>
      </c>
      <c r="W40" s="70">
        <f t="shared" si="13"/>
        <v>-3728654.82</v>
      </c>
      <c r="X40" s="70">
        <f t="shared" si="13"/>
        <v>-7644621.0899999999</v>
      </c>
      <c r="Y40" s="70">
        <f t="shared" si="13"/>
        <v>-327940.03999999998</v>
      </c>
      <c r="Z40" s="70">
        <f t="shared" si="13"/>
        <v>-324681.86</v>
      </c>
      <c r="AA40" s="70">
        <f t="shared" si="13"/>
        <v>-1491444.8900000001</v>
      </c>
      <c r="AB40" s="70">
        <f t="shared" si="13"/>
        <v>-1837928.22</v>
      </c>
      <c r="AC40" s="70">
        <f t="shared" si="13"/>
        <v>-1401303.05</v>
      </c>
      <c r="AD40" s="70">
        <f t="shared" si="13"/>
        <v>-1466781</v>
      </c>
      <c r="AE40" s="70">
        <f t="shared" si="13"/>
        <v>-6599128.2199999997</v>
      </c>
      <c r="AF40" s="70">
        <f t="shared" si="13"/>
        <v>-7473142.2599999998</v>
      </c>
      <c r="AG40" s="70">
        <f t="shared" si="13"/>
        <v>-570377.99</v>
      </c>
      <c r="AH40" s="70">
        <f t="shared" si="13"/>
        <v>-332177.46999999997</v>
      </c>
      <c r="AI40" s="70">
        <f t="shared" si="13"/>
        <v>-4683273.1000000006</v>
      </c>
      <c r="AJ40" s="70">
        <f t="shared" si="13"/>
        <v>-3011292.17</v>
      </c>
      <c r="AK40" s="70">
        <f t="shared" si="13"/>
        <v>-3315427.33</v>
      </c>
      <c r="AL40" s="70">
        <f t="shared" si="13"/>
        <v>-379992.56000000006</v>
      </c>
      <c r="AM40" s="70">
        <f t="shared" si="13"/>
        <v>-5160278.08</v>
      </c>
      <c r="AN40" s="70">
        <f t="shared" si="13"/>
        <v>-1866776.8199999998</v>
      </c>
      <c r="AO40" s="70">
        <f t="shared" si="13"/>
        <v>-1859673.4100000001</v>
      </c>
      <c r="AP40" s="70">
        <f t="shared" si="13"/>
        <v>-3563577.2</v>
      </c>
      <c r="AQ40" s="70">
        <f t="shared" si="13"/>
        <v>-1918119.72</v>
      </c>
      <c r="AR40" s="70">
        <f t="shared" si="13"/>
        <v>-2598902.54</v>
      </c>
      <c r="AS40" s="70">
        <f t="shared" si="13"/>
        <v>-1264639.1499999999</v>
      </c>
      <c r="AT40" s="70">
        <f t="shared" si="13"/>
        <v>-6311654.2000000002</v>
      </c>
      <c r="AU40" s="70">
        <f t="shared" si="13"/>
        <v>-2127795.66</v>
      </c>
      <c r="AV40" s="70">
        <f t="shared" si="13"/>
        <v>-534648.6</v>
      </c>
      <c r="AW40" s="70">
        <f t="shared" si="13"/>
        <v>-1108506.19</v>
      </c>
      <c r="AX40" s="70">
        <f t="shared" si="13"/>
        <v>-5018808.8099999996</v>
      </c>
      <c r="AY40" s="70">
        <f t="shared" si="13"/>
        <v>-1061975.18</v>
      </c>
      <c r="AZ40" s="70">
        <f t="shared" si="13"/>
        <v>-3380782.86</v>
      </c>
      <c r="BA40" s="70">
        <f t="shared" si="13"/>
        <v>-427918.30000000005</v>
      </c>
      <c r="BB40" s="70">
        <f t="shared" si="13"/>
        <v>-23369596.050000001</v>
      </c>
      <c r="BC40" s="70">
        <f t="shared" si="13"/>
        <v>-1539488.68</v>
      </c>
      <c r="BD40" s="70">
        <f t="shared" si="1"/>
        <v>-221719389.91000003</v>
      </c>
      <c r="BE40" s="70">
        <f t="shared" si="2"/>
        <v>-113250758.16</v>
      </c>
      <c r="BF40" s="70">
        <f t="shared" si="3"/>
        <v>-33965505.140000001</v>
      </c>
      <c r="BG40" s="70">
        <f t="shared" si="4"/>
        <v>-74503126.609999999</v>
      </c>
    </row>
    <row r="41" spans="1:59" ht="16.5" customHeight="1" x14ac:dyDescent="0.4">
      <c r="A41" s="66"/>
      <c r="B41" s="67" t="s">
        <v>318</v>
      </c>
      <c r="C41" s="4">
        <v>775676.99</v>
      </c>
      <c r="D41" s="4">
        <v>55703.9</v>
      </c>
      <c r="E41" s="4">
        <v>125870.87</v>
      </c>
      <c r="F41" s="4">
        <v>284887.95</v>
      </c>
      <c r="G41" s="4">
        <v>1922525.9</v>
      </c>
      <c r="H41" s="4">
        <v>1587165.19</v>
      </c>
      <c r="I41" s="4">
        <v>996075.96</v>
      </c>
      <c r="J41" s="4">
        <v>8776992.8399999999</v>
      </c>
      <c r="K41" s="4">
        <v>104238.63</v>
      </c>
      <c r="L41" s="4">
        <v>111909.34</v>
      </c>
      <c r="M41" s="4">
        <v>875670.64</v>
      </c>
      <c r="N41" s="4">
        <v>211757.81</v>
      </c>
      <c r="O41" s="4">
        <v>10176.32</v>
      </c>
      <c r="P41" s="4">
        <v>80755.48</v>
      </c>
      <c r="Q41" s="4">
        <v>88937.06</v>
      </c>
      <c r="R41" s="4">
        <v>390370.35</v>
      </c>
      <c r="S41" s="4">
        <v>37751.31</v>
      </c>
      <c r="T41" s="4">
        <v>122480.58</v>
      </c>
      <c r="U41" s="4">
        <v>2064722.08</v>
      </c>
      <c r="V41" s="4">
        <v>100262.48</v>
      </c>
      <c r="W41" s="4">
        <v>195159.6</v>
      </c>
      <c r="X41" s="4">
        <v>2646663.08</v>
      </c>
      <c r="Y41" s="4">
        <v>23883.63</v>
      </c>
      <c r="Z41" s="4">
        <v>75366.880000000005</v>
      </c>
      <c r="AA41" s="4">
        <v>838675.58</v>
      </c>
      <c r="AB41" s="4">
        <v>344385.78</v>
      </c>
      <c r="AC41" s="4">
        <v>132620.4</v>
      </c>
      <c r="AD41" s="4">
        <v>498502.7</v>
      </c>
      <c r="AE41" s="4">
        <v>520030.78</v>
      </c>
      <c r="AF41" s="4">
        <v>555578.91</v>
      </c>
      <c r="AG41" s="4">
        <v>213816.53</v>
      </c>
      <c r="AH41" s="4">
        <v>114016.88</v>
      </c>
      <c r="AI41" s="4">
        <v>1221628.72</v>
      </c>
      <c r="AJ41" s="4">
        <v>296182.15999999997</v>
      </c>
      <c r="AK41" s="4">
        <v>228067.83</v>
      </c>
      <c r="AL41" s="4">
        <v>46866.03</v>
      </c>
      <c r="AM41" s="4">
        <v>2868701.55</v>
      </c>
      <c r="AN41" s="4">
        <v>261542.46</v>
      </c>
      <c r="AO41" s="4">
        <v>402869.48</v>
      </c>
      <c r="AP41" s="4">
        <v>1022378.8</v>
      </c>
      <c r="AQ41" s="4">
        <v>204974.16</v>
      </c>
      <c r="AR41" s="4">
        <v>335580.41</v>
      </c>
      <c r="AS41" s="4">
        <v>1042085.25</v>
      </c>
      <c r="AT41" s="4">
        <v>801493.58</v>
      </c>
      <c r="AU41" s="4">
        <v>117273.36</v>
      </c>
      <c r="AV41" s="4">
        <v>18551.759999999998</v>
      </c>
      <c r="AW41" s="4">
        <v>106032.81</v>
      </c>
      <c r="AX41" s="4">
        <v>563407.78</v>
      </c>
      <c r="AY41" s="4">
        <v>229180.95</v>
      </c>
      <c r="AZ41" s="4">
        <v>583993.18999999994</v>
      </c>
      <c r="BA41" s="4">
        <v>14504.35</v>
      </c>
      <c r="BB41" s="4">
        <v>7408689.1799999997</v>
      </c>
      <c r="BC41" s="4">
        <v>92526.26</v>
      </c>
      <c r="BD41" s="72">
        <f t="shared" si="1"/>
        <v>42749162.500000007</v>
      </c>
      <c r="BE41" s="72">
        <f t="shared" si="2"/>
        <v>18623669.200000003</v>
      </c>
      <c r="BF41" s="72">
        <f t="shared" si="3"/>
        <v>6258963.2300000014</v>
      </c>
      <c r="BG41" s="72">
        <f t="shared" si="4"/>
        <v>17866530.069999997</v>
      </c>
    </row>
    <row r="42" spans="1:59" ht="16.5" customHeight="1" x14ac:dyDescent="0.4">
      <c r="A42" s="66"/>
      <c r="B42" s="67" t="s">
        <v>319</v>
      </c>
      <c r="C42" s="4">
        <v>3470473.65</v>
      </c>
      <c r="D42" s="4">
        <v>882941.47</v>
      </c>
      <c r="E42" s="4">
        <v>1356706.04</v>
      </c>
      <c r="F42" s="4">
        <v>1441098.9</v>
      </c>
      <c r="G42" s="4">
        <v>10608091.1</v>
      </c>
      <c r="H42" s="4">
        <v>10455736.890000001</v>
      </c>
      <c r="I42" s="4">
        <v>7787946.7400000002</v>
      </c>
      <c r="J42" s="4">
        <v>53255825.369999997</v>
      </c>
      <c r="K42" s="4">
        <v>3655526.05</v>
      </c>
      <c r="L42" s="4">
        <v>371889.12</v>
      </c>
      <c r="M42" s="4">
        <v>19714498.399999999</v>
      </c>
      <c r="N42" s="4">
        <v>1531079.6</v>
      </c>
      <c r="O42" s="4">
        <v>262407.37</v>
      </c>
      <c r="P42" s="4">
        <v>1232092.6100000001</v>
      </c>
      <c r="Q42" s="4">
        <v>892702.05</v>
      </c>
      <c r="R42" s="4">
        <v>2323434.5499999998</v>
      </c>
      <c r="S42" s="4">
        <v>744723.55</v>
      </c>
      <c r="T42" s="4">
        <v>1386955.03</v>
      </c>
      <c r="U42" s="4">
        <v>10500298.869999999</v>
      </c>
      <c r="V42" s="4">
        <v>867586.71</v>
      </c>
      <c r="W42" s="4">
        <v>3923814.42</v>
      </c>
      <c r="X42" s="4">
        <v>10291284.17</v>
      </c>
      <c r="Y42" s="4">
        <v>351823.67</v>
      </c>
      <c r="Z42" s="4">
        <v>400048.74</v>
      </c>
      <c r="AA42" s="4">
        <v>2330120.4700000002</v>
      </c>
      <c r="AB42" s="4">
        <v>2182314</v>
      </c>
      <c r="AC42" s="4">
        <v>1533923.45</v>
      </c>
      <c r="AD42" s="4">
        <v>1965283.7</v>
      </c>
      <c r="AE42" s="4">
        <v>7119159</v>
      </c>
      <c r="AF42" s="4">
        <v>8028721.1699999999</v>
      </c>
      <c r="AG42" s="4">
        <v>784194.52</v>
      </c>
      <c r="AH42" s="4">
        <v>446194.35</v>
      </c>
      <c r="AI42" s="4">
        <v>5904901.8200000003</v>
      </c>
      <c r="AJ42" s="4">
        <v>3307474.33</v>
      </c>
      <c r="AK42" s="4">
        <v>3543495.16</v>
      </c>
      <c r="AL42" s="4">
        <v>426858.59</v>
      </c>
      <c r="AM42" s="4">
        <v>8028979.6299999999</v>
      </c>
      <c r="AN42" s="4">
        <v>2128319.2799999998</v>
      </c>
      <c r="AO42" s="4">
        <v>2262542.89</v>
      </c>
      <c r="AP42" s="4">
        <v>4585956</v>
      </c>
      <c r="AQ42" s="4">
        <v>2123093.88</v>
      </c>
      <c r="AR42" s="4">
        <v>2934482.95</v>
      </c>
      <c r="AS42" s="4">
        <v>2306724.4</v>
      </c>
      <c r="AT42" s="4">
        <v>7113147.7800000003</v>
      </c>
      <c r="AU42" s="4">
        <v>2245069.02</v>
      </c>
      <c r="AV42" s="4">
        <v>553200.36</v>
      </c>
      <c r="AW42" s="4">
        <v>1214539</v>
      </c>
      <c r="AX42" s="4">
        <v>5582216.5899999999</v>
      </c>
      <c r="AY42" s="4">
        <v>1291156.1299999999</v>
      </c>
      <c r="AZ42" s="4">
        <v>3964776.05</v>
      </c>
      <c r="BA42" s="4">
        <v>442422.65</v>
      </c>
      <c r="BB42" s="4">
        <v>30778285.23</v>
      </c>
      <c r="BC42" s="4">
        <v>1632014.94</v>
      </c>
      <c r="BD42" s="72">
        <f t="shared" si="1"/>
        <v>264468552.40999994</v>
      </c>
      <c r="BE42" s="72">
        <f t="shared" si="2"/>
        <v>131874427.35999998</v>
      </c>
      <c r="BF42" s="72">
        <f t="shared" si="3"/>
        <v>40224468.370000005</v>
      </c>
      <c r="BG42" s="72">
        <f t="shared" si="4"/>
        <v>92369656.680000007</v>
      </c>
    </row>
    <row r="43" spans="1:59" ht="16.5" customHeight="1" x14ac:dyDescent="0.4">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3">
      <c r="A44" s="71"/>
      <c r="B44" s="69" t="s">
        <v>320</v>
      </c>
      <c r="C44" s="70">
        <f>C4+C8+C12+C16+C20+C24+C28+C32+C36+C40</f>
        <v>-6015.1500000003725</v>
      </c>
      <c r="D44" s="70">
        <f t="shared" ref="D44:BG44" si="14">D4+D8+D12+D16+D20+D24+D28+D32+D36+D40</f>
        <v>-183367.53000000003</v>
      </c>
      <c r="E44" s="70">
        <f t="shared" si="14"/>
        <v>29321.280000000261</v>
      </c>
      <c r="F44" s="70">
        <f t="shared" si="14"/>
        <v>-21653.659999999916</v>
      </c>
      <c r="G44" s="70">
        <f t="shared" si="14"/>
        <v>197032.69000000134</v>
      </c>
      <c r="H44" s="70">
        <f t="shared" si="14"/>
        <v>-643336.21</v>
      </c>
      <c r="I44" s="70">
        <f t="shared" si="14"/>
        <v>-33519.969999999739</v>
      </c>
      <c r="J44" s="70">
        <f t="shared" si="14"/>
        <v>-2089673.1799999923</v>
      </c>
      <c r="K44" s="70">
        <f t="shared" si="14"/>
        <v>1352.859999999404</v>
      </c>
      <c r="L44" s="70">
        <f t="shared" si="14"/>
        <v>63918.920000000013</v>
      </c>
      <c r="M44" s="70">
        <f t="shared" si="14"/>
        <v>0</v>
      </c>
      <c r="N44" s="70">
        <f t="shared" si="14"/>
        <v>93731.799999999814</v>
      </c>
      <c r="O44" s="70">
        <f t="shared" si="14"/>
        <v>9460.8100000000559</v>
      </c>
      <c r="P44" s="70">
        <f t="shared" si="14"/>
        <v>0</v>
      </c>
      <c r="Q44" s="70">
        <f t="shared" si="14"/>
        <v>13071.369999999995</v>
      </c>
      <c r="R44" s="70">
        <f t="shared" si="14"/>
        <v>-262757.41999999946</v>
      </c>
      <c r="S44" s="70">
        <f t="shared" si="14"/>
        <v>-9048.7099999999627</v>
      </c>
      <c r="T44" s="70">
        <f t="shared" si="14"/>
        <v>151807.10000000009</v>
      </c>
      <c r="U44" s="70">
        <f t="shared" si="14"/>
        <v>-8997.4499999992549</v>
      </c>
      <c r="V44" s="70">
        <f t="shared" si="14"/>
        <v>-26286.139999999898</v>
      </c>
      <c r="W44" s="70">
        <f t="shared" si="14"/>
        <v>-178997.6799999997</v>
      </c>
      <c r="X44" s="70">
        <f t="shared" si="14"/>
        <v>-3517719.99</v>
      </c>
      <c r="Y44" s="70">
        <f t="shared" si="14"/>
        <v>11170.270000000019</v>
      </c>
      <c r="Z44" s="70">
        <f t="shared" si="14"/>
        <v>0</v>
      </c>
      <c r="AA44" s="70">
        <f t="shared" si="14"/>
        <v>114596.96999999974</v>
      </c>
      <c r="AB44" s="70">
        <f t="shared" si="14"/>
        <v>0</v>
      </c>
      <c r="AC44" s="70">
        <f t="shared" si="14"/>
        <v>194273.6799999997</v>
      </c>
      <c r="AD44" s="70">
        <f t="shared" si="14"/>
        <v>-122538.76000000024</v>
      </c>
      <c r="AE44" s="70">
        <f t="shared" si="14"/>
        <v>-1107210.2999999998</v>
      </c>
      <c r="AF44" s="70">
        <f t="shared" si="14"/>
        <v>-243887.3499999987</v>
      </c>
      <c r="AG44" s="70">
        <f t="shared" si="14"/>
        <v>2355.9600000000792</v>
      </c>
      <c r="AH44" s="70">
        <f t="shared" si="14"/>
        <v>0</v>
      </c>
      <c r="AI44" s="70">
        <f t="shared" si="14"/>
        <v>0</v>
      </c>
      <c r="AJ44" s="70">
        <f t="shared" si="14"/>
        <v>32824.590000000782</v>
      </c>
      <c r="AK44" s="70">
        <f t="shared" si="14"/>
        <v>5589.7700000009499</v>
      </c>
      <c r="AL44" s="70">
        <f t="shared" si="14"/>
        <v>-13711.050000000047</v>
      </c>
      <c r="AM44" s="70">
        <f t="shared" si="14"/>
        <v>0</v>
      </c>
      <c r="AN44" s="70">
        <f t="shared" si="14"/>
        <v>-197653.73999999976</v>
      </c>
      <c r="AO44" s="70">
        <f t="shared" si="14"/>
        <v>0</v>
      </c>
      <c r="AP44" s="70">
        <f t="shared" si="14"/>
        <v>0</v>
      </c>
      <c r="AQ44" s="70">
        <f t="shared" si="14"/>
        <v>-52551.100000000326</v>
      </c>
      <c r="AR44" s="70">
        <f t="shared" si="14"/>
        <v>0</v>
      </c>
      <c r="AS44" s="70">
        <f t="shared" si="14"/>
        <v>-112815.41999999969</v>
      </c>
      <c r="AT44" s="70">
        <f t="shared" si="14"/>
        <v>0</v>
      </c>
      <c r="AU44" s="70">
        <f t="shared" si="14"/>
        <v>9064.0300000002608</v>
      </c>
      <c r="AV44" s="70">
        <f t="shared" si="14"/>
        <v>-29819.600000000093</v>
      </c>
      <c r="AW44" s="70">
        <f t="shared" si="14"/>
        <v>-73689.050000000047</v>
      </c>
      <c r="AX44" s="70">
        <f t="shared" si="14"/>
        <v>-40793.429999999702</v>
      </c>
      <c r="AY44" s="70">
        <f t="shared" si="14"/>
        <v>-160878.04999999993</v>
      </c>
      <c r="AZ44" s="70">
        <f t="shared" si="14"/>
        <v>-52053.969999999739</v>
      </c>
      <c r="BA44" s="70">
        <f t="shared" si="14"/>
        <v>14911.229999999923</v>
      </c>
      <c r="BB44" s="70">
        <f t="shared" si="14"/>
        <v>0</v>
      </c>
      <c r="BC44" s="70">
        <f t="shared" si="14"/>
        <v>-49199.929999999935</v>
      </c>
      <c r="BD44" s="70">
        <f t="shared" si="14"/>
        <v>-8293691.5099999905</v>
      </c>
      <c r="BE44" s="70">
        <f t="shared" si="14"/>
        <v>-2698672.4499999434</v>
      </c>
      <c r="BF44" s="70">
        <f t="shared" si="14"/>
        <v>-4874243.3399999961</v>
      </c>
      <c r="BG44" s="70">
        <f t="shared" si="14"/>
        <v>-720775.71999999881</v>
      </c>
    </row>
    <row r="45" spans="1:59" ht="16.5" customHeight="1" x14ac:dyDescent="0.4">
      <c r="A45" s="66"/>
      <c r="B45" s="67" t="s">
        <v>318</v>
      </c>
      <c r="C45" s="4">
        <f>C5+C9+C13+C17+C21+C25+C29+C33+C37+C41</f>
        <v>4365746.93</v>
      </c>
      <c r="D45" s="4">
        <f t="shared" ref="D45:BG45" si="15">D5+D9+D13+D17+D21+D25+D29+D33+D37+D41</f>
        <v>1024476.59</v>
      </c>
      <c r="E45" s="4">
        <f t="shared" si="15"/>
        <v>1740654.2200000002</v>
      </c>
      <c r="F45" s="4">
        <f t="shared" si="15"/>
        <v>1921827.44</v>
      </c>
      <c r="G45" s="4">
        <f t="shared" si="15"/>
        <v>15287768.480000002</v>
      </c>
      <c r="H45" s="4">
        <f t="shared" si="15"/>
        <v>14188705.669999998</v>
      </c>
      <c r="I45" s="4">
        <f t="shared" si="15"/>
        <v>10937539.899999999</v>
      </c>
      <c r="J45" s="4">
        <f t="shared" si="15"/>
        <v>106435385.73999999</v>
      </c>
      <c r="K45" s="4">
        <f t="shared" si="15"/>
        <v>7172640.6599999992</v>
      </c>
      <c r="L45" s="4">
        <f t="shared" si="15"/>
        <v>572476.09</v>
      </c>
      <c r="M45" s="196">
        <f t="shared" si="15"/>
        <v>25856206.720000003</v>
      </c>
      <c r="N45" s="4">
        <f t="shared" si="15"/>
        <v>2024389.12</v>
      </c>
      <c r="O45" s="4">
        <f t="shared" si="15"/>
        <v>378615.27999999997</v>
      </c>
      <c r="P45" s="4">
        <f t="shared" si="15"/>
        <v>1561548.2899999998</v>
      </c>
      <c r="Q45" s="4">
        <f t="shared" si="15"/>
        <v>1356352.4200000002</v>
      </c>
      <c r="R45" s="4">
        <f t="shared" si="15"/>
        <v>2825790.47</v>
      </c>
      <c r="S45" s="4">
        <f t="shared" si="15"/>
        <v>1004618.05</v>
      </c>
      <c r="T45" s="4">
        <f t="shared" si="15"/>
        <v>2419617.2200000002</v>
      </c>
      <c r="U45" s="4">
        <f t="shared" si="15"/>
        <v>13251486.550000003</v>
      </c>
      <c r="V45" s="4">
        <f t="shared" si="15"/>
        <v>1847199.7700000003</v>
      </c>
      <c r="W45" s="4">
        <f t="shared" si="15"/>
        <v>5662732.25</v>
      </c>
      <c r="X45" s="4">
        <f t="shared" si="15"/>
        <v>10836534.83</v>
      </c>
      <c r="Y45" s="4">
        <f t="shared" si="15"/>
        <v>695563.94000000006</v>
      </c>
      <c r="Z45" s="4">
        <f t="shared" si="15"/>
        <v>877712.78999999992</v>
      </c>
      <c r="AA45" s="4">
        <f t="shared" si="15"/>
        <v>3783379.69</v>
      </c>
      <c r="AB45" s="4">
        <f t="shared" si="15"/>
        <v>3494550.84</v>
      </c>
      <c r="AC45" s="4">
        <f t="shared" si="15"/>
        <v>2683306.15</v>
      </c>
      <c r="AD45" s="4">
        <f t="shared" si="15"/>
        <v>3714434.56</v>
      </c>
      <c r="AE45" s="4">
        <f t="shared" si="15"/>
        <v>8821935.7699999996</v>
      </c>
      <c r="AF45" s="4">
        <f t="shared" si="15"/>
        <v>11584752.48</v>
      </c>
      <c r="AG45" s="4">
        <f t="shared" si="15"/>
        <v>1149199.8</v>
      </c>
      <c r="AH45" s="4">
        <f t="shared" si="15"/>
        <v>706963.05</v>
      </c>
      <c r="AI45" s="4">
        <f t="shared" si="15"/>
        <v>8151911.830000001</v>
      </c>
      <c r="AJ45" s="4">
        <f t="shared" si="15"/>
        <v>5780901.5700000003</v>
      </c>
      <c r="AK45" s="4">
        <f t="shared" si="15"/>
        <v>4619970.830000001</v>
      </c>
      <c r="AL45" s="4">
        <f t="shared" si="15"/>
        <v>578675.24000000011</v>
      </c>
      <c r="AM45" s="4">
        <f t="shared" si="15"/>
        <v>9705576.0699999984</v>
      </c>
      <c r="AN45" s="4">
        <f t="shared" si="15"/>
        <v>3777958.18</v>
      </c>
      <c r="AO45" s="4">
        <f t="shared" si="15"/>
        <v>2766644.84</v>
      </c>
      <c r="AP45" s="4">
        <f t="shared" si="15"/>
        <v>7261947.6499999994</v>
      </c>
      <c r="AQ45" s="4">
        <f t="shared" si="15"/>
        <v>3093416.1800000006</v>
      </c>
      <c r="AR45" s="4">
        <f t="shared" si="15"/>
        <v>4466154.3599999994</v>
      </c>
      <c r="AS45" s="4">
        <f t="shared" si="15"/>
        <v>2657454.0300000003</v>
      </c>
      <c r="AT45" s="4">
        <f t="shared" si="15"/>
        <v>9160543.2399999984</v>
      </c>
      <c r="AU45" s="4">
        <f t="shared" si="15"/>
        <v>2958283.81</v>
      </c>
      <c r="AV45" s="4">
        <f t="shared" si="15"/>
        <v>741746.20000000007</v>
      </c>
      <c r="AW45" s="4">
        <f t="shared" si="15"/>
        <v>1492646.5500000003</v>
      </c>
      <c r="AX45" s="4">
        <f t="shared" si="15"/>
        <v>7075034.6000000006</v>
      </c>
      <c r="AY45" s="4">
        <f t="shared" si="15"/>
        <v>1743285.93</v>
      </c>
      <c r="AZ45" s="4">
        <f t="shared" si="15"/>
        <v>5978229.0999999996</v>
      </c>
      <c r="BA45" s="4">
        <f t="shared" si="15"/>
        <v>636352.82999999996</v>
      </c>
      <c r="BB45" s="196">
        <f t="shared" si="15"/>
        <v>46046732.969999999</v>
      </c>
      <c r="BC45" s="4">
        <f t="shared" si="15"/>
        <v>2406762.6599999997</v>
      </c>
      <c r="BD45" s="4">
        <f t="shared" si="15"/>
        <v>401284340.43000001</v>
      </c>
      <c r="BE45" s="4">
        <f t="shared" si="15"/>
        <v>214325845.84000003</v>
      </c>
      <c r="BF45" s="4">
        <f t="shared" si="15"/>
        <v>55858265.919999994</v>
      </c>
      <c r="BG45" s="4">
        <f t="shared" si="15"/>
        <v>131100228.67</v>
      </c>
    </row>
    <row r="46" spans="1:59" ht="16.5" customHeight="1" x14ac:dyDescent="0.4">
      <c r="A46" s="66"/>
      <c r="B46" s="67" t="s">
        <v>319</v>
      </c>
      <c r="C46" s="4">
        <f>C6+C10+C14+C18+C22+C26+C30+C34+C38+C42</f>
        <v>4371762.08</v>
      </c>
      <c r="D46" s="4">
        <f t="shared" ref="D46:BG46" si="16">D6+D10+D14+D18+D22+D26+D30+D34+D38+D42</f>
        <v>1207844.1200000001</v>
      </c>
      <c r="E46" s="4">
        <f t="shared" si="16"/>
        <v>1711332.94</v>
      </c>
      <c r="F46" s="4">
        <f t="shared" si="16"/>
        <v>1943481.0999999999</v>
      </c>
      <c r="G46" s="4">
        <f t="shared" si="16"/>
        <v>15090735.789999999</v>
      </c>
      <c r="H46" s="4">
        <f t="shared" si="16"/>
        <v>14832041.880000001</v>
      </c>
      <c r="I46" s="4">
        <f t="shared" si="16"/>
        <v>10971059.870000001</v>
      </c>
      <c r="J46" s="4">
        <f t="shared" si="16"/>
        <v>108525058.91999999</v>
      </c>
      <c r="K46" s="4">
        <f t="shared" si="16"/>
        <v>7171287.7999999998</v>
      </c>
      <c r="L46" s="4">
        <f t="shared" si="16"/>
        <v>508557.17</v>
      </c>
      <c r="M46" s="196">
        <f t="shared" si="16"/>
        <v>25856206.719999999</v>
      </c>
      <c r="N46" s="4">
        <f t="shared" si="16"/>
        <v>1930657.32</v>
      </c>
      <c r="O46" s="4">
        <f t="shared" si="16"/>
        <v>369154.47</v>
      </c>
      <c r="P46" s="4">
        <f t="shared" si="16"/>
        <v>1561548.29</v>
      </c>
      <c r="Q46" s="4">
        <f t="shared" si="16"/>
        <v>1343281.05</v>
      </c>
      <c r="R46" s="4">
        <f t="shared" si="16"/>
        <v>3088547.8899999997</v>
      </c>
      <c r="S46" s="4">
        <f t="shared" si="16"/>
        <v>1013666.76</v>
      </c>
      <c r="T46" s="4">
        <f t="shared" si="16"/>
        <v>2267810.12</v>
      </c>
      <c r="U46" s="4">
        <f t="shared" si="16"/>
        <v>13260484</v>
      </c>
      <c r="V46" s="4">
        <f t="shared" si="16"/>
        <v>1873485.91</v>
      </c>
      <c r="W46" s="4">
        <f t="shared" si="16"/>
        <v>5841729.9299999997</v>
      </c>
      <c r="X46" s="4">
        <f t="shared" si="16"/>
        <v>14354254.82</v>
      </c>
      <c r="Y46" s="4">
        <f t="shared" si="16"/>
        <v>684393.66999999993</v>
      </c>
      <c r="Z46" s="4">
        <f t="shared" si="16"/>
        <v>877712.79</v>
      </c>
      <c r="AA46" s="4">
        <f t="shared" si="16"/>
        <v>3668782.72</v>
      </c>
      <c r="AB46" s="4">
        <f t="shared" si="16"/>
        <v>3494550.84</v>
      </c>
      <c r="AC46" s="4">
        <f t="shared" si="16"/>
        <v>2489032.4699999997</v>
      </c>
      <c r="AD46" s="4">
        <f t="shared" si="16"/>
        <v>3836973.3200000003</v>
      </c>
      <c r="AE46" s="4">
        <f t="shared" si="16"/>
        <v>9929146.0700000003</v>
      </c>
      <c r="AF46" s="4">
        <f t="shared" si="16"/>
        <v>11828639.83</v>
      </c>
      <c r="AG46" s="4">
        <f t="shared" si="16"/>
        <v>1146843.8400000001</v>
      </c>
      <c r="AH46" s="4">
        <f t="shared" si="16"/>
        <v>706963.04999999993</v>
      </c>
      <c r="AI46" s="4">
        <f t="shared" si="16"/>
        <v>8151911.8300000001</v>
      </c>
      <c r="AJ46" s="4">
        <f t="shared" si="16"/>
        <v>5748076.9800000004</v>
      </c>
      <c r="AK46" s="4">
        <f t="shared" si="16"/>
        <v>4614381.0600000005</v>
      </c>
      <c r="AL46" s="4">
        <f t="shared" si="16"/>
        <v>592386.29</v>
      </c>
      <c r="AM46" s="4">
        <f t="shared" si="16"/>
        <v>9705576.0700000003</v>
      </c>
      <c r="AN46" s="4">
        <f t="shared" si="16"/>
        <v>3975611.92</v>
      </c>
      <c r="AO46" s="4">
        <f t="shared" si="16"/>
        <v>2766644.8400000003</v>
      </c>
      <c r="AP46" s="4">
        <f t="shared" si="16"/>
        <v>7261947.6500000004</v>
      </c>
      <c r="AQ46" s="4">
        <f t="shared" si="16"/>
        <v>3145967.28</v>
      </c>
      <c r="AR46" s="4">
        <f t="shared" si="16"/>
        <v>4466154.3600000003</v>
      </c>
      <c r="AS46" s="4">
        <f t="shared" si="16"/>
        <v>2770269.4499999997</v>
      </c>
      <c r="AT46" s="4">
        <f t="shared" si="16"/>
        <v>9160543.2400000002</v>
      </c>
      <c r="AU46" s="4">
        <f t="shared" si="16"/>
        <v>2949219.7800000003</v>
      </c>
      <c r="AV46" s="4">
        <f t="shared" si="16"/>
        <v>771565.79999999993</v>
      </c>
      <c r="AW46" s="4">
        <f t="shared" si="16"/>
        <v>1566335.6</v>
      </c>
      <c r="AX46" s="4">
        <f t="shared" si="16"/>
        <v>7115828.0299999993</v>
      </c>
      <c r="AY46" s="4">
        <f t="shared" si="16"/>
        <v>1904163.98</v>
      </c>
      <c r="AZ46" s="4">
        <f t="shared" si="16"/>
        <v>6030283.0700000003</v>
      </c>
      <c r="BA46" s="4">
        <f t="shared" si="16"/>
        <v>621441.60000000009</v>
      </c>
      <c r="BB46" s="196">
        <f t="shared" si="16"/>
        <v>46046732.969999999</v>
      </c>
      <c r="BC46" s="4">
        <f t="shared" si="16"/>
        <v>2455962.59</v>
      </c>
      <c r="BD46" s="4">
        <f t="shared" si="16"/>
        <v>409578031.93999994</v>
      </c>
      <c r="BE46" s="4">
        <f t="shared" si="16"/>
        <v>217024518.28999999</v>
      </c>
      <c r="BF46" s="4">
        <f t="shared" si="16"/>
        <v>60732509.260000005</v>
      </c>
      <c r="BG46" s="4">
        <f t="shared" si="16"/>
        <v>131821004.39000002</v>
      </c>
    </row>
    <row r="47" spans="1:59" ht="21" x14ac:dyDescent="0.4">
      <c r="A47" s="63"/>
      <c r="B47" s="63"/>
    </row>
    <row r="48" spans="1:59" ht="21" x14ac:dyDescent="0.4">
      <c r="A48" s="63"/>
      <c r="B48" s="63"/>
    </row>
    <row r="49" spans="1:2" ht="21" x14ac:dyDescent="0.4">
      <c r="A49" s="63"/>
      <c r="B49" s="63"/>
    </row>
    <row r="50" spans="1:2" ht="21" x14ac:dyDescent="0.4">
      <c r="A50" s="63"/>
      <c r="B50" s="63"/>
    </row>
    <row r="51" spans="1:2" ht="21" x14ac:dyDescent="0.4">
      <c r="A51" s="63"/>
      <c r="B51" s="63"/>
    </row>
    <row r="52" spans="1:2" ht="21" x14ac:dyDescent="0.4">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C23" sqref="C23"/>
    </sheetView>
  </sheetViews>
  <sheetFormatPr baseColWidth="10" defaultRowHeight="14.4" x14ac:dyDescent="0.3"/>
  <cols>
    <col min="1" max="1" width="5.6640625" customWidth="1"/>
    <col min="2" max="2" width="63.5546875" customWidth="1"/>
    <col min="3" max="3" width="23" customWidth="1"/>
  </cols>
  <sheetData>
    <row r="1" spans="1:3" ht="25.8" x14ac:dyDescent="0.5">
      <c r="A1" s="42" t="s">
        <v>650</v>
      </c>
      <c r="B1" s="7"/>
    </row>
    <row r="3" spans="1:3" ht="15" thickBot="1" x14ac:dyDescent="0.35"/>
    <row r="4" spans="1:3" ht="15" thickBot="1" x14ac:dyDescent="0.35">
      <c r="B4" s="174" t="s">
        <v>56</v>
      </c>
    </row>
    <row r="6" spans="1:3" x14ac:dyDescent="0.3">
      <c r="C6" s="65" t="s">
        <v>205</v>
      </c>
    </row>
    <row r="7" spans="1:3" x14ac:dyDescent="0.3">
      <c r="A7" s="68">
        <v>0</v>
      </c>
      <c r="B7" s="69" t="s">
        <v>307</v>
      </c>
      <c r="C7" s="70">
        <f>C8-C9</f>
        <v>386762.43000000005</v>
      </c>
    </row>
    <row r="8" spans="1:3" x14ac:dyDescent="0.3">
      <c r="A8" s="64"/>
      <c r="B8" s="67" t="s">
        <v>318</v>
      </c>
      <c r="C8" s="4">
        <f>HLOOKUP($B$4,'4.11 Comptes 2020 fonctionnelle'!$C$3:$BC$47,3,0)</f>
        <v>400522.28</v>
      </c>
    </row>
    <row r="9" spans="1:3" x14ac:dyDescent="0.3">
      <c r="A9" s="64"/>
      <c r="B9" s="67" t="s">
        <v>319</v>
      </c>
      <c r="C9" s="4">
        <f>HLOOKUP($B$4,'4.11 Comptes 2020 fonctionnelle'!$C$3:$BC$47,4,0)</f>
        <v>13759.85</v>
      </c>
    </row>
    <row r="10" spans="1:3" x14ac:dyDescent="0.3">
      <c r="A10" s="65"/>
      <c r="B10" s="7"/>
      <c r="C10" s="4"/>
    </row>
    <row r="11" spans="1:3" x14ac:dyDescent="0.3">
      <c r="A11" s="68" t="s">
        <v>308</v>
      </c>
      <c r="B11" s="69" t="s">
        <v>309</v>
      </c>
      <c r="C11" s="70">
        <f>C12-C13</f>
        <v>26900.25</v>
      </c>
    </row>
    <row r="12" spans="1:3" x14ac:dyDescent="0.3">
      <c r="A12" s="64"/>
      <c r="B12" s="67" t="s">
        <v>318</v>
      </c>
      <c r="C12" s="4">
        <f>HLOOKUP($B$4,'4.11 Comptes 2020 fonctionnelle'!$C$3:$BC$47,7,0)</f>
        <v>78596.95</v>
      </c>
    </row>
    <row r="13" spans="1:3" x14ac:dyDescent="0.3">
      <c r="A13" s="64"/>
      <c r="B13" s="67" t="s">
        <v>319</v>
      </c>
      <c r="C13" s="4">
        <f>HLOOKUP($B$4,'4.11 Comptes 2020 fonctionnelle'!$C$3:$BC$47,8,0)</f>
        <v>51696.7</v>
      </c>
    </row>
    <row r="14" spans="1:3" x14ac:dyDescent="0.3">
      <c r="A14" s="65"/>
      <c r="B14" s="7"/>
      <c r="C14" s="4"/>
    </row>
    <row r="15" spans="1:3" x14ac:dyDescent="0.3">
      <c r="A15" s="71">
        <v>2</v>
      </c>
      <c r="B15" s="69" t="s">
        <v>310</v>
      </c>
      <c r="C15" s="70">
        <f>C16-C17</f>
        <v>1212290.8599999999</v>
      </c>
    </row>
    <row r="16" spans="1:3" x14ac:dyDescent="0.3">
      <c r="A16" s="65"/>
      <c r="B16" s="67" t="s">
        <v>318</v>
      </c>
      <c r="C16" s="4">
        <f>HLOOKUP($B$4,'4.11 Comptes 2020 fonctionnelle'!$C$3:$BC$47,11,0)</f>
        <v>1241073.3899999999</v>
      </c>
    </row>
    <row r="17" spans="1:3" x14ac:dyDescent="0.3">
      <c r="A17" s="65"/>
      <c r="B17" s="67" t="s">
        <v>319</v>
      </c>
      <c r="C17" s="4">
        <f>HLOOKUP($B$4,'4.11 Comptes 2020 fonctionnelle'!$C$3:$BC$47,12,0)</f>
        <v>28782.53</v>
      </c>
    </row>
    <row r="18" spans="1:3" x14ac:dyDescent="0.3">
      <c r="A18" s="65"/>
      <c r="B18" s="7"/>
      <c r="C18" s="4"/>
    </row>
    <row r="19" spans="1:3" x14ac:dyDescent="0.3">
      <c r="A19" s="71">
        <v>3</v>
      </c>
      <c r="B19" s="69" t="s">
        <v>311</v>
      </c>
      <c r="C19" s="70">
        <f>C20-C21</f>
        <v>21824</v>
      </c>
    </row>
    <row r="20" spans="1:3" x14ac:dyDescent="0.3">
      <c r="A20" s="65"/>
      <c r="B20" s="67" t="s">
        <v>318</v>
      </c>
      <c r="C20" s="4">
        <f>HLOOKUP($B$4,'4.11 Comptes 2020 fonctionnelle'!$C$3:$BC$47,15,0)</f>
        <v>21824</v>
      </c>
    </row>
    <row r="21" spans="1:3" x14ac:dyDescent="0.3">
      <c r="A21" s="65"/>
      <c r="B21" s="67" t="s">
        <v>319</v>
      </c>
      <c r="C21" s="4">
        <f>HLOOKUP($B$4,'4.11 Comptes 2020 fonctionnelle'!$C$3:$BC$47,16,0)</f>
        <v>0</v>
      </c>
    </row>
    <row r="22" spans="1:3" x14ac:dyDescent="0.3">
      <c r="A22" s="65"/>
      <c r="B22" s="7"/>
      <c r="C22" s="4"/>
    </row>
    <row r="23" spans="1:3" x14ac:dyDescent="0.3">
      <c r="A23" s="71">
        <v>4</v>
      </c>
      <c r="B23" s="69" t="s">
        <v>312</v>
      </c>
      <c r="C23" s="70">
        <f>C24-C25</f>
        <v>5476.04</v>
      </c>
    </row>
    <row r="24" spans="1:3" x14ac:dyDescent="0.3">
      <c r="A24" s="65"/>
      <c r="B24" s="67" t="s">
        <v>318</v>
      </c>
      <c r="C24" s="4">
        <f>HLOOKUP($B$4,'4.11 Comptes 2020 fonctionnelle'!$C$3:$BC$47,19,0)</f>
        <v>5476.04</v>
      </c>
    </row>
    <row r="25" spans="1:3" x14ac:dyDescent="0.3">
      <c r="A25" s="65"/>
      <c r="B25" s="67" t="s">
        <v>319</v>
      </c>
      <c r="C25" s="4">
        <f>HLOOKUP($B$4,'4.11 Comptes 2020 fonctionnelle'!$C$3:$BC$47,20,0)</f>
        <v>0</v>
      </c>
    </row>
    <row r="26" spans="1:3" x14ac:dyDescent="0.3">
      <c r="A26" s="65"/>
      <c r="B26" s="7"/>
      <c r="C26" s="4"/>
    </row>
    <row r="27" spans="1:3" x14ac:dyDescent="0.3">
      <c r="A27" s="71">
        <v>5</v>
      </c>
      <c r="B27" s="69" t="s">
        <v>313</v>
      </c>
      <c r="C27" s="70">
        <f>C28-C29</f>
        <v>756178.04999999993</v>
      </c>
    </row>
    <row r="28" spans="1:3" x14ac:dyDescent="0.3">
      <c r="A28" s="65"/>
      <c r="B28" s="67" t="s">
        <v>318</v>
      </c>
      <c r="C28" s="4">
        <f>HLOOKUP($B$4,'4.11 Comptes 2020 fonctionnelle'!$C$3:$BC$47,23,0)</f>
        <v>829374.6</v>
      </c>
    </row>
    <row r="29" spans="1:3" x14ac:dyDescent="0.3">
      <c r="A29" s="65"/>
      <c r="B29" s="67" t="s">
        <v>319</v>
      </c>
      <c r="C29" s="4">
        <f>HLOOKUP($B$4,'4.11 Comptes 2020 fonctionnelle'!$C$3:$BC$47,24,0)</f>
        <v>73196.55</v>
      </c>
    </row>
    <row r="30" spans="1:3" x14ac:dyDescent="0.3">
      <c r="A30" s="65"/>
      <c r="B30" s="7"/>
      <c r="C30" s="4"/>
    </row>
    <row r="31" spans="1:3" x14ac:dyDescent="0.3">
      <c r="A31" s="71">
        <v>6</v>
      </c>
      <c r="B31" s="69" t="s">
        <v>314</v>
      </c>
      <c r="C31" s="70">
        <f>C32-C33</f>
        <v>515947.65</v>
      </c>
    </row>
    <row r="32" spans="1:3" x14ac:dyDescent="0.3">
      <c r="A32" s="65"/>
      <c r="B32" s="67" t="s">
        <v>318</v>
      </c>
      <c r="C32" s="4">
        <f>HLOOKUP($B$4,'4.11 Comptes 2020 fonctionnelle'!$C$3:$BC$47,27,0)</f>
        <v>592033.05000000005</v>
      </c>
    </row>
    <row r="33" spans="1:3" x14ac:dyDescent="0.3">
      <c r="A33" s="65"/>
      <c r="B33" s="67" t="s">
        <v>319</v>
      </c>
      <c r="C33" s="4">
        <f>HLOOKUP($B$4,'4.11 Comptes 2020 fonctionnelle'!$C$3:$BC$47,28,0)</f>
        <v>76085.399999999994</v>
      </c>
    </row>
    <row r="34" spans="1:3" x14ac:dyDescent="0.3">
      <c r="A34" s="65"/>
      <c r="B34" s="7"/>
      <c r="C34" s="4"/>
    </row>
    <row r="35" spans="1:3" x14ac:dyDescent="0.3">
      <c r="A35" s="71">
        <v>7</v>
      </c>
      <c r="B35" s="69" t="s">
        <v>315</v>
      </c>
      <c r="C35" s="70">
        <f>C36-C37</f>
        <v>-240238.62000000005</v>
      </c>
    </row>
    <row r="36" spans="1:3" x14ac:dyDescent="0.3">
      <c r="A36" s="65"/>
      <c r="B36" s="67" t="s">
        <v>318</v>
      </c>
      <c r="C36" s="4">
        <f>HLOOKUP($B$4,'4.11 Comptes 2020 fonctionnelle'!$C$3:$BC$47,31,0)</f>
        <v>402978.18</v>
      </c>
    </row>
    <row r="37" spans="1:3" x14ac:dyDescent="0.3">
      <c r="A37" s="65"/>
      <c r="B37" s="67" t="s">
        <v>319</v>
      </c>
      <c r="C37" s="4">
        <f>HLOOKUP($B$4,'4.11 Comptes 2020 fonctionnelle'!$C$3:$BC$47,32,0)</f>
        <v>643216.80000000005</v>
      </c>
    </row>
    <row r="38" spans="1:3" x14ac:dyDescent="0.3">
      <c r="A38" s="65"/>
      <c r="B38" s="7"/>
      <c r="C38" s="4"/>
    </row>
    <row r="39" spans="1:3" x14ac:dyDescent="0.3">
      <c r="A39" s="71">
        <v>8</v>
      </c>
      <c r="B39" s="69" t="s">
        <v>316</v>
      </c>
      <c r="C39" s="70">
        <f>C40-C41</f>
        <v>3640.8500000000004</v>
      </c>
    </row>
    <row r="40" spans="1:3" x14ac:dyDescent="0.3">
      <c r="A40" s="65"/>
      <c r="B40" s="67" t="s">
        <v>318</v>
      </c>
      <c r="C40" s="4">
        <f>HLOOKUP($B$4,'4.11 Comptes 2020 fonctionnelle'!$C$3:$BC$47,35,0)</f>
        <v>18191.45</v>
      </c>
    </row>
    <row r="41" spans="1:3" x14ac:dyDescent="0.3">
      <c r="A41" s="65"/>
      <c r="B41" s="67" t="s">
        <v>319</v>
      </c>
      <c r="C41" s="4">
        <f>HLOOKUP($B$4,'4.11 Comptes 2020 fonctionnelle'!$C$3:$BC$47,36,0)</f>
        <v>14550.6</v>
      </c>
    </row>
    <row r="42" spans="1:3" x14ac:dyDescent="0.3">
      <c r="A42" s="65"/>
      <c r="B42" s="7"/>
      <c r="C42" s="4"/>
    </row>
    <row r="43" spans="1:3" x14ac:dyDescent="0.3">
      <c r="A43" s="71">
        <v>9</v>
      </c>
      <c r="B43" s="69" t="s">
        <v>317</v>
      </c>
      <c r="C43" s="70">
        <f>C44-C45</f>
        <v>-2694796.66</v>
      </c>
    </row>
    <row r="44" spans="1:3" ht="15" customHeight="1" x14ac:dyDescent="0.4">
      <c r="A44" s="66"/>
      <c r="B44" s="67" t="s">
        <v>318</v>
      </c>
      <c r="C44" s="4">
        <f>HLOOKUP($B$4,'4.11 Comptes 2020 fonctionnelle'!$C$3:$BC$47,39,0)</f>
        <v>775676.99</v>
      </c>
    </row>
    <row r="45" spans="1:3" ht="15" customHeight="1" x14ac:dyDescent="0.4">
      <c r="A45" s="66"/>
      <c r="B45" s="67" t="s">
        <v>319</v>
      </c>
      <c r="C45" s="4">
        <f>HLOOKUP($B$4,'4.11 Comptes 2020 fonctionnelle'!$C$3:$BC$47,40,0)</f>
        <v>3470473.65</v>
      </c>
    </row>
    <row r="46" spans="1:3" ht="21" x14ac:dyDescent="0.4">
      <c r="A46" s="66"/>
      <c r="B46" s="63"/>
      <c r="C46" s="4"/>
    </row>
    <row r="47" spans="1:3" x14ac:dyDescent="0.3">
      <c r="A47" s="71"/>
      <c r="B47" s="69" t="s">
        <v>762</v>
      </c>
      <c r="C47" s="173">
        <f>C48-C49</f>
        <v>-6015.1500000003725</v>
      </c>
    </row>
    <row r="48" spans="1:3" ht="21" x14ac:dyDescent="0.4">
      <c r="A48" s="66"/>
      <c r="B48" s="67" t="s">
        <v>318</v>
      </c>
      <c r="C48" s="4">
        <f>HLOOKUP($B$4,'4.11 Comptes 2020 fonctionnelle'!$C$3:$BC$47,43,0)</f>
        <v>4365746.93</v>
      </c>
    </row>
    <row r="49" spans="1:3" ht="21" x14ac:dyDescent="0.4">
      <c r="A49" s="66"/>
      <c r="B49" s="67" t="s">
        <v>319</v>
      </c>
      <c r="C49" s="4">
        <f>HLOOKUP($B$4,'4.11 Comptes 2020 fonctionnelle'!$C$3:$BC$47,44,0)</f>
        <v>4371762.08</v>
      </c>
    </row>
    <row r="50" spans="1:3" ht="21" x14ac:dyDescent="0.4">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workbookViewId="0">
      <selection activeCell="C23" sqref="C23"/>
    </sheetView>
  </sheetViews>
  <sheetFormatPr baseColWidth="10" defaultRowHeight="14.4" x14ac:dyDescent="0.3"/>
  <cols>
    <col min="1" max="1" width="8.33203125" customWidth="1"/>
    <col min="2" max="2" width="57" customWidth="1"/>
    <col min="3" max="3" width="22.88671875" customWidth="1"/>
  </cols>
  <sheetData>
    <row r="1" spans="1:3" ht="25.8" x14ac:dyDescent="0.5">
      <c r="A1" s="42" t="s">
        <v>321</v>
      </c>
    </row>
    <row r="4" spans="1:3" x14ac:dyDescent="0.3">
      <c r="A4" s="7" t="s">
        <v>201</v>
      </c>
    </row>
    <row r="6" spans="1:3" ht="16.5" customHeight="1" x14ac:dyDescent="0.3">
      <c r="A6" s="68">
        <v>0</v>
      </c>
      <c r="B6" s="69" t="s">
        <v>307</v>
      </c>
      <c r="C6" s="70">
        <f>'4.11 Comptes 2020 fonctionnelle'!BD4</f>
        <v>27445094.550000008</v>
      </c>
    </row>
    <row r="7" spans="1:3" ht="16.5" customHeight="1" x14ac:dyDescent="0.3">
      <c r="A7" s="64"/>
      <c r="B7" s="67" t="s">
        <v>318</v>
      </c>
      <c r="C7" s="4">
        <f>'4.11 Comptes 2020 fonctionnelle'!BD5</f>
        <v>31469284.439999998</v>
      </c>
    </row>
    <row r="8" spans="1:3" ht="16.5" customHeight="1" x14ac:dyDescent="0.3">
      <c r="A8" s="64"/>
      <c r="B8" s="67" t="s">
        <v>319</v>
      </c>
      <c r="C8" s="4">
        <f>'4.11 Comptes 2020 fonctionnelle'!BD6</f>
        <v>4024189.8900000006</v>
      </c>
    </row>
    <row r="9" spans="1:3" ht="16.5" customHeight="1" x14ac:dyDescent="0.3">
      <c r="A9" s="65"/>
      <c r="B9" s="7"/>
    </row>
    <row r="10" spans="1:3" ht="16.5" customHeight="1" x14ac:dyDescent="0.3">
      <c r="A10" s="68" t="s">
        <v>308</v>
      </c>
      <c r="B10" s="69" t="s">
        <v>309</v>
      </c>
      <c r="C10" s="70">
        <f>'4.11 Comptes 2020 fonctionnelle'!BD8</f>
        <v>3617160.07</v>
      </c>
    </row>
    <row r="11" spans="1:3" ht="16.5" customHeight="1" x14ac:dyDescent="0.3">
      <c r="A11" s="64"/>
      <c r="B11" s="67" t="s">
        <v>318</v>
      </c>
      <c r="C11" s="4">
        <f>'4.11 Comptes 2020 fonctionnelle'!BD9</f>
        <v>11136519.650000002</v>
      </c>
    </row>
    <row r="12" spans="1:3" ht="16.5" customHeight="1" x14ac:dyDescent="0.3">
      <c r="A12" s="64"/>
      <c r="B12" s="67" t="s">
        <v>319</v>
      </c>
      <c r="C12" s="4">
        <f>'4.11 Comptes 2020 fonctionnelle'!BD10</f>
        <v>7519359.5800000019</v>
      </c>
    </row>
    <row r="13" spans="1:3" ht="16.5" customHeight="1" x14ac:dyDescent="0.3">
      <c r="A13" s="65"/>
      <c r="B13" s="7"/>
    </row>
    <row r="14" spans="1:3" ht="16.5" customHeight="1" x14ac:dyDescent="0.3">
      <c r="A14" s="71">
        <v>2</v>
      </c>
      <c r="B14" s="69" t="s">
        <v>310</v>
      </c>
      <c r="C14" s="70">
        <f>'4.11 Comptes 2020 fonctionnelle'!BD12</f>
        <v>95580531.25</v>
      </c>
    </row>
    <row r="15" spans="1:3" ht="16.5" customHeight="1" x14ac:dyDescent="0.3">
      <c r="A15" s="65"/>
      <c r="B15" s="67" t="s">
        <v>318</v>
      </c>
      <c r="C15" s="4">
        <f>'4.11 Comptes 2020 fonctionnelle'!BD13</f>
        <v>102323379.91000003</v>
      </c>
    </row>
    <row r="16" spans="1:3" ht="16.5" customHeight="1" x14ac:dyDescent="0.3">
      <c r="A16" s="65"/>
      <c r="B16" s="67" t="s">
        <v>319</v>
      </c>
      <c r="C16" s="4">
        <f>'4.11 Comptes 2020 fonctionnelle'!BD14</f>
        <v>6742848.660000002</v>
      </c>
    </row>
    <row r="17" spans="1:3" ht="16.5" customHeight="1" x14ac:dyDescent="0.3">
      <c r="A17" s="65"/>
      <c r="B17" s="7"/>
    </row>
    <row r="18" spans="1:3" ht="16.5" customHeight="1" x14ac:dyDescent="0.3">
      <c r="A18" s="71">
        <v>3</v>
      </c>
      <c r="B18" s="69" t="s">
        <v>311</v>
      </c>
      <c r="C18" s="70">
        <f>'4.11 Comptes 2020 fonctionnelle'!BD16</f>
        <v>12913493.730000004</v>
      </c>
    </row>
    <row r="19" spans="1:3" ht="16.5" customHeight="1" x14ac:dyDescent="0.3">
      <c r="A19" s="65"/>
      <c r="B19" s="67" t="s">
        <v>318</v>
      </c>
      <c r="C19" s="4">
        <f>'4.11 Comptes 2020 fonctionnelle'!BD17</f>
        <v>14985535.060000002</v>
      </c>
    </row>
    <row r="20" spans="1:3" ht="16.5" customHeight="1" x14ac:dyDescent="0.3">
      <c r="A20" s="65"/>
      <c r="B20" s="67" t="s">
        <v>319</v>
      </c>
      <c r="C20" s="4">
        <f>'4.11 Comptes 2020 fonctionnelle'!BD18</f>
        <v>2072041.33</v>
      </c>
    </row>
    <row r="21" spans="1:3" ht="16.5" customHeight="1" x14ac:dyDescent="0.3">
      <c r="A21" s="65"/>
      <c r="B21" s="7"/>
      <c r="C21" s="4"/>
    </row>
    <row r="22" spans="1:3" ht="16.5" customHeight="1" x14ac:dyDescent="0.3">
      <c r="A22" s="71">
        <v>4</v>
      </c>
      <c r="B22" s="69" t="s">
        <v>312</v>
      </c>
      <c r="C22" s="70">
        <f>'4.11 Comptes 2020 fonctionnelle'!BD20</f>
        <v>789833.79</v>
      </c>
    </row>
    <row r="23" spans="1:3" ht="16.5" customHeight="1" x14ac:dyDescent="0.3">
      <c r="A23" s="65"/>
      <c r="B23" s="67" t="s">
        <v>318</v>
      </c>
      <c r="C23" s="4">
        <f>'4.11 Comptes 2020 fonctionnelle'!BD21</f>
        <v>804616.3899999999</v>
      </c>
    </row>
    <row r="24" spans="1:3" ht="16.5" customHeight="1" x14ac:dyDescent="0.3">
      <c r="A24" s="65"/>
      <c r="B24" s="67" t="s">
        <v>319</v>
      </c>
      <c r="C24" s="4">
        <f>'4.11 Comptes 2020 fonctionnelle'!BD22</f>
        <v>14782.6</v>
      </c>
    </row>
    <row r="25" spans="1:3" ht="16.5" customHeight="1" x14ac:dyDescent="0.3">
      <c r="A25" s="65"/>
      <c r="B25" s="7"/>
      <c r="C25" s="4"/>
    </row>
    <row r="26" spans="1:3" ht="16.5" customHeight="1" x14ac:dyDescent="0.3">
      <c r="A26" s="71">
        <v>5</v>
      </c>
      <c r="B26" s="69" t="s">
        <v>313</v>
      </c>
      <c r="C26" s="70">
        <f>'4.11 Comptes 2020 fonctionnelle'!BD24</f>
        <v>56394229.850000016</v>
      </c>
    </row>
    <row r="27" spans="1:3" ht="16.5" customHeight="1" x14ac:dyDescent="0.3">
      <c r="A27" s="65"/>
      <c r="B27" s="67" t="s">
        <v>318</v>
      </c>
      <c r="C27" s="4">
        <f>'4.11 Comptes 2020 fonctionnelle'!BD25</f>
        <v>91044890.049999997</v>
      </c>
    </row>
    <row r="28" spans="1:3" ht="16.5" customHeight="1" x14ac:dyDescent="0.3">
      <c r="A28" s="65"/>
      <c r="B28" s="67" t="s">
        <v>319</v>
      </c>
      <c r="C28" s="4">
        <f>'4.11 Comptes 2020 fonctionnelle'!BD26</f>
        <v>34650660.200000003</v>
      </c>
    </row>
    <row r="29" spans="1:3" ht="16.5" customHeight="1" x14ac:dyDescent="0.3">
      <c r="A29" s="65"/>
      <c r="B29" s="7"/>
      <c r="C29" s="4"/>
    </row>
    <row r="30" spans="1:3" ht="16.5" customHeight="1" x14ac:dyDescent="0.3">
      <c r="A30" s="71">
        <v>6</v>
      </c>
      <c r="B30" s="69" t="s">
        <v>314</v>
      </c>
      <c r="C30" s="70">
        <f>'4.11 Comptes 2020 fonctionnelle'!BD28</f>
        <v>19706724.780000005</v>
      </c>
    </row>
    <row r="31" spans="1:3" ht="16.5" customHeight="1" x14ac:dyDescent="0.3">
      <c r="A31" s="65"/>
      <c r="B31" s="67" t="s">
        <v>318</v>
      </c>
      <c r="C31" s="4">
        <f>'4.11 Comptes 2020 fonctionnelle'!BD29</f>
        <v>27784761.320000011</v>
      </c>
    </row>
    <row r="32" spans="1:3" ht="16.5" customHeight="1" x14ac:dyDescent="0.3">
      <c r="A32" s="65"/>
      <c r="B32" s="67" t="s">
        <v>319</v>
      </c>
      <c r="C32" s="4">
        <f>'4.11 Comptes 2020 fonctionnelle'!BD30</f>
        <v>8078036.5399999991</v>
      </c>
    </row>
    <row r="33" spans="1:3" ht="16.5" customHeight="1" x14ac:dyDescent="0.3">
      <c r="A33" s="65"/>
      <c r="B33" s="7"/>
      <c r="C33" s="4"/>
    </row>
    <row r="34" spans="1:3" ht="16.5" customHeight="1" x14ac:dyDescent="0.3">
      <c r="A34" s="71">
        <v>7</v>
      </c>
      <c r="B34" s="69" t="s">
        <v>315</v>
      </c>
      <c r="C34" s="70">
        <f>'4.11 Comptes 2020 fonctionnelle'!BD32</f>
        <v>-2689432.2100000009</v>
      </c>
    </row>
    <row r="35" spans="1:3" ht="16.5" customHeight="1" x14ac:dyDescent="0.3">
      <c r="A35" s="65"/>
      <c r="B35" s="67" t="s">
        <v>318</v>
      </c>
      <c r="C35" s="4">
        <f>'4.11 Comptes 2020 fonctionnelle'!BD33</f>
        <v>40133119.179999992</v>
      </c>
    </row>
    <row r="36" spans="1:3" ht="16.5" customHeight="1" x14ac:dyDescent="0.3">
      <c r="A36" s="65"/>
      <c r="B36" s="67" t="s">
        <v>319</v>
      </c>
      <c r="C36" s="4">
        <f>'4.11 Comptes 2020 fonctionnelle'!BD34</f>
        <v>42822551.390000001</v>
      </c>
    </row>
    <row r="37" spans="1:3" ht="16.5" customHeight="1" x14ac:dyDescent="0.3">
      <c r="A37" s="65"/>
      <c r="B37" s="7"/>
      <c r="C37" s="4"/>
    </row>
    <row r="38" spans="1:3" ht="16.5" customHeight="1" x14ac:dyDescent="0.3">
      <c r="A38" s="71">
        <v>8</v>
      </c>
      <c r="B38" s="69" t="s">
        <v>316</v>
      </c>
      <c r="C38" s="70">
        <f>'4.11 Comptes 2020 fonctionnelle'!BD36</f>
        <v>-331937.40999999986</v>
      </c>
    </row>
    <row r="39" spans="1:3" ht="16.5" customHeight="1" x14ac:dyDescent="0.3">
      <c r="A39" s="65"/>
      <c r="B39" s="67" t="s">
        <v>318</v>
      </c>
      <c r="C39" s="4">
        <f>'4.11 Comptes 2020 fonctionnelle'!BD37</f>
        <v>38853071.929999985</v>
      </c>
    </row>
    <row r="40" spans="1:3" ht="16.5" customHeight="1" x14ac:dyDescent="0.3">
      <c r="A40" s="65"/>
      <c r="B40" s="67" t="s">
        <v>319</v>
      </c>
      <c r="C40" s="4">
        <f>'4.11 Comptes 2020 fonctionnelle'!BD38</f>
        <v>39185009.339999996</v>
      </c>
    </row>
    <row r="41" spans="1:3" ht="16.5" customHeight="1" x14ac:dyDescent="0.3">
      <c r="A41" s="65"/>
      <c r="B41" s="7"/>
      <c r="C41" s="4"/>
    </row>
    <row r="42" spans="1:3" ht="16.5" customHeight="1" x14ac:dyDescent="0.3">
      <c r="A42" s="71">
        <v>9</v>
      </c>
      <c r="B42" s="69" t="s">
        <v>317</v>
      </c>
      <c r="C42" s="70">
        <f>'4.11 Comptes 2020 fonctionnelle'!BD40</f>
        <v>-221719389.91000003</v>
      </c>
    </row>
    <row r="43" spans="1:3" ht="16.5" customHeight="1" x14ac:dyDescent="0.4">
      <c r="A43" s="66"/>
      <c r="B43" s="67" t="s">
        <v>318</v>
      </c>
      <c r="C43" s="4">
        <f>'4.11 Comptes 2020 fonctionnelle'!BD41</f>
        <v>42749162.500000007</v>
      </c>
    </row>
    <row r="44" spans="1:3" ht="16.5" customHeight="1" x14ac:dyDescent="0.4">
      <c r="A44" s="66"/>
      <c r="B44" s="67" t="s">
        <v>319</v>
      </c>
      <c r="C44" s="4">
        <f>'4.11 Comptes 2020 fonctionnelle'!BD42</f>
        <v>264468552.40999994</v>
      </c>
    </row>
    <row r="45" spans="1:3" ht="16.5" customHeight="1" x14ac:dyDescent="0.4">
      <c r="A45" s="66"/>
      <c r="B45" s="63"/>
      <c r="C45" s="4"/>
    </row>
    <row r="46" spans="1:3" ht="16.5" customHeight="1" x14ac:dyDescent="0.3">
      <c r="A46" s="71"/>
      <c r="B46" s="69" t="s">
        <v>320</v>
      </c>
      <c r="C46" s="70">
        <f>'4.11 Comptes 2020 fonctionnelle'!BD44</f>
        <v>-8293691.5099999905</v>
      </c>
    </row>
    <row r="47" spans="1:3" ht="16.5" customHeight="1" x14ac:dyDescent="0.4">
      <c r="A47" s="66"/>
      <c r="B47" s="67" t="s">
        <v>318</v>
      </c>
      <c r="C47" s="4">
        <f>'4.11 Comptes 2020 fonctionnelle'!BD45</f>
        <v>401284340.43000001</v>
      </c>
    </row>
    <row r="48" spans="1:3" ht="16.5" customHeight="1" x14ac:dyDescent="0.4">
      <c r="A48" s="66"/>
      <c r="B48" s="67" t="s">
        <v>319</v>
      </c>
      <c r="C48" s="4">
        <f>'4.11 Comptes 2020 fonctionnelle'!BD46</f>
        <v>409578031.93999994</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40" zoomScale="115" zoomScaleNormal="115" workbookViewId="0">
      <selection activeCell="C23" sqref="C23"/>
    </sheetView>
  </sheetViews>
  <sheetFormatPr baseColWidth="10" defaultRowHeight="14.4" x14ac:dyDescent="0.3"/>
  <cols>
    <col min="1" max="1" width="57" customWidth="1"/>
    <col min="2" max="2" width="22.88671875" customWidth="1"/>
  </cols>
  <sheetData>
    <row r="1" spans="1:2" x14ac:dyDescent="0.3">
      <c r="A1" s="7" t="s">
        <v>60</v>
      </c>
      <c r="B1" s="4"/>
    </row>
    <row r="2" spans="1:2" x14ac:dyDescent="0.3">
      <c r="A2" s="78" t="s">
        <v>803</v>
      </c>
      <c r="B2" s="4">
        <f>'Tableau fonctionnelle'!C7</f>
        <v>31469284.439999998</v>
      </c>
    </row>
    <row r="3" spans="1:2" x14ac:dyDescent="0.3">
      <c r="A3" s="78" t="s">
        <v>804</v>
      </c>
      <c r="B3" s="4">
        <f>'Tableau fonctionnelle'!C11</f>
        <v>11136519.650000002</v>
      </c>
    </row>
    <row r="4" spans="1:2" x14ac:dyDescent="0.3">
      <c r="A4" s="78" t="s">
        <v>805</v>
      </c>
      <c r="B4" s="4">
        <f>'Tableau fonctionnelle'!C15</f>
        <v>102323379.91000003</v>
      </c>
    </row>
    <row r="5" spans="1:2" x14ac:dyDescent="0.3">
      <c r="A5" s="78" t="s">
        <v>806</v>
      </c>
      <c r="B5" s="4">
        <f>'Tableau fonctionnelle'!C19</f>
        <v>14985535.060000002</v>
      </c>
    </row>
    <row r="6" spans="1:2" x14ac:dyDescent="0.3">
      <c r="A6" s="78" t="s">
        <v>807</v>
      </c>
      <c r="B6" s="4">
        <f>'Tableau fonctionnelle'!C23</f>
        <v>804616.3899999999</v>
      </c>
    </row>
    <row r="7" spans="1:2" x14ac:dyDescent="0.3">
      <c r="A7" s="78" t="s">
        <v>808</v>
      </c>
      <c r="B7" s="4">
        <f>'Tableau fonctionnelle'!C27</f>
        <v>91044890.049999997</v>
      </c>
    </row>
    <row r="8" spans="1:2" x14ac:dyDescent="0.3">
      <c r="A8" s="78" t="s">
        <v>809</v>
      </c>
      <c r="B8" s="4">
        <f>'Tableau fonctionnelle'!C31</f>
        <v>27784761.320000011</v>
      </c>
    </row>
    <row r="9" spans="1:2" x14ac:dyDescent="0.3">
      <c r="A9" s="78" t="s">
        <v>810</v>
      </c>
      <c r="B9" s="4">
        <f>'Tableau fonctionnelle'!C35</f>
        <v>40133119.179999992</v>
      </c>
    </row>
    <row r="10" spans="1:2" x14ac:dyDescent="0.3">
      <c r="A10" s="78" t="s">
        <v>811</v>
      </c>
      <c r="B10" s="4">
        <f>'Tableau fonctionnelle'!C39</f>
        <v>38853071.929999985</v>
      </c>
    </row>
    <row r="11" spans="1:2" x14ac:dyDescent="0.3">
      <c r="A11" s="78" t="s">
        <v>812</v>
      </c>
      <c r="B11" s="4">
        <f>'Tableau fonctionnelle'!C43</f>
        <v>42749162.500000007</v>
      </c>
    </row>
    <row r="12" spans="1:2" x14ac:dyDescent="0.3">
      <c r="B12" s="4"/>
    </row>
    <row r="13" spans="1:2" x14ac:dyDescent="0.3">
      <c r="A13" s="7" t="s">
        <v>137</v>
      </c>
      <c r="B13" s="4"/>
    </row>
    <row r="14" spans="1:2" x14ac:dyDescent="0.3">
      <c r="A14" s="78" t="s">
        <v>803</v>
      </c>
      <c r="B14" s="4">
        <f>'Tableau fonctionnelle'!C8</f>
        <v>4024189.8900000006</v>
      </c>
    </row>
    <row r="15" spans="1:2" x14ac:dyDescent="0.3">
      <c r="A15" s="78" t="s">
        <v>804</v>
      </c>
      <c r="B15" s="4">
        <f>'Tableau fonctionnelle'!C12</f>
        <v>7519359.5800000019</v>
      </c>
    </row>
    <row r="16" spans="1:2" x14ac:dyDescent="0.3">
      <c r="A16" s="78" t="s">
        <v>805</v>
      </c>
      <c r="B16" s="4">
        <f>'Tableau fonctionnelle'!C16</f>
        <v>6742848.660000002</v>
      </c>
    </row>
    <row r="17" spans="1:2" x14ac:dyDescent="0.3">
      <c r="A17" s="78" t="s">
        <v>806</v>
      </c>
      <c r="B17" s="4">
        <f>'Tableau fonctionnelle'!C20</f>
        <v>2072041.33</v>
      </c>
    </row>
    <row r="18" spans="1:2" x14ac:dyDescent="0.3">
      <c r="A18" s="78" t="s">
        <v>807</v>
      </c>
      <c r="B18" s="4">
        <f>'Tableau fonctionnelle'!C24</f>
        <v>14782.6</v>
      </c>
    </row>
    <row r="19" spans="1:2" x14ac:dyDescent="0.3">
      <c r="A19" s="78" t="s">
        <v>808</v>
      </c>
      <c r="B19" s="4">
        <f>'Tableau fonctionnelle'!C28</f>
        <v>34650660.200000003</v>
      </c>
    </row>
    <row r="20" spans="1:2" x14ac:dyDescent="0.3">
      <c r="A20" s="78" t="s">
        <v>809</v>
      </c>
      <c r="B20" s="4">
        <f>'Tableau fonctionnelle'!C32</f>
        <v>8078036.5399999991</v>
      </c>
    </row>
    <row r="21" spans="1:2" x14ac:dyDescent="0.3">
      <c r="A21" s="78" t="s">
        <v>810</v>
      </c>
      <c r="B21" s="4">
        <f>'Tableau fonctionnelle'!C36</f>
        <v>42822551.390000001</v>
      </c>
    </row>
    <row r="22" spans="1:2" x14ac:dyDescent="0.3">
      <c r="A22" s="78" t="s">
        <v>811</v>
      </c>
      <c r="B22" s="4">
        <f>'Tableau fonctionnelle'!C40</f>
        <v>39185009.339999996</v>
      </c>
    </row>
    <row r="23" spans="1:2" x14ac:dyDescent="0.3">
      <c r="A23" s="78" t="s">
        <v>812</v>
      </c>
      <c r="B23" s="4">
        <f>'Tableau fonctionnelle'!C44</f>
        <v>264468552.40999994</v>
      </c>
    </row>
    <row r="24" spans="1:2" x14ac:dyDescent="0.3">
      <c r="B24" s="4"/>
    </row>
    <row r="25" spans="1:2" x14ac:dyDescent="0.3">
      <c r="B25" s="4"/>
    </row>
    <row r="26" spans="1:2" x14ac:dyDescent="0.3">
      <c r="B26" s="4"/>
    </row>
    <row r="27" spans="1:2" x14ac:dyDescent="0.3">
      <c r="B27" s="4"/>
    </row>
    <row r="28" spans="1:2" x14ac:dyDescent="0.3">
      <c r="B28" s="4"/>
    </row>
    <row r="29" spans="1:2" x14ac:dyDescent="0.3">
      <c r="B29" s="4"/>
    </row>
    <row r="30" spans="1:2" x14ac:dyDescent="0.3">
      <c r="B30" s="4"/>
    </row>
    <row r="31" spans="1:2" x14ac:dyDescent="0.3">
      <c r="B31" s="4"/>
    </row>
    <row r="32" spans="1:2" x14ac:dyDescent="0.3">
      <c r="B32" s="4"/>
    </row>
    <row r="33" spans="2:2" x14ac:dyDescent="0.3">
      <c r="B33" s="4"/>
    </row>
    <row r="34" spans="2:2" x14ac:dyDescent="0.3">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zoomScaleNormal="100" workbookViewId="0">
      <selection activeCell="C23" sqref="C23"/>
    </sheetView>
  </sheetViews>
  <sheetFormatPr baseColWidth="10" defaultColWidth="11.44140625" defaultRowHeight="13.8" x14ac:dyDescent="0.3"/>
  <cols>
    <col min="1" max="1" width="3.44140625" style="10" customWidth="1"/>
    <col min="2" max="2" width="14" style="10" customWidth="1"/>
    <col min="3" max="12" width="11.44140625" style="10"/>
    <col min="13" max="13" width="3.44140625" style="10" customWidth="1"/>
    <col min="14" max="14" width="14" style="10" customWidth="1"/>
    <col min="15" max="16384" width="11.44140625" style="10"/>
  </cols>
  <sheetData>
    <row r="1" spans="1:15" ht="14.4" thickBot="1" x14ac:dyDescent="0.35">
      <c r="A1" s="13" t="s">
        <v>70</v>
      </c>
      <c r="B1" s="13" t="s">
        <v>67</v>
      </c>
      <c r="C1" s="13">
        <v>2020</v>
      </c>
      <c r="D1" s="13"/>
      <c r="E1" s="13"/>
      <c r="F1" s="13"/>
      <c r="G1" s="13"/>
      <c r="H1" s="13"/>
      <c r="I1" s="13"/>
      <c r="M1" s="13" t="s">
        <v>70</v>
      </c>
      <c r="N1" s="13" t="s">
        <v>67</v>
      </c>
      <c r="O1" s="13">
        <v>2020</v>
      </c>
    </row>
    <row r="2" spans="1:15" ht="14.4" thickBot="1" x14ac:dyDescent="0.35">
      <c r="A2" s="27">
        <v>1</v>
      </c>
      <c r="B2" s="28" t="s">
        <v>56</v>
      </c>
      <c r="C2" s="29">
        <v>923</v>
      </c>
      <c r="D2" s="12"/>
      <c r="G2" s="211" t="s">
        <v>756</v>
      </c>
      <c r="H2" s="212"/>
      <c r="I2" s="212"/>
      <c r="J2" s="212"/>
      <c r="K2" s="213"/>
      <c r="M2" s="193">
        <v>1</v>
      </c>
      <c r="N2" s="31" t="s">
        <v>52</v>
      </c>
      <c r="O2" s="32">
        <f>C34</f>
        <v>1895</v>
      </c>
    </row>
    <row r="3" spans="1:15" x14ac:dyDescent="0.3">
      <c r="A3" s="27">
        <v>2</v>
      </c>
      <c r="B3" s="28" t="s">
        <v>18</v>
      </c>
      <c r="C3" s="29">
        <v>270</v>
      </c>
      <c r="D3" s="12"/>
      <c r="M3" s="193">
        <v>2</v>
      </c>
      <c r="N3" s="31" t="s">
        <v>32</v>
      </c>
      <c r="O3" s="32">
        <f>C36</f>
        <v>1241</v>
      </c>
    </row>
    <row r="4" spans="1:15" x14ac:dyDescent="0.3">
      <c r="A4" s="27">
        <v>3</v>
      </c>
      <c r="B4" s="28" t="s">
        <v>57</v>
      </c>
      <c r="C4" s="29">
        <v>485</v>
      </c>
      <c r="D4" s="12"/>
      <c r="M4" s="193">
        <v>3</v>
      </c>
      <c r="N4" s="31" t="s">
        <v>29</v>
      </c>
      <c r="O4" s="32">
        <f>C37</f>
        <v>119</v>
      </c>
    </row>
    <row r="5" spans="1:15" x14ac:dyDescent="0.3">
      <c r="A5" s="27">
        <v>4</v>
      </c>
      <c r="B5" s="28" t="s">
        <v>53</v>
      </c>
      <c r="C5" s="29">
        <v>446</v>
      </c>
      <c r="D5" s="12"/>
      <c r="F5" s="20" t="s">
        <v>72</v>
      </c>
      <c r="M5" s="193">
        <v>4</v>
      </c>
      <c r="N5" s="28" t="s">
        <v>56</v>
      </c>
      <c r="O5" s="29">
        <f>C2</f>
        <v>923</v>
      </c>
    </row>
    <row r="6" spans="1:15" x14ac:dyDescent="0.3">
      <c r="A6" s="27">
        <v>5</v>
      </c>
      <c r="B6" s="28" t="s">
        <v>33</v>
      </c>
      <c r="C6" s="29">
        <v>3631</v>
      </c>
      <c r="D6" s="12"/>
      <c r="F6" s="22" t="s">
        <v>28</v>
      </c>
      <c r="G6" s="22"/>
      <c r="H6" s="23">
        <f>SUM(C2:C20)</f>
        <v>38954</v>
      </c>
      <c r="M6" s="193">
        <v>5</v>
      </c>
      <c r="N6" s="31" t="s">
        <v>26</v>
      </c>
      <c r="O6" s="32">
        <f>C38</f>
        <v>1195</v>
      </c>
    </row>
    <row r="7" spans="1:15" x14ac:dyDescent="0.3">
      <c r="A7" s="27">
        <v>6</v>
      </c>
      <c r="B7" s="28" t="s">
        <v>10</v>
      </c>
      <c r="C7" s="29">
        <v>3313</v>
      </c>
      <c r="D7" s="12"/>
      <c r="F7" s="34" t="s">
        <v>64</v>
      </c>
      <c r="G7" s="34"/>
      <c r="H7" s="35">
        <f>SUM(C21:C33)</f>
        <v>10479</v>
      </c>
      <c r="M7" s="193">
        <v>6</v>
      </c>
      <c r="N7" s="31" t="s">
        <v>48</v>
      </c>
      <c r="O7" s="32">
        <f>C39</f>
        <v>663</v>
      </c>
    </row>
    <row r="8" spans="1:15" x14ac:dyDescent="0.3">
      <c r="A8" s="27">
        <v>7</v>
      </c>
      <c r="B8" s="28" t="s">
        <v>15</v>
      </c>
      <c r="C8" s="29">
        <v>2644</v>
      </c>
      <c r="D8" s="12"/>
      <c r="F8" s="19" t="s">
        <v>16</v>
      </c>
      <c r="G8" s="19"/>
      <c r="H8" s="33">
        <f>SUM(C34:C54)</f>
        <v>24276</v>
      </c>
      <c r="M8" s="193">
        <v>7</v>
      </c>
      <c r="N8" s="28" t="s">
        <v>18</v>
      </c>
      <c r="O8" s="29">
        <f>C3</f>
        <v>270</v>
      </c>
    </row>
    <row r="9" spans="1:15" x14ac:dyDescent="0.3">
      <c r="A9" s="27">
        <v>8</v>
      </c>
      <c r="B9" s="28" t="s">
        <v>28</v>
      </c>
      <c r="C9" s="30">
        <v>12618</v>
      </c>
      <c r="D9" s="12"/>
      <c r="H9" s="21">
        <f>SUM(H6:H8)</f>
        <v>73709</v>
      </c>
      <c r="M9" s="193">
        <v>8</v>
      </c>
      <c r="N9" s="31" t="s">
        <v>44</v>
      </c>
      <c r="O9" s="32">
        <f>C40</f>
        <v>645</v>
      </c>
    </row>
    <row r="10" spans="1:15" x14ac:dyDescent="0.3">
      <c r="A10" s="27">
        <v>9</v>
      </c>
      <c r="B10" s="28" t="s">
        <v>42</v>
      </c>
      <c r="C10" s="30">
        <v>1371</v>
      </c>
      <c r="D10" s="12"/>
      <c r="M10" s="193">
        <v>9</v>
      </c>
      <c r="N10" s="28" t="s">
        <v>57</v>
      </c>
      <c r="O10" s="29">
        <f>C4</f>
        <v>485</v>
      </c>
    </row>
    <row r="11" spans="1:15" x14ac:dyDescent="0.3">
      <c r="A11" s="27">
        <v>10</v>
      </c>
      <c r="B11" s="28" t="s">
        <v>23</v>
      </c>
      <c r="C11" s="30">
        <v>118</v>
      </c>
      <c r="D11" s="17"/>
      <c r="M11" s="193">
        <v>10</v>
      </c>
      <c r="N11" s="31" t="s">
        <v>37</v>
      </c>
      <c r="O11" s="32">
        <f>C41</f>
        <v>1263</v>
      </c>
    </row>
    <row r="12" spans="1:15" x14ac:dyDescent="0.3">
      <c r="A12" s="27">
        <v>11</v>
      </c>
      <c r="B12" s="28" t="s">
        <v>22</v>
      </c>
      <c r="C12" s="30">
        <v>7167</v>
      </c>
      <c r="D12" s="17"/>
      <c r="M12" s="193">
        <v>11</v>
      </c>
      <c r="N12" s="31" t="s">
        <v>51</v>
      </c>
      <c r="O12" s="32">
        <f>C42</f>
        <v>740</v>
      </c>
    </row>
    <row r="13" spans="1:15" x14ac:dyDescent="0.3">
      <c r="A13" s="27">
        <v>12</v>
      </c>
      <c r="B13" s="28" t="s">
        <v>13</v>
      </c>
      <c r="C13" s="30">
        <v>528</v>
      </c>
      <c r="D13" s="17"/>
      <c r="M13" s="193">
        <v>12</v>
      </c>
      <c r="N13" s="31" t="s">
        <v>8</v>
      </c>
      <c r="O13" s="32">
        <f>C43</f>
        <v>1028</v>
      </c>
    </row>
    <row r="14" spans="1:15" x14ac:dyDescent="0.3">
      <c r="A14" s="27">
        <v>13</v>
      </c>
      <c r="B14" s="28" t="s">
        <v>17</v>
      </c>
      <c r="C14" s="30">
        <v>108</v>
      </c>
      <c r="D14" s="17"/>
      <c r="M14" s="193">
        <v>13</v>
      </c>
      <c r="N14" s="28" t="s">
        <v>53</v>
      </c>
      <c r="O14" s="29">
        <f>C5</f>
        <v>446</v>
      </c>
    </row>
    <row r="15" spans="1:15" x14ac:dyDescent="0.3">
      <c r="A15" s="27">
        <v>14</v>
      </c>
      <c r="B15" s="28" t="s">
        <v>43</v>
      </c>
      <c r="C15" s="30">
        <v>415</v>
      </c>
      <c r="D15" s="17"/>
      <c r="M15" s="193">
        <v>14</v>
      </c>
      <c r="N15" s="31" t="s">
        <v>24</v>
      </c>
      <c r="O15" s="32">
        <f>C44</f>
        <v>314</v>
      </c>
    </row>
    <row r="16" spans="1:15" x14ac:dyDescent="0.3">
      <c r="A16" s="27">
        <v>15</v>
      </c>
      <c r="B16" s="28" t="s">
        <v>40</v>
      </c>
      <c r="C16" s="30">
        <v>349</v>
      </c>
      <c r="D16" s="17"/>
      <c r="M16" s="193">
        <v>15</v>
      </c>
      <c r="N16" s="31" t="s">
        <v>9</v>
      </c>
      <c r="O16" s="32">
        <f>C45</f>
        <v>2400</v>
      </c>
    </row>
    <row r="17" spans="1:15" x14ac:dyDescent="0.3">
      <c r="A17" s="27">
        <v>16</v>
      </c>
      <c r="B17" s="28" t="s">
        <v>31</v>
      </c>
      <c r="C17" s="30">
        <v>687</v>
      </c>
      <c r="D17" s="17"/>
      <c r="M17" s="193">
        <v>16</v>
      </c>
      <c r="N17" s="28" t="s">
        <v>33</v>
      </c>
      <c r="O17" s="29">
        <f>C6</f>
        <v>3631</v>
      </c>
    </row>
    <row r="18" spans="1:15" x14ac:dyDescent="0.3">
      <c r="A18" s="27">
        <v>17</v>
      </c>
      <c r="B18" s="28" t="s">
        <v>12</v>
      </c>
      <c r="C18" s="30">
        <v>255</v>
      </c>
      <c r="D18" s="17"/>
      <c r="M18" s="193">
        <v>17</v>
      </c>
      <c r="N18" s="28" t="s">
        <v>10</v>
      </c>
      <c r="O18" s="29">
        <f>C7</f>
        <v>3313</v>
      </c>
    </row>
    <row r="19" spans="1:15" x14ac:dyDescent="0.3">
      <c r="A19" s="27">
        <v>18</v>
      </c>
      <c r="B19" s="28" t="s">
        <v>59</v>
      </c>
      <c r="C19" s="30">
        <v>436</v>
      </c>
      <c r="D19" s="17"/>
      <c r="M19" s="193">
        <v>18</v>
      </c>
      <c r="N19" s="31" t="s">
        <v>62</v>
      </c>
      <c r="O19" s="32">
        <f>C46</f>
        <v>755</v>
      </c>
    </row>
    <row r="20" spans="1:15" x14ac:dyDescent="0.3">
      <c r="A20" s="27">
        <v>19</v>
      </c>
      <c r="B20" s="28" t="s">
        <v>27</v>
      </c>
      <c r="C20" s="30">
        <v>3190</v>
      </c>
      <c r="D20" s="17"/>
      <c r="M20" s="193">
        <v>19</v>
      </c>
      <c r="N20" s="28" t="s">
        <v>15</v>
      </c>
      <c r="O20" s="29">
        <f>C8</f>
        <v>2644</v>
      </c>
    </row>
    <row r="21" spans="1:15" x14ac:dyDescent="0.3">
      <c r="A21" s="24">
        <v>20</v>
      </c>
      <c r="B21" s="25" t="s">
        <v>30</v>
      </c>
      <c r="C21" s="26">
        <v>324</v>
      </c>
      <c r="D21" s="17"/>
      <c r="M21" s="193">
        <v>20</v>
      </c>
      <c r="N21" s="31" t="s">
        <v>46</v>
      </c>
      <c r="O21" s="32">
        <f>C47</f>
        <v>181</v>
      </c>
    </row>
    <row r="22" spans="1:15" x14ac:dyDescent="0.3">
      <c r="A22" s="24">
        <v>21</v>
      </c>
      <c r="B22" s="25" t="s">
        <v>20</v>
      </c>
      <c r="C22" s="26">
        <v>1246</v>
      </c>
      <c r="D22" s="17"/>
      <c r="M22" s="193">
        <v>21</v>
      </c>
      <c r="N22" s="28" t="s">
        <v>28</v>
      </c>
      <c r="O22" s="30">
        <f>C9</f>
        <v>12618</v>
      </c>
    </row>
    <row r="23" spans="1:15" x14ac:dyDescent="0.3">
      <c r="A23" s="24">
        <v>22</v>
      </c>
      <c r="B23" s="25" t="s">
        <v>45</v>
      </c>
      <c r="C23" s="26">
        <v>1528</v>
      </c>
      <c r="D23" s="17"/>
      <c r="E23" s="12"/>
      <c r="M23" s="193">
        <v>22</v>
      </c>
      <c r="N23" s="28" t="s">
        <v>42</v>
      </c>
      <c r="O23" s="30">
        <f>C10</f>
        <v>1371</v>
      </c>
    </row>
    <row r="24" spans="1:15" x14ac:dyDescent="0.3">
      <c r="A24" s="24">
        <v>23</v>
      </c>
      <c r="B24" s="25" t="s">
        <v>71</v>
      </c>
      <c r="C24" s="26">
        <v>96</v>
      </c>
      <c r="D24" s="17"/>
      <c r="M24" s="193">
        <v>23</v>
      </c>
      <c r="N24" s="28" t="s">
        <v>23</v>
      </c>
      <c r="O24" s="30">
        <f>C11</f>
        <v>118</v>
      </c>
    </row>
    <row r="25" spans="1:15" x14ac:dyDescent="0.3">
      <c r="A25" s="24">
        <v>24</v>
      </c>
      <c r="B25" s="25" t="s">
        <v>39</v>
      </c>
      <c r="C25" s="26">
        <v>149</v>
      </c>
      <c r="D25" s="17"/>
      <c r="M25" s="193">
        <v>24</v>
      </c>
      <c r="N25" s="31" t="s">
        <v>35</v>
      </c>
      <c r="O25" s="32">
        <f>C48</f>
        <v>347</v>
      </c>
    </row>
    <row r="26" spans="1:15" x14ac:dyDescent="0.3">
      <c r="A26" s="24">
        <v>25</v>
      </c>
      <c r="B26" s="25" t="s">
        <v>19</v>
      </c>
      <c r="C26" s="26">
        <v>516</v>
      </c>
      <c r="D26" s="17"/>
      <c r="M26" s="193">
        <v>25</v>
      </c>
      <c r="N26" s="31" t="s">
        <v>49</v>
      </c>
      <c r="O26" s="32">
        <f>C49</f>
        <v>1690</v>
      </c>
    </row>
    <row r="27" spans="1:15" x14ac:dyDescent="0.3">
      <c r="A27" s="24">
        <v>26</v>
      </c>
      <c r="B27" s="25" t="s">
        <v>41</v>
      </c>
      <c r="C27" s="26">
        <v>671</v>
      </c>
      <c r="D27" s="17"/>
      <c r="M27" s="193">
        <v>26</v>
      </c>
      <c r="N27" s="31" t="s">
        <v>47</v>
      </c>
      <c r="O27" s="32">
        <f>C50</f>
        <v>387</v>
      </c>
    </row>
    <row r="28" spans="1:15" x14ac:dyDescent="0.3">
      <c r="A28" s="24">
        <v>27</v>
      </c>
      <c r="B28" s="25" t="s">
        <v>36</v>
      </c>
      <c r="C28" s="26">
        <v>572</v>
      </c>
      <c r="D28" s="17"/>
      <c r="M28" s="193">
        <v>27</v>
      </c>
      <c r="N28" s="31" t="s">
        <v>58</v>
      </c>
      <c r="O28" s="32">
        <f>C51</f>
        <v>1096</v>
      </c>
    </row>
    <row r="29" spans="1:15" x14ac:dyDescent="0.3">
      <c r="A29" s="24">
        <v>28</v>
      </c>
      <c r="B29" s="25" t="s">
        <v>7</v>
      </c>
      <c r="C29" s="26">
        <v>490</v>
      </c>
      <c r="D29" s="17"/>
      <c r="M29" s="193">
        <v>28</v>
      </c>
      <c r="N29" s="28" t="s">
        <v>22</v>
      </c>
      <c r="O29" s="30">
        <f>C12</f>
        <v>7167</v>
      </c>
    </row>
    <row r="30" spans="1:15" x14ac:dyDescent="0.3">
      <c r="A30" s="24">
        <v>29</v>
      </c>
      <c r="B30" s="25" t="s">
        <v>55</v>
      </c>
      <c r="C30" s="26">
        <v>1914</v>
      </c>
      <c r="D30" s="17"/>
      <c r="M30" s="193">
        <v>29</v>
      </c>
      <c r="N30" s="31" t="s">
        <v>14</v>
      </c>
      <c r="O30" s="32">
        <f>C35</f>
        <v>1135</v>
      </c>
    </row>
    <row r="31" spans="1:15" x14ac:dyDescent="0.3">
      <c r="A31" s="24">
        <v>30</v>
      </c>
      <c r="B31" s="25" t="s">
        <v>21</v>
      </c>
      <c r="C31" s="26">
        <v>2615</v>
      </c>
      <c r="D31" s="17"/>
      <c r="M31" s="193">
        <v>30</v>
      </c>
      <c r="N31" s="25" t="s">
        <v>71</v>
      </c>
      <c r="O31" s="26">
        <f>C24</f>
        <v>96</v>
      </c>
    </row>
    <row r="32" spans="1:15" x14ac:dyDescent="0.3">
      <c r="A32" s="24">
        <v>31</v>
      </c>
      <c r="B32" s="25" t="s">
        <v>6</v>
      </c>
      <c r="C32" s="26">
        <v>227</v>
      </c>
      <c r="D32" s="17"/>
      <c r="M32" s="193">
        <v>31</v>
      </c>
      <c r="N32" s="25" t="s">
        <v>41</v>
      </c>
      <c r="O32" s="26">
        <f>C27</f>
        <v>671</v>
      </c>
    </row>
    <row r="33" spans="1:15" x14ac:dyDescent="0.3">
      <c r="A33" s="24">
        <v>32</v>
      </c>
      <c r="B33" s="25" t="s">
        <v>34</v>
      </c>
      <c r="C33" s="26">
        <v>131</v>
      </c>
      <c r="D33" s="17"/>
      <c r="M33" s="193">
        <v>32</v>
      </c>
      <c r="N33" s="25" t="s">
        <v>30</v>
      </c>
      <c r="O33" s="26">
        <f>C21</f>
        <v>324</v>
      </c>
    </row>
    <row r="34" spans="1:15" x14ac:dyDescent="0.3">
      <c r="A34" s="19">
        <v>33</v>
      </c>
      <c r="B34" s="31" t="s">
        <v>52</v>
      </c>
      <c r="C34" s="32">
        <v>1895</v>
      </c>
      <c r="D34" s="17"/>
      <c r="M34" s="193">
        <v>33</v>
      </c>
      <c r="N34" s="25" t="s">
        <v>55</v>
      </c>
      <c r="O34" s="26">
        <f>C30</f>
        <v>1914</v>
      </c>
    </row>
    <row r="35" spans="1:15" x14ac:dyDescent="0.3">
      <c r="A35" s="19">
        <v>34</v>
      </c>
      <c r="B35" s="31" t="s">
        <v>14</v>
      </c>
      <c r="C35" s="32">
        <v>1135</v>
      </c>
      <c r="D35" s="17"/>
      <c r="M35" s="193">
        <v>34</v>
      </c>
      <c r="N35" s="25" t="s">
        <v>20</v>
      </c>
      <c r="O35" s="26">
        <f>C22</f>
        <v>1246</v>
      </c>
    </row>
    <row r="36" spans="1:15" x14ac:dyDescent="0.3">
      <c r="A36" s="19">
        <v>35</v>
      </c>
      <c r="B36" s="31" t="s">
        <v>32</v>
      </c>
      <c r="C36" s="32">
        <v>1241</v>
      </c>
      <c r="D36" s="17"/>
      <c r="E36" s="12"/>
      <c r="M36" s="193">
        <v>35</v>
      </c>
      <c r="N36" s="25" t="s">
        <v>45</v>
      </c>
      <c r="O36" s="26">
        <f>C23</f>
        <v>1528</v>
      </c>
    </row>
    <row r="37" spans="1:15" x14ac:dyDescent="0.3">
      <c r="A37" s="19">
        <v>36</v>
      </c>
      <c r="B37" s="31" t="s">
        <v>29</v>
      </c>
      <c r="C37" s="32">
        <v>119</v>
      </c>
      <c r="D37" s="17"/>
      <c r="M37" s="193">
        <v>36</v>
      </c>
      <c r="N37" s="25" t="s">
        <v>39</v>
      </c>
      <c r="O37" s="26">
        <f>C25</f>
        <v>149</v>
      </c>
    </row>
    <row r="38" spans="1:15" x14ac:dyDescent="0.3">
      <c r="A38" s="19">
        <v>37</v>
      </c>
      <c r="B38" s="31" t="s">
        <v>26</v>
      </c>
      <c r="C38" s="32">
        <v>1195</v>
      </c>
      <c r="D38" s="17"/>
      <c r="M38" s="193">
        <v>37</v>
      </c>
      <c r="N38" s="25" t="s">
        <v>19</v>
      </c>
      <c r="O38" s="26">
        <f>C26</f>
        <v>516</v>
      </c>
    </row>
    <row r="39" spans="1:15" x14ac:dyDescent="0.3">
      <c r="A39" s="19">
        <v>38</v>
      </c>
      <c r="B39" s="31" t="s">
        <v>48</v>
      </c>
      <c r="C39" s="32">
        <v>663</v>
      </c>
      <c r="D39" s="17"/>
      <c r="M39" s="193">
        <v>38</v>
      </c>
      <c r="N39" s="31" t="s">
        <v>50</v>
      </c>
      <c r="O39" s="16">
        <f>C52</f>
        <v>188</v>
      </c>
    </row>
    <row r="40" spans="1:15" x14ac:dyDescent="0.3">
      <c r="A40" s="19">
        <v>39</v>
      </c>
      <c r="B40" s="31" t="s">
        <v>44</v>
      </c>
      <c r="C40" s="32">
        <v>645</v>
      </c>
      <c r="D40" s="17"/>
      <c r="M40" s="193">
        <v>39</v>
      </c>
      <c r="N40" s="28" t="s">
        <v>13</v>
      </c>
      <c r="O40" s="30">
        <f>C13</f>
        <v>528</v>
      </c>
    </row>
    <row r="41" spans="1:15" x14ac:dyDescent="0.3">
      <c r="A41" s="19">
        <v>40</v>
      </c>
      <c r="B41" s="31" t="s">
        <v>37</v>
      </c>
      <c r="C41" s="32">
        <v>1263</v>
      </c>
      <c r="D41" s="17"/>
      <c r="M41" s="193">
        <v>40</v>
      </c>
      <c r="N41" s="28" t="s">
        <v>17</v>
      </c>
      <c r="O41" s="30">
        <f>C14</f>
        <v>108</v>
      </c>
    </row>
    <row r="42" spans="1:15" x14ac:dyDescent="0.3">
      <c r="A42" s="19">
        <v>41</v>
      </c>
      <c r="B42" s="31" t="s">
        <v>51</v>
      </c>
      <c r="C42" s="32">
        <v>740</v>
      </c>
      <c r="D42" s="17"/>
      <c r="M42" s="193">
        <v>41</v>
      </c>
      <c r="N42" s="25" t="s">
        <v>36</v>
      </c>
      <c r="O42" s="26">
        <f>C28</f>
        <v>572</v>
      </c>
    </row>
    <row r="43" spans="1:15" x14ac:dyDescent="0.3">
      <c r="A43" s="19">
        <v>42</v>
      </c>
      <c r="B43" s="31" t="s">
        <v>8</v>
      </c>
      <c r="C43" s="32">
        <v>1028</v>
      </c>
      <c r="D43" s="17"/>
      <c r="M43" s="193">
        <v>42</v>
      </c>
      <c r="N43" s="28" t="s">
        <v>43</v>
      </c>
      <c r="O43" s="30">
        <f>C15</f>
        <v>415</v>
      </c>
    </row>
    <row r="44" spans="1:15" x14ac:dyDescent="0.3">
      <c r="A44" s="19">
        <v>43</v>
      </c>
      <c r="B44" s="31" t="s">
        <v>24</v>
      </c>
      <c r="C44" s="32">
        <v>314</v>
      </c>
      <c r="D44" s="17"/>
      <c r="M44" s="193">
        <v>43</v>
      </c>
      <c r="N44" s="25" t="s">
        <v>7</v>
      </c>
      <c r="O44" s="26">
        <f>C29</f>
        <v>490</v>
      </c>
    </row>
    <row r="45" spans="1:15" x14ac:dyDescent="0.3">
      <c r="A45" s="19">
        <v>44</v>
      </c>
      <c r="B45" s="31" t="s">
        <v>9</v>
      </c>
      <c r="C45" s="32">
        <v>2400</v>
      </c>
      <c r="D45" s="17"/>
      <c r="M45" s="193">
        <v>44</v>
      </c>
      <c r="N45" s="28" t="s">
        <v>40</v>
      </c>
      <c r="O45" s="30">
        <f>C16</f>
        <v>349</v>
      </c>
    </row>
    <row r="46" spans="1:15" x14ac:dyDescent="0.3">
      <c r="A46" s="19">
        <v>45</v>
      </c>
      <c r="B46" s="31" t="s">
        <v>62</v>
      </c>
      <c r="C46" s="32">
        <v>755</v>
      </c>
      <c r="D46" s="17"/>
      <c r="M46" s="193">
        <v>45</v>
      </c>
      <c r="N46" s="31" t="s">
        <v>16</v>
      </c>
      <c r="O46" s="16">
        <f>C53</f>
        <v>6434</v>
      </c>
    </row>
    <row r="47" spans="1:15" x14ac:dyDescent="0.3">
      <c r="A47" s="19">
        <v>46</v>
      </c>
      <c r="B47" s="31" t="s">
        <v>46</v>
      </c>
      <c r="C47" s="32">
        <v>181</v>
      </c>
      <c r="D47" s="17"/>
      <c r="M47" s="193">
        <v>46</v>
      </c>
      <c r="N47" s="28" t="s">
        <v>31</v>
      </c>
      <c r="O47" s="30">
        <f>C17</f>
        <v>687</v>
      </c>
    </row>
    <row r="48" spans="1:15" x14ac:dyDescent="0.3">
      <c r="A48" s="19">
        <v>47</v>
      </c>
      <c r="B48" s="31" t="s">
        <v>35</v>
      </c>
      <c r="C48" s="32">
        <v>347</v>
      </c>
      <c r="D48" s="17"/>
      <c r="M48" s="193">
        <v>47</v>
      </c>
      <c r="N48" s="25" t="s">
        <v>21</v>
      </c>
      <c r="O48" s="26">
        <f>C31</f>
        <v>2615</v>
      </c>
    </row>
    <row r="49" spans="1:15" x14ac:dyDescent="0.3">
      <c r="A49" s="19">
        <v>48</v>
      </c>
      <c r="B49" s="31" t="s">
        <v>49</v>
      </c>
      <c r="C49" s="32">
        <v>1690</v>
      </c>
      <c r="D49" s="17"/>
      <c r="M49" s="193">
        <v>48</v>
      </c>
      <c r="N49" s="25" t="s">
        <v>6</v>
      </c>
      <c r="O49" s="26">
        <f>C32</f>
        <v>227</v>
      </c>
    </row>
    <row r="50" spans="1:15" x14ac:dyDescent="0.3">
      <c r="A50" s="19">
        <v>49</v>
      </c>
      <c r="B50" s="31" t="s">
        <v>47</v>
      </c>
      <c r="C50" s="32">
        <v>387</v>
      </c>
      <c r="D50" s="17"/>
      <c r="M50" s="193">
        <v>49</v>
      </c>
      <c r="N50" s="28" t="s">
        <v>12</v>
      </c>
      <c r="O50" s="30">
        <f>C18</f>
        <v>255</v>
      </c>
    </row>
    <row r="51" spans="1:15" x14ac:dyDescent="0.3">
      <c r="A51" s="19">
        <v>50</v>
      </c>
      <c r="B51" s="31" t="s">
        <v>58</v>
      </c>
      <c r="C51" s="32">
        <v>1096</v>
      </c>
      <c r="D51" s="17"/>
      <c r="M51" s="193">
        <v>50</v>
      </c>
      <c r="N51" s="25" t="s">
        <v>34</v>
      </c>
      <c r="O51" s="26">
        <f>C33</f>
        <v>131</v>
      </c>
    </row>
    <row r="52" spans="1:15" x14ac:dyDescent="0.3">
      <c r="A52" s="19">
        <v>51</v>
      </c>
      <c r="B52" s="31" t="s">
        <v>50</v>
      </c>
      <c r="C52" s="16">
        <v>188</v>
      </c>
      <c r="D52" s="17"/>
      <c r="M52" s="193">
        <v>51</v>
      </c>
      <c r="N52" s="28" t="s">
        <v>59</v>
      </c>
      <c r="O52" s="30">
        <f>C19</f>
        <v>436</v>
      </c>
    </row>
    <row r="53" spans="1:15" x14ac:dyDescent="0.3">
      <c r="A53" s="19">
        <v>52</v>
      </c>
      <c r="B53" s="31" t="s">
        <v>16</v>
      </c>
      <c r="C53" s="16">
        <v>6434</v>
      </c>
      <c r="D53" s="17"/>
      <c r="M53" s="193">
        <v>52</v>
      </c>
      <c r="N53" s="28" t="s">
        <v>27</v>
      </c>
      <c r="O53" s="30">
        <f>C20</f>
        <v>3190</v>
      </c>
    </row>
    <row r="54" spans="1:15" x14ac:dyDescent="0.3">
      <c r="A54" s="19">
        <v>53</v>
      </c>
      <c r="B54" s="31" t="s">
        <v>25</v>
      </c>
      <c r="C54" s="33">
        <v>560</v>
      </c>
      <c r="D54" s="17"/>
      <c r="M54" s="193">
        <v>53</v>
      </c>
      <c r="N54" s="31" t="s">
        <v>25</v>
      </c>
      <c r="O54" s="33">
        <f>C54</f>
        <v>560</v>
      </c>
    </row>
    <row r="55" spans="1:15" x14ac:dyDescent="0.3">
      <c r="B55" s="11" t="s">
        <v>65</v>
      </c>
      <c r="C55" s="16">
        <f>SUM(C2:C54)</f>
        <v>73709</v>
      </c>
      <c r="D55" s="12"/>
      <c r="N55" s="11" t="s">
        <v>65</v>
      </c>
      <c r="O55" s="16">
        <f>SUM(O2:O54)</f>
        <v>73709</v>
      </c>
    </row>
    <row r="56" spans="1:15" x14ac:dyDescent="0.3">
      <c r="D56" s="12"/>
    </row>
    <row r="57" spans="1:15" x14ac:dyDescent="0.3">
      <c r="D57" s="12"/>
    </row>
    <row r="58" spans="1:15" x14ac:dyDescent="0.3">
      <c r="D58" s="14"/>
      <c r="E58" s="12"/>
    </row>
    <row r="59" spans="1:15" x14ac:dyDescent="0.3">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K199" activePane="bottomRight" state="frozen"/>
      <selection activeCell="C23" sqref="C23"/>
      <selection pane="topRight" activeCell="C23" sqref="C23"/>
      <selection pane="bottomLeft" activeCell="C23" sqref="C23"/>
      <selection pane="bottomRight" activeCell="C23" sqref="C23"/>
    </sheetView>
  </sheetViews>
  <sheetFormatPr baseColWidth="10" defaultRowHeight="14.4" x14ac:dyDescent="0.3"/>
  <cols>
    <col min="1" max="3" width="4.6640625" customWidth="1"/>
    <col min="4" max="4" width="9" customWidth="1"/>
    <col min="5" max="5" width="63.5546875" customWidth="1"/>
    <col min="6" max="59" width="16.33203125" customWidth="1"/>
    <col min="60" max="62" width="17.88671875" customWidth="1"/>
  </cols>
  <sheetData>
    <row r="1" spans="1:62" ht="25.8" x14ac:dyDescent="0.5">
      <c r="A1" s="42" t="s">
        <v>245</v>
      </c>
      <c r="B1" s="7"/>
      <c r="C1" s="7"/>
      <c r="D1" s="7"/>
      <c r="E1" s="78"/>
    </row>
    <row r="2" spans="1:62" x14ac:dyDescent="0.3">
      <c r="A2" t="s">
        <v>818</v>
      </c>
      <c r="F2" s="57">
        <f>'Base de données pop.'!C2</f>
        <v>923</v>
      </c>
      <c r="G2" s="57">
        <f>'Base de données pop.'!C3</f>
        <v>270</v>
      </c>
      <c r="H2" s="57">
        <f>'Base de données pop.'!C4</f>
        <v>485</v>
      </c>
      <c r="I2" s="57">
        <f>'Base de données pop.'!C5</f>
        <v>446</v>
      </c>
      <c r="J2" s="57">
        <f>'Base de données pop.'!C6</f>
        <v>3631</v>
      </c>
      <c r="K2" s="57">
        <f>'Base de données pop.'!C7</f>
        <v>3313</v>
      </c>
      <c r="L2" s="57">
        <f>'Base de données pop.'!C8</f>
        <v>2644</v>
      </c>
      <c r="M2" s="57">
        <f>'Base de données pop.'!C9</f>
        <v>12618</v>
      </c>
      <c r="N2" s="57">
        <f>'Base de données pop.'!C10</f>
        <v>1371</v>
      </c>
      <c r="O2" s="57">
        <f>'Base de données pop.'!C11</f>
        <v>118</v>
      </c>
      <c r="P2" s="57">
        <f>'Base de données pop.'!C12</f>
        <v>7167</v>
      </c>
      <c r="Q2" s="57">
        <f>'Base de données pop.'!C13</f>
        <v>528</v>
      </c>
      <c r="R2" s="57">
        <f>'Base de données pop.'!C14</f>
        <v>108</v>
      </c>
      <c r="S2" s="57">
        <f>'Base de données pop.'!C15</f>
        <v>415</v>
      </c>
      <c r="T2" s="57">
        <f>'Base de données pop.'!C16</f>
        <v>349</v>
      </c>
      <c r="U2" s="57">
        <f>'Base de données pop.'!C17</f>
        <v>687</v>
      </c>
      <c r="V2" s="57">
        <f>'Base de données pop.'!C18</f>
        <v>255</v>
      </c>
      <c r="W2" s="57">
        <f>'Base de données pop.'!C19</f>
        <v>436</v>
      </c>
      <c r="X2" s="57">
        <f>'Base de données pop.'!C20</f>
        <v>3190</v>
      </c>
      <c r="Y2" s="57">
        <f>'Base de données pop.'!C21</f>
        <v>324</v>
      </c>
      <c r="Z2" s="57">
        <f>'Base de données pop.'!C22</f>
        <v>1246</v>
      </c>
      <c r="AA2" s="57">
        <f>'Base de données pop.'!C23</f>
        <v>1528</v>
      </c>
      <c r="AB2" s="57">
        <f>'Base de données pop.'!C24</f>
        <v>96</v>
      </c>
      <c r="AC2" s="57">
        <f>'Base de données pop.'!C25</f>
        <v>149</v>
      </c>
      <c r="AD2" s="57">
        <f>'Base de données pop.'!C26</f>
        <v>516</v>
      </c>
      <c r="AE2" s="57">
        <f>'Base de données pop.'!C27</f>
        <v>671</v>
      </c>
      <c r="AF2" s="57">
        <f>'Base de données pop.'!C28</f>
        <v>572</v>
      </c>
      <c r="AG2" s="57">
        <f>'Base de données pop.'!C29</f>
        <v>490</v>
      </c>
      <c r="AH2" s="57">
        <f>'Base de données pop.'!C30</f>
        <v>1914</v>
      </c>
      <c r="AI2" s="57">
        <f>'Base de données pop.'!C31</f>
        <v>2615</v>
      </c>
      <c r="AJ2" s="57">
        <f>'Base de données pop.'!C32</f>
        <v>227</v>
      </c>
      <c r="AK2" s="57">
        <f>'Base de données pop.'!C33</f>
        <v>131</v>
      </c>
      <c r="AL2" s="57">
        <f>'Base de données pop.'!C34</f>
        <v>1895</v>
      </c>
      <c r="AM2" s="57">
        <f>'Base de données pop.'!C35</f>
        <v>1135</v>
      </c>
      <c r="AN2" s="57">
        <f>'Base de données pop.'!C36</f>
        <v>1241</v>
      </c>
      <c r="AO2" s="57">
        <f>'Base de données pop.'!C37</f>
        <v>119</v>
      </c>
      <c r="AP2" s="57">
        <f>'Base de données pop.'!C38</f>
        <v>1195</v>
      </c>
      <c r="AQ2" s="57">
        <f>'Base de données pop.'!C39</f>
        <v>663</v>
      </c>
      <c r="AR2" s="57">
        <f>'Base de données pop.'!C40</f>
        <v>645</v>
      </c>
      <c r="AS2" s="57">
        <f>'Base de données pop.'!C41</f>
        <v>1263</v>
      </c>
      <c r="AT2" s="57">
        <f>'Base de données pop.'!C42</f>
        <v>740</v>
      </c>
      <c r="AU2" s="57">
        <f>'Base de données pop.'!C43</f>
        <v>1028</v>
      </c>
      <c r="AV2" s="57">
        <f>'Base de données pop.'!C44</f>
        <v>314</v>
      </c>
      <c r="AW2" s="57">
        <f>'Base de données pop.'!C45</f>
        <v>2400</v>
      </c>
      <c r="AX2" s="57">
        <f>'Base de données pop.'!C46</f>
        <v>755</v>
      </c>
      <c r="AY2" s="57">
        <f>'Base de données pop.'!C47</f>
        <v>181</v>
      </c>
      <c r="AZ2" s="57">
        <f>'Base de données pop.'!C48</f>
        <v>347</v>
      </c>
      <c r="BA2" s="57">
        <f>'Base de données pop.'!C49</f>
        <v>1690</v>
      </c>
      <c r="BB2" s="57">
        <f>'Base de données pop.'!C50</f>
        <v>387</v>
      </c>
      <c r="BC2" s="57">
        <f>'Base de données pop.'!C51</f>
        <v>1096</v>
      </c>
      <c r="BD2" s="57">
        <f>'Base de données pop.'!C52</f>
        <v>188</v>
      </c>
      <c r="BE2" s="57">
        <f>'Base de données pop.'!C53</f>
        <v>6434</v>
      </c>
      <c r="BF2" s="57">
        <f>'Base de données pop.'!C54</f>
        <v>560</v>
      </c>
      <c r="BG2" s="57">
        <f>SUM(F2:BF2)</f>
        <v>73709</v>
      </c>
      <c r="BH2" s="57">
        <f>SUM(F2:X2)</f>
        <v>38954</v>
      </c>
      <c r="BI2" s="57">
        <f>SUM(Y2:AK2)</f>
        <v>10479</v>
      </c>
      <c r="BJ2" s="57">
        <f>SUM(AL2:BF2)</f>
        <v>24276</v>
      </c>
    </row>
    <row r="3" spans="1:62" x14ac:dyDescent="0.3">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4">
      <c r="A4" s="73">
        <v>1</v>
      </c>
      <c r="B4" s="73"/>
      <c r="C4" s="73"/>
      <c r="D4" s="73"/>
      <c r="E4" s="73" t="s">
        <v>246</v>
      </c>
      <c r="F4" s="87">
        <f>F6+F14+F24+F30+F40+F47+F53+F61+F68+F79+F85+F96+F107</f>
        <v>13767242.960000001</v>
      </c>
      <c r="G4" s="87">
        <f t="shared" ref="G4:BF4" si="0">G6+G14+G24+G30+G40+G47+G53+G61+G68+G79+G85+G96+G107</f>
        <v>3134013.04</v>
      </c>
      <c r="H4" s="87">
        <f t="shared" si="0"/>
        <v>7227788.7299999995</v>
      </c>
      <c r="I4" s="87">
        <f t="shared" si="0"/>
        <v>7239066.0199999996</v>
      </c>
      <c r="J4" s="87">
        <f t="shared" si="0"/>
        <v>36132344.460000001</v>
      </c>
      <c r="K4" s="87">
        <f t="shared" si="0"/>
        <v>32990102.619999997</v>
      </c>
      <c r="L4" s="87">
        <f t="shared" si="0"/>
        <v>21280661.979999997</v>
      </c>
      <c r="M4" s="87">
        <f t="shared" si="0"/>
        <v>168397106.65000001</v>
      </c>
      <c r="N4" s="87">
        <f t="shared" si="0"/>
        <v>11072422.870000001</v>
      </c>
      <c r="O4" s="87">
        <f t="shared" si="0"/>
        <v>1660064.28</v>
      </c>
      <c r="P4" s="87">
        <f t="shared" si="0"/>
        <v>52507769.700000003</v>
      </c>
      <c r="Q4" s="87">
        <f t="shared" si="0"/>
        <v>5092474.78</v>
      </c>
      <c r="R4" s="87">
        <f t="shared" si="0"/>
        <v>783728.15000000014</v>
      </c>
      <c r="S4" s="87">
        <f t="shared" si="0"/>
        <v>4114146.89</v>
      </c>
      <c r="T4" s="87">
        <f t="shared" si="0"/>
        <v>5415344.3000000007</v>
      </c>
      <c r="U4" s="87">
        <f t="shared" si="0"/>
        <v>8225810.209999999</v>
      </c>
      <c r="V4" s="87">
        <f t="shared" si="0"/>
        <v>1843456.42</v>
      </c>
      <c r="W4" s="87">
        <f t="shared" si="0"/>
        <v>5410806.0699999994</v>
      </c>
      <c r="X4" s="87">
        <f t="shared" si="0"/>
        <v>20965921.919999998</v>
      </c>
      <c r="Y4" s="87">
        <f t="shared" si="0"/>
        <v>3832692.91</v>
      </c>
      <c r="Z4" s="87">
        <f t="shared" si="0"/>
        <v>15059281.839999998</v>
      </c>
      <c r="AA4" s="87">
        <f t="shared" si="0"/>
        <v>30853873.279999997</v>
      </c>
      <c r="AB4" s="87">
        <f t="shared" si="0"/>
        <v>1423804.8399999999</v>
      </c>
      <c r="AC4" s="87">
        <f t="shared" si="0"/>
        <v>3071133.7</v>
      </c>
      <c r="AD4" s="87">
        <f t="shared" si="0"/>
        <v>6033718.7599999998</v>
      </c>
      <c r="AE4" s="87">
        <f t="shared" si="0"/>
        <v>9910326.6400000006</v>
      </c>
      <c r="AF4" s="87">
        <f t="shared" si="0"/>
        <v>7277254.8899999997</v>
      </c>
      <c r="AG4" s="87">
        <f t="shared" si="0"/>
        <v>9021893.5500000007</v>
      </c>
      <c r="AH4" s="87">
        <f t="shared" si="0"/>
        <v>16928536.469999999</v>
      </c>
      <c r="AI4" s="87">
        <f t="shared" si="0"/>
        <v>28813417.359999999</v>
      </c>
      <c r="AJ4" s="87">
        <f t="shared" si="0"/>
        <v>3862671.66</v>
      </c>
      <c r="AK4" s="87">
        <f t="shared" si="0"/>
        <v>3462349.7399999998</v>
      </c>
      <c r="AL4" s="87">
        <f t="shared" si="0"/>
        <v>21449925.299999997</v>
      </c>
      <c r="AM4" s="87">
        <f t="shared" si="0"/>
        <v>16244866.619999999</v>
      </c>
      <c r="AN4" s="87">
        <f t="shared" si="0"/>
        <v>15132556.409999998</v>
      </c>
      <c r="AO4" s="87">
        <f t="shared" si="0"/>
        <v>2953726.84</v>
      </c>
      <c r="AP4" s="87">
        <f t="shared" si="0"/>
        <v>30861910.629999999</v>
      </c>
      <c r="AQ4" s="87">
        <f t="shared" si="0"/>
        <v>8168972.459999999</v>
      </c>
      <c r="AR4" s="87">
        <f t="shared" si="0"/>
        <v>7159823.9400000004</v>
      </c>
      <c r="AS4" s="87">
        <f t="shared" si="0"/>
        <v>21077147.229999997</v>
      </c>
      <c r="AT4" s="87">
        <f t="shared" si="0"/>
        <v>7867083.75</v>
      </c>
      <c r="AU4" s="87">
        <f t="shared" si="0"/>
        <v>10163939.720000003</v>
      </c>
      <c r="AV4" s="87">
        <f t="shared" si="0"/>
        <v>6535725.3300000001</v>
      </c>
      <c r="AW4" s="87">
        <f t="shared" si="0"/>
        <v>21685058.689999998</v>
      </c>
      <c r="AX4" s="87">
        <f t="shared" si="0"/>
        <v>8400934.6799999997</v>
      </c>
      <c r="AY4" s="87">
        <f t="shared" si="0"/>
        <v>1547921.45</v>
      </c>
      <c r="AZ4" s="87">
        <f t="shared" si="0"/>
        <v>3940327.4</v>
      </c>
      <c r="BA4" s="87">
        <f t="shared" si="0"/>
        <v>24181079.009999998</v>
      </c>
      <c r="BB4" s="87">
        <f t="shared" si="0"/>
        <v>4933281.78</v>
      </c>
      <c r="BC4" s="87">
        <f t="shared" si="0"/>
        <v>14600426.540000001</v>
      </c>
      <c r="BD4" s="87">
        <f t="shared" si="0"/>
        <v>1512817.22</v>
      </c>
      <c r="BE4" s="87">
        <f t="shared" si="0"/>
        <v>80438240.209999979</v>
      </c>
      <c r="BF4" s="87">
        <f t="shared" si="0"/>
        <v>6103718.5500000007</v>
      </c>
      <c r="BG4" s="87">
        <f>SUM(F4:BF4)</f>
        <v>861770711.44999981</v>
      </c>
      <c r="BH4" s="87">
        <f>SUM(F4:X4)</f>
        <v>407260272.04999995</v>
      </c>
      <c r="BI4" s="87">
        <f>SUM(Y4:AK4)</f>
        <v>139550955.64000002</v>
      </c>
      <c r="BJ4" s="87">
        <f>SUM(AL4:BF4)</f>
        <v>314959483.75999993</v>
      </c>
    </row>
    <row r="5" spans="1:62" x14ac:dyDescent="0.3">
      <c r="A5" s="78"/>
      <c r="B5" s="74">
        <v>10</v>
      </c>
      <c r="C5" s="74"/>
      <c r="D5" s="74"/>
      <c r="E5" s="74" t="s">
        <v>247</v>
      </c>
      <c r="F5" s="75">
        <f>F6+F14+F24+F30+F40+F47+F53+F61</f>
        <v>6025500.6899999995</v>
      </c>
      <c r="G5" s="75">
        <f t="shared" ref="G5:BF5" si="1">G6+G14+G24+G30+G40+G47+G53+G61</f>
        <v>1369739.14</v>
      </c>
      <c r="H5" s="75">
        <f t="shared" si="1"/>
        <v>4309212.78</v>
      </c>
      <c r="I5" s="75">
        <f t="shared" si="1"/>
        <v>4657259.62</v>
      </c>
      <c r="J5" s="75">
        <f t="shared" si="1"/>
        <v>15173301.85</v>
      </c>
      <c r="K5" s="75">
        <f t="shared" si="1"/>
        <v>8929891.379999999</v>
      </c>
      <c r="L5" s="75">
        <f t="shared" si="1"/>
        <v>10459838.139999999</v>
      </c>
      <c r="M5" s="75">
        <f t="shared" si="1"/>
        <v>48329637.409999996</v>
      </c>
      <c r="N5" s="75">
        <f t="shared" si="1"/>
        <v>4231787.96</v>
      </c>
      <c r="O5" s="75">
        <f t="shared" si="1"/>
        <v>401366.44</v>
      </c>
      <c r="P5" s="75">
        <f t="shared" si="1"/>
        <v>19270794.450000003</v>
      </c>
      <c r="Q5" s="75">
        <f t="shared" si="1"/>
        <v>2306934.9900000002</v>
      </c>
      <c r="R5" s="75">
        <f t="shared" si="1"/>
        <v>340332.25000000006</v>
      </c>
      <c r="S5" s="75">
        <f t="shared" si="1"/>
        <v>1454184.04</v>
      </c>
      <c r="T5" s="75">
        <f t="shared" si="1"/>
        <v>2240322.35</v>
      </c>
      <c r="U5" s="75">
        <f t="shared" si="1"/>
        <v>5578034.3599999994</v>
      </c>
      <c r="V5" s="75">
        <f t="shared" si="1"/>
        <v>797906.42</v>
      </c>
      <c r="W5" s="75">
        <f t="shared" si="1"/>
        <v>2606499.7699999996</v>
      </c>
      <c r="X5" s="75">
        <f t="shared" si="1"/>
        <v>5690503.7400000002</v>
      </c>
      <c r="Y5" s="75">
        <f t="shared" si="1"/>
        <v>1782334.11</v>
      </c>
      <c r="Z5" s="75">
        <f t="shared" si="1"/>
        <v>4607305.3099999996</v>
      </c>
      <c r="AA5" s="75">
        <f t="shared" si="1"/>
        <v>22682781.649999999</v>
      </c>
      <c r="AB5" s="75">
        <f t="shared" si="1"/>
        <v>514539.83999999997</v>
      </c>
      <c r="AC5" s="75">
        <f t="shared" si="1"/>
        <v>1718422.2500000002</v>
      </c>
      <c r="AD5" s="75">
        <f t="shared" si="1"/>
        <v>3153746.6100000003</v>
      </c>
      <c r="AE5" s="75">
        <f t="shared" si="1"/>
        <v>3204642.4699999997</v>
      </c>
      <c r="AF5" s="75">
        <f t="shared" si="1"/>
        <v>2898436.0999999996</v>
      </c>
      <c r="AG5" s="75">
        <f t="shared" si="1"/>
        <v>4936104.3499999996</v>
      </c>
      <c r="AH5" s="75">
        <f t="shared" si="1"/>
        <v>9508703.8300000001</v>
      </c>
      <c r="AI5" s="75">
        <f t="shared" si="1"/>
        <v>10854436.879999999</v>
      </c>
      <c r="AJ5" s="75">
        <f t="shared" si="1"/>
        <v>1895624.56</v>
      </c>
      <c r="AK5" s="75">
        <f t="shared" si="1"/>
        <v>2296499.59</v>
      </c>
      <c r="AL5" s="75">
        <f t="shared" si="1"/>
        <v>5395628.6899999995</v>
      </c>
      <c r="AM5" s="75">
        <f t="shared" si="1"/>
        <v>5311232.7699999996</v>
      </c>
      <c r="AN5" s="75">
        <f t="shared" si="1"/>
        <v>5192149.76</v>
      </c>
      <c r="AO5" s="75">
        <f t="shared" si="1"/>
        <v>945916.81999999983</v>
      </c>
      <c r="AP5" s="75">
        <f t="shared" si="1"/>
        <v>14951876.23</v>
      </c>
      <c r="AQ5" s="75">
        <f t="shared" si="1"/>
        <v>4059251.8099999996</v>
      </c>
      <c r="AR5" s="75">
        <f t="shared" si="1"/>
        <v>3653483.9</v>
      </c>
      <c r="AS5" s="75">
        <f t="shared" si="1"/>
        <v>12084593.449999999</v>
      </c>
      <c r="AT5" s="75">
        <f t="shared" si="1"/>
        <v>2583134</v>
      </c>
      <c r="AU5" s="75">
        <f t="shared" si="1"/>
        <v>4268060.6800000006</v>
      </c>
      <c r="AV5" s="75">
        <f t="shared" si="1"/>
        <v>3818782.6800000006</v>
      </c>
      <c r="AW5" s="75">
        <f t="shared" si="1"/>
        <v>6505495.3100000005</v>
      </c>
      <c r="AX5" s="75">
        <f t="shared" si="1"/>
        <v>3077294.9799999995</v>
      </c>
      <c r="AY5" s="75">
        <f t="shared" si="1"/>
        <v>678851.45</v>
      </c>
      <c r="AZ5" s="75">
        <f t="shared" si="1"/>
        <v>2359237.4</v>
      </c>
      <c r="BA5" s="75">
        <f t="shared" si="1"/>
        <v>4869007.3099999996</v>
      </c>
      <c r="BB5" s="75">
        <f t="shared" si="1"/>
        <v>3035892.37</v>
      </c>
      <c r="BC5" s="75">
        <f t="shared" si="1"/>
        <v>4691561.72</v>
      </c>
      <c r="BD5" s="75">
        <f t="shared" si="1"/>
        <v>866228.97</v>
      </c>
      <c r="BE5" s="75">
        <f t="shared" si="1"/>
        <v>30853239.349999994</v>
      </c>
      <c r="BF5" s="75">
        <f t="shared" si="1"/>
        <v>2569790.9000000004</v>
      </c>
      <c r="BG5" s="75">
        <f>SUM(F5:BF5)</f>
        <v>335997335.88</v>
      </c>
      <c r="BH5" s="75">
        <f t="shared" ref="BH5:BH68" si="2">SUM(F5:X5)</f>
        <v>144173047.77999997</v>
      </c>
      <c r="BI5" s="75">
        <f t="shared" ref="BI5:BI68" si="3">SUM(Y5:AK5)</f>
        <v>70053577.550000012</v>
      </c>
      <c r="BJ5" s="75">
        <f t="shared" ref="BJ5:BJ68" si="4">SUM(AL5:BF5)</f>
        <v>121770710.55000001</v>
      </c>
    </row>
    <row r="6" spans="1:62" x14ac:dyDescent="0.3">
      <c r="A6" s="79"/>
      <c r="B6" s="79"/>
      <c r="C6" s="69">
        <v>100</v>
      </c>
      <c r="D6" s="69"/>
      <c r="E6" s="69" t="s">
        <v>248</v>
      </c>
      <c r="F6" s="70">
        <f>F7+F8+F9+F10+F11+F12</f>
        <v>4183491.65</v>
      </c>
      <c r="G6" s="70">
        <f t="shared" ref="G6:BF6" si="5">G7+G8+G9+G10+G11+G12</f>
        <v>405753.07999999996</v>
      </c>
      <c r="H6" s="70">
        <f t="shared" si="5"/>
        <v>1307168.44</v>
      </c>
      <c r="I6" s="70">
        <f t="shared" si="5"/>
        <v>1743060.6099999999</v>
      </c>
      <c r="J6" s="70">
        <f t="shared" si="5"/>
        <v>1685651.79</v>
      </c>
      <c r="K6" s="70">
        <f t="shared" si="5"/>
        <v>1703875.35</v>
      </c>
      <c r="L6" s="70">
        <f t="shared" si="5"/>
        <v>2699596.4499999997</v>
      </c>
      <c r="M6" s="70">
        <f t="shared" si="5"/>
        <v>5188518.59</v>
      </c>
      <c r="N6" s="70">
        <f t="shared" si="5"/>
        <v>591818.89</v>
      </c>
      <c r="O6" s="70">
        <f t="shared" si="5"/>
        <v>279969.90000000002</v>
      </c>
      <c r="P6" s="70">
        <f t="shared" si="5"/>
        <v>4576514.75</v>
      </c>
      <c r="Q6" s="70">
        <f t="shared" si="5"/>
        <v>546233.18000000005</v>
      </c>
      <c r="R6" s="70">
        <f t="shared" si="5"/>
        <v>109561.94</v>
      </c>
      <c r="S6" s="70">
        <f t="shared" si="5"/>
        <v>481086.54000000004</v>
      </c>
      <c r="T6" s="70">
        <f t="shared" si="5"/>
        <v>1370711.23</v>
      </c>
      <c r="U6" s="70">
        <f t="shared" si="5"/>
        <v>119733.06999999999</v>
      </c>
      <c r="V6" s="70">
        <f t="shared" si="5"/>
        <v>58046.720000000001</v>
      </c>
      <c r="W6" s="70">
        <f t="shared" si="5"/>
        <v>1189864.0299999998</v>
      </c>
      <c r="X6" s="70">
        <f t="shared" si="5"/>
        <v>580620.63</v>
      </c>
      <c r="Y6" s="70">
        <f t="shared" si="5"/>
        <v>1073882.96</v>
      </c>
      <c r="Z6" s="70">
        <f t="shared" si="5"/>
        <v>2088153.6099999999</v>
      </c>
      <c r="AA6" s="70">
        <f t="shared" si="5"/>
        <v>8483396.4499999993</v>
      </c>
      <c r="AB6" s="70">
        <f t="shared" si="5"/>
        <v>123336.65</v>
      </c>
      <c r="AC6" s="70">
        <f t="shared" si="5"/>
        <v>1528824.9100000001</v>
      </c>
      <c r="AD6" s="70">
        <f t="shared" si="5"/>
        <v>974338.4</v>
      </c>
      <c r="AE6" s="70">
        <f t="shared" si="5"/>
        <v>858120.13</v>
      </c>
      <c r="AF6" s="70">
        <f t="shared" si="5"/>
        <v>2443471.8899999997</v>
      </c>
      <c r="AG6" s="70">
        <f t="shared" si="5"/>
        <v>3659418.21</v>
      </c>
      <c r="AH6" s="70">
        <f t="shared" si="5"/>
        <v>4252700.4700000007</v>
      </c>
      <c r="AI6" s="70">
        <f t="shared" si="5"/>
        <v>7324483.3899999997</v>
      </c>
      <c r="AJ6" s="70">
        <f t="shared" si="5"/>
        <v>877438.24</v>
      </c>
      <c r="AK6" s="70">
        <f t="shared" si="5"/>
        <v>1016183.35</v>
      </c>
      <c r="AL6" s="70">
        <f t="shared" si="5"/>
        <v>2481561.5099999998</v>
      </c>
      <c r="AM6" s="70">
        <f t="shared" si="5"/>
        <v>2280416.8199999998</v>
      </c>
      <c r="AN6" s="70">
        <f t="shared" si="5"/>
        <v>977791.89</v>
      </c>
      <c r="AO6" s="70">
        <f t="shared" si="5"/>
        <v>529407.81999999995</v>
      </c>
      <c r="AP6" s="70">
        <f t="shared" si="5"/>
        <v>2449900.29</v>
      </c>
      <c r="AQ6" s="70">
        <f t="shared" si="5"/>
        <v>1601644.2599999998</v>
      </c>
      <c r="AR6" s="70">
        <f t="shared" si="5"/>
        <v>2627047.77</v>
      </c>
      <c r="AS6" s="70">
        <f t="shared" si="5"/>
        <v>2658167.9200000004</v>
      </c>
      <c r="AT6" s="70">
        <f t="shared" si="5"/>
        <v>934115.15</v>
      </c>
      <c r="AU6" s="70">
        <f t="shared" si="5"/>
        <v>1312497.8500000001</v>
      </c>
      <c r="AV6" s="70">
        <f t="shared" si="5"/>
        <v>2454712.3400000003</v>
      </c>
      <c r="AW6" s="70">
        <f t="shared" si="5"/>
        <v>3062989.4800000004</v>
      </c>
      <c r="AX6" s="70">
        <f t="shared" si="5"/>
        <v>1512293.41</v>
      </c>
      <c r="AY6" s="70">
        <f t="shared" si="5"/>
        <v>399969.95999999996</v>
      </c>
      <c r="AZ6" s="70">
        <f t="shared" si="5"/>
        <v>1607810.3399999999</v>
      </c>
      <c r="BA6" s="70">
        <f t="shared" si="5"/>
        <v>429262.11</v>
      </c>
      <c r="BB6" s="70">
        <f t="shared" si="5"/>
        <v>1902326.09</v>
      </c>
      <c r="BC6" s="70">
        <f t="shared" si="5"/>
        <v>483533.43</v>
      </c>
      <c r="BD6" s="70">
        <f t="shared" si="5"/>
        <v>552300.43999999994</v>
      </c>
      <c r="BE6" s="70">
        <f t="shared" si="5"/>
        <v>4333508.8699999992</v>
      </c>
      <c r="BF6" s="70">
        <f t="shared" si="5"/>
        <v>1011017.67</v>
      </c>
      <c r="BG6" s="70">
        <f t="shared" ref="BG6:BG69" si="6">SUM(F6:BF6)</f>
        <v>99127300.920000017</v>
      </c>
      <c r="BH6" s="70">
        <f t="shared" si="2"/>
        <v>28821276.84</v>
      </c>
      <c r="BI6" s="70">
        <f t="shared" si="3"/>
        <v>34703748.660000004</v>
      </c>
      <c r="BJ6" s="70">
        <f t="shared" si="4"/>
        <v>35602275.420000002</v>
      </c>
    </row>
    <row r="7" spans="1:62" x14ac:dyDescent="0.3">
      <c r="D7">
        <v>1000</v>
      </c>
      <c r="E7" t="s">
        <v>322</v>
      </c>
      <c r="F7" s="4">
        <v>435.15</v>
      </c>
      <c r="G7" s="4">
        <v>166.55</v>
      </c>
      <c r="H7" s="4">
        <v>85.15</v>
      </c>
      <c r="I7" s="4">
        <v>2207.02</v>
      </c>
      <c r="J7" s="4">
        <v>4419.8</v>
      </c>
      <c r="K7" s="4">
        <v>9171.9</v>
      </c>
      <c r="L7" s="4">
        <v>3012.95</v>
      </c>
      <c r="M7" s="4">
        <v>22766.55</v>
      </c>
      <c r="N7" s="4">
        <v>13546.16</v>
      </c>
      <c r="O7" s="4">
        <v>748.2</v>
      </c>
      <c r="P7" s="4">
        <v>9259.4500000000007</v>
      </c>
      <c r="Q7" s="4">
        <v>1012.4</v>
      </c>
      <c r="R7" s="4">
        <v>151.4</v>
      </c>
      <c r="S7" s="4">
        <v>169.5</v>
      </c>
      <c r="T7" s="4">
        <v>211.05</v>
      </c>
      <c r="U7" s="4">
        <v>106477.95</v>
      </c>
      <c r="V7" s="4">
        <v>4548.2</v>
      </c>
      <c r="W7" s="4">
        <v>3472.65</v>
      </c>
      <c r="X7" s="4">
        <v>1731.65</v>
      </c>
      <c r="Y7" s="4">
        <v>2517.36</v>
      </c>
      <c r="Z7" s="4">
        <v>9890.2000000000007</v>
      </c>
      <c r="AA7" s="4">
        <v>771.2</v>
      </c>
      <c r="AB7" s="4">
        <v>0</v>
      </c>
      <c r="AC7" s="4">
        <v>1009.25</v>
      </c>
      <c r="AD7" s="4">
        <v>321.35000000000002</v>
      </c>
      <c r="AE7" s="4">
        <v>464.9</v>
      </c>
      <c r="AF7" s="4">
        <v>3939.2</v>
      </c>
      <c r="AG7" s="4">
        <v>457.05</v>
      </c>
      <c r="AH7" s="4">
        <v>5353.95</v>
      </c>
      <c r="AI7" s="4">
        <v>8493.5</v>
      </c>
      <c r="AJ7" s="4">
        <v>626.65</v>
      </c>
      <c r="AK7" s="4">
        <v>673.35</v>
      </c>
      <c r="AL7" s="4">
        <v>2208.0500000000002</v>
      </c>
      <c r="AM7" s="4">
        <v>1328</v>
      </c>
      <c r="AN7" s="4">
        <v>1191.3</v>
      </c>
      <c r="AO7" s="4">
        <v>2.6</v>
      </c>
      <c r="AP7" s="4">
        <v>1095.75</v>
      </c>
      <c r="AQ7" s="4">
        <v>1301.8</v>
      </c>
      <c r="AR7" s="4">
        <v>1118</v>
      </c>
      <c r="AS7" s="4">
        <v>2596.3000000000002</v>
      </c>
      <c r="AT7" s="4">
        <v>1167.55</v>
      </c>
      <c r="AU7" s="4">
        <v>1685.5</v>
      </c>
      <c r="AV7" s="4">
        <v>377.05</v>
      </c>
      <c r="AW7" s="4">
        <v>783.05</v>
      </c>
      <c r="AX7" s="4">
        <v>1775.15</v>
      </c>
      <c r="AY7" s="4">
        <v>813.35</v>
      </c>
      <c r="AZ7" s="4">
        <v>79.3</v>
      </c>
      <c r="BA7" s="4">
        <v>899.45</v>
      </c>
      <c r="BB7" s="4">
        <v>639.75</v>
      </c>
      <c r="BC7" s="4">
        <v>4760.8999999999996</v>
      </c>
      <c r="BD7" s="4">
        <v>1806.1</v>
      </c>
      <c r="BE7" s="4">
        <v>9321.24</v>
      </c>
      <c r="BF7" s="4">
        <v>1698.15</v>
      </c>
      <c r="BG7" s="80">
        <f t="shared" si="6"/>
        <v>254759.97999999992</v>
      </c>
      <c r="BH7" s="80">
        <f t="shared" si="2"/>
        <v>183593.68</v>
      </c>
      <c r="BI7" s="80">
        <f t="shared" si="3"/>
        <v>34517.960000000006</v>
      </c>
      <c r="BJ7" s="80">
        <f t="shared" si="4"/>
        <v>36648.339999999997</v>
      </c>
    </row>
    <row r="8" spans="1:62" x14ac:dyDescent="0.3">
      <c r="D8">
        <v>1001</v>
      </c>
      <c r="E8" t="s">
        <v>323</v>
      </c>
      <c r="F8" s="4">
        <v>673237.43</v>
      </c>
      <c r="G8" s="4">
        <v>317791.38</v>
      </c>
      <c r="H8" s="4">
        <v>0</v>
      </c>
      <c r="I8" s="4">
        <v>424196.19</v>
      </c>
      <c r="J8" s="4">
        <v>1082880.22</v>
      </c>
      <c r="K8" s="4">
        <v>919226.03</v>
      </c>
      <c r="L8" s="4">
        <v>50496.91</v>
      </c>
      <c r="M8" s="4">
        <v>4873232.24</v>
      </c>
      <c r="N8" s="4">
        <v>76317.119999999995</v>
      </c>
      <c r="O8" s="4">
        <v>34984.47</v>
      </c>
      <c r="P8" s="4">
        <v>1012344.88</v>
      </c>
      <c r="Q8" s="4">
        <v>157951.69</v>
      </c>
      <c r="R8" s="4">
        <v>18779.53</v>
      </c>
      <c r="S8" s="4">
        <v>169024.14</v>
      </c>
      <c r="T8" s="4">
        <v>335610.6</v>
      </c>
      <c r="U8" s="4">
        <v>13255.12</v>
      </c>
      <c r="V8" s="4">
        <v>11790.02</v>
      </c>
      <c r="W8" s="4">
        <v>72161.740000000005</v>
      </c>
      <c r="X8" s="4">
        <v>205059.22</v>
      </c>
      <c r="Y8" s="4">
        <v>177409.92000000001</v>
      </c>
      <c r="Z8" s="4">
        <v>200539.76</v>
      </c>
      <c r="AA8" s="4">
        <v>2509795.4900000002</v>
      </c>
      <c r="AB8" s="4">
        <v>59613.8</v>
      </c>
      <c r="AC8" s="4">
        <v>602608.75</v>
      </c>
      <c r="AD8" s="4">
        <v>179698.68</v>
      </c>
      <c r="AE8" s="4">
        <v>343705.19</v>
      </c>
      <c r="AF8" s="4">
        <v>935126.97</v>
      </c>
      <c r="AG8" s="4">
        <v>253295.86</v>
      </c>
      <c r="AH8" s="4">
        <v>2208927.23</v>
      </c>
      <c r="AI8" s="4">
        <v>920449.76</v>
      </c>
      <c r="AJ8" s="4">
        <v>57809.65</v>
      </c>
      <c r="AK8" s="4">
        <v>305895.02</v>
      </c>
      <c r="AL8" s="4">
        <v>999823</v>
      </c>
      <c r="AM8" s="4">
        <v>60905.279999999999</v>
      </c>
      <c r="AN8" s="4">
        <v>343666.79</v>
      </c>
      <c r="AO8" s="4">
        <v>11994.49</v>
      </c>
      <c r="AP8" s="4">
        <v>204106.8</v>
      </c>
      <c r="AQ8" s="4">
        <v>527072.06999999995</v>
      </c>
      <c r="AR8" s="4">
        <v>1807250.2</v>
      </c>
      <c r="AS8" s="4">
        <v>435240.88</v>
      </c>
      <c r="AT8" s="4">
        <v>166567.43</v>
      </c>
      <c r="AU8" s="4">
        <v>0</v>
      </c>
      <c r="AV8" s="4">
        <v>57989.05</v>
      </c>
      <c r="AW8" s="4">
        <v>1746010.11</v>
      </c>
      <c r="AX8" s="4">
        <v>60099</v>
      </c>
      <c r="AY8" s="4">
        <v>15188.69</v>
      </c>
      <c r="AZ8" s="4">
        <v>727094.47</v>
      </c>
      <c r="BA8" s="4">
        <v>60837.21</v>
      </c>
      <c r="BB8" s="4">
        <v>292165.05</v>
      </c>
      <c r="BC8" s="4">
        <v>125783.83</v>
      </c>
      <c r="BD8" s="4">
        <v>45973.4</v>
      </c>
      <c r="BE8" s="4">
        <v>925725.61</v>
      </c>
      <c r="BF8" s="4">
        <v>74871.34</v>
      </c>
      <c r="BG8" s="80">
        <f t="shared" si="6"/>
        <v>27891579.709999993</v>
      </c>
      <c r="BH8" s="80">
        <f t="shared" si="2"/>
        <v>10448338.93</v>
      </c>
      <c r="BI8" s="80">
        <f t="shared" si="3"/>
        <v>8754876.0800000001</v>
      </c>
      <c r="BJ8" s="80">
        <f t="shared" si="4"/>
        <v>8688364.6999999993</v>
      </c>
    </row>
    <row r="9" spans="1:62" x14ac:dyDescent="0.3">
      <c r="D9">
        <v>1002</v>
      </c>
      <c r="E9" t="s">
        <v>331</v>
      </c>
      <c r="F9" s="4">
        <v>3509819.07</v>
      </c>
      <c r="G9" s="4">
        <v>87795.15</v>
      </c>
      <c r="H9" s="4">
        <v>1307083.29</v>
      </c>
      <c r="I9" s="4">
        <v>1316657.3999999999</v>
      </c>
      <c r="J9" s="4">
        <v>598351.77</v>
      </c>
      <c r="K9" s="4">
        <v>775477.42</v>
      </c>
      <c r="L9" s="4">
        <v>2646086.59</v>
      </c>
      <c r="M9" s="4">
        <v>292519.8</v>
      </c>
      <c r="N9" s="4">
        <v>501955.61</v>
      </c>
      <c r="O9" s="4">
        <v>244237.23</v>
      </c>
      <c r="P9" s="4">
        <v>3554910.42</v>
      </c>
      <c r="Q9" s="4">
        <v>387269.09</v>
      </c>
      <c r="R9" s="4">
        <v>90631.01</v>
      </c>
      <c r="S9" s="4">
        <v>311892.90000000002</v>
      </c>
      <c r="T9" s="4">
        <v>1034889.58</v>
      </c>
      <c r="U9" s="4">
        <v>0</v>
      </c>
      <c r="V9" s="4">
        <v>41708.5</v>
      </c>
      <c r="W9" s="4">
        <v>1114229.6399999999</v>
      </c>
      <c r="X9" s="4">
        <v>378838.16</v>
      </c>
      <c r="Y9" s="4">
        <v>893955.68</v>
      </c>
      <c r="Z9" s="4">
        <v>1877723.65</v>
      </c>
      <c r="AA9" s="4">
        <v>5972829.7599999998</v>
      </c>
      <c r="AB9" s="4">
        <v>63722.85</v>
      </c>
      <c r="AC9" s="4">
        <v>925206.91</v>
      </c>
      <c r="AD9" s="4">
        <v>794318.37</v>
      </c>
      <c r="AE9" s="4">
        <v>409063.8</v>
      </c>
      <c r="AF9" s="4">
        <v>1504405.72</v>
      </c>
      <c r="AG9" s="4">
        <v>3405665.3</v>
      </c>
      <c r="AH9" s="4">
        <v>2038419.29</v>
      </c>
      <c r="AI9" s="4">
        <v>6395540.1299999999</v>
      </c>
      <c r="AJ9" s="4">
        <v>819001.94</v>
      </c>
      <c r="AK9" s="4">
        <v>709614.98</v>
      </c>
      <c r="AL9" s="4">
        <v>1479530.46</v>
      </c>
      <c r="AM9" s="4">
        <v>2158183.54</v>
      </c>
      <c r="AN9" s="4">
        <v>632933.80000000005</v>
      </c>
      <c r="AO9" s="4">
        <v>517410.73</v>
      </c>
      <c r="AP9" s="4">
        <v>2244697.7400000002</v>
      </c>
      <c r="AQ9" s="4">
        <v>1073270.3899999999</v>
      </c>
      <c r="AR9" s="4">
        <v>818679.57</v>
      </c>
      <c r="AS9" s="4">
        <v>2220086.1800000002</v>
      </c>
      <c r="AT9" s="4">
        <v>766380.17</v>
      </c>
      <c r="AU9" s="4">
        <v>1310812.3500000001</v>
      </c>
      <c r="AV9" s="4">
        <v>2396346.2400000002</v>
      </c>
      <c r="AW9" s="4">
        <v>1316196.32</v>
      </c>
      <c r="AX9" s="4">
        <v>1444844.69</v>
      </c>
      <c r="AY9" s="4">
        <v>383967.92</v>
      </c>
      <c r="AZ9" s="4">
        <v>880636.57</v>
      </c>
      <c r="BA9" s="4">
        <v>367525.45</v>
      </c>
      <c r="BB9" s="4">
        <v>1609521.29</v>
      </c>
      <c r="BC9" s="4">
        <v>352988.7</v>
      </c>
      <c r="BD9" s="4">
        <v>504520.94</v>
      </c>
      <c r="BE9" s="4">
        <v>3347873.42</v>
      </c>
      <c r="BF9" s="4">
        <v>934448.18</v>
      </c>
      <c r="BG9" s="80">
        <f t="shared" si="6"/>
        <v>70764675.660000011</v>
      </c>
      <c r="BH9" s="80">
        <f t="shared" si="2"/>
        <v>18194352.629999999</v>
      </c>
      <c r="BI9" s="80">
        <f t="shared" si="3"/>
        <v>25809468.379999999</v>
      </c>
      <c r="BJ9" s="80">
        <f t="shared" si="4"/>
        <v>26760854.649999999</v>
      </c>
    </row>
    <row r="10" spans="1:62" x14ac:dyDescent="0.3">
      <c r="D10">
        <v>1003</v>
      </c>
      <c r="E10" t="s">
        <v>324</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60000</v>
      </c>
      <c r="BF10" s="4">
        <v>0</v>
      </c>
      <c r="BG10" s="80">
        <f t="shared" si="6"/>
        <v>120000</v>
      </c>
      <c r="BH10" s="80">
        <f t="shared" si="2"/>
        <v>0</v>
      </c>
      <c r="BI10" s="80">
        <f t="shared" si="3"/>
        <v>0</v>
      </c>
      <c r="BJ10" s="80">
        <f t="shared" si="4"/>
        <v>120000</v>
      </c>
    </row>
    <row r="11" spans="1:62" x14ac:dyDescent="0.3">
      <c r="D11">
        <v>1004</v>
      </c>
      <c r="E11" t="s">
        <v>325</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244.56</v>
      </c>
      <c r="AT11" s="4">
        <v>0</v>
      </c>
      <c r="AU11" s="4">
        <v>0</v>
      </c>
      <c r="AV11" s="4">
        <v>0</v>
      </c>
      <c r="AW11" s="4">
        <v>0</v>
      </c>
      <c r="AX11" s="4">
        <v>5574.57</v>
      </c>
      <c r="AY11" s="4">
        <v>0</v>
      </c>
      <c r="AZ11" s="4">
        <v>0</v>
      </c>
      <c r="BA11" s="4">
        <v>0</v>
      </c>
      <c r="BB11" s="4">
        <v>0</v>
      </c>
      <c r="BC11" s="4">
        <v>0</v>
      </c>
      <c r="BD11" s="4">
        <v>0</v>
      </c>
      <c r="BE11" s="4">
        <v>-13411.65</v>
      </c>
      <c r="BF11" s="4">
        <v>0</v>
      </c>
      <c r="BG11" s="80">
        <f t="shared" si="6"/>
        <v>-7592.5199999999995</v>
      </c>
      <c r="BH11" s="80">
        <f t="shared" si="2"/>
        <v>0</v>
      </c>
      <c r="BI11" s="80">
        <f t="shared" si="3"/>
        <v>0</v>
      </c>
      <c r="BJ11" s="80">
        <f t="shared" si="4"/>
        <v>-7592.5199999999995</v>
      </c>
    </row>
    <row r="12" spans="1:62" x14ac:dyDescent="0.3">
      <c r="D12">
        <v>1009</v>
      </c>
      <c r="E12" t="s">
        <v>326</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-5008.3999999999996</v>
      </c>
      <c r="Y12" s="4">
        <v>0</v>
      </c>
      <c r="Z12" s="4">
        <v>0</v>
      </c>
      <c r="AA12" s="4">
        <v>0</v>
      </c>
      <c r="AB12" s="4">
        <v>0</v>
      </c>
      <c r="AC12" s="4">
        <v>0</v>
      </c>
      <c r="AD12" s="4">
        <v>0</v>
      </c>
      <c r="AE12" s="4">
        <v>104886.24</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103878.09000000001</v>
      </c>
      <c r="BH12" s="80">
        <f t="shared" si="2"/>
        <v>-5008.3999999999996</v>
      </c>
      <c r="BI12" s="80">
        <f t="shared" si="3"/>
        <v>104886.24</v>
      </c>
      <c r="BJ12" s="80">
        <f t="shared" si="4"/>
        <v>4000.25</v>
      </c>
    </row>
    <row r="13" spans="1:62" x14ac:dyDescent="0.3">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3">
      <c r="A14" s="79"/>
      <c r="B14" s="79"/>
      <c r="C14" s="69">
        <v>101</v>
      </c>
      <c r="D14" s="69"/>
      <c r="E14" s="69" t="s">
        <v>249</v>
      </c>
      <c r="F14" s="70">
        <f>F15+F16+F17+F18+F19+F20+F21+F22</f>
        <v>1187638.3700000001</v>
      </c>
      <c r="G14" s="70">
        <f t="shared" ref="G14:BF14" si="7">G15+G16+G17+G18+G19+G20+G21+G22</f>
        <v>114937.51000000001</v>
      </c>
      <c r="H14" s="70">
        <f t="shared" si="7"/>
        <v>437740.33999999997</v>
      </c>
      <c r="I14" s="70">
        <f t="shared" si="7"/>
        <v>429541.97000000003</v>
      </c>
      <c r="J14" s="70">
        <f t="shared" si="7"/>
        <v>3839284.92</v>
      </c>
      <c r="K14" s="70">
        <f t="shared" si="7"/>
        <v>2035702.5799999998</v>
      </c>
      <c r="L14" s="70">
        <f t="shared" si="7"/>
        <v>2964946.42</v>
      </c>
      <c r="M14" s="70">
        <f t="shared" si="7"/>
        <v>17550279.18</v>
      </c>
      <c r="N14" s="70">
        <f t="shared" si="7"/>
        <v>1239987.52</v>
      </c>
      <c r="O14" s="70">
        <f t="shared" si="7"/>
        <v>100526.94</v>
      </c>
      <c r="P14" s="70">
        <f t="shared" si="7"/>
        <v>7237971.0300000003</v>
      </c>
      <c r="Q14" s="70">
        <f t="shared" si="7"/>
        <v>797349.13</v>
      </c>
      <c r="R14" s="70">
        <f t="shared" si="7"/>
        <v>175084.46000000002</v>
      </c>
      <c r="S14" s="70">
        <f t="shared" si="7"/>
        <v>411675.55</v>
      </c>
      <c r="T14" s="70">
        <f t="shared" si="7"/>
        <v>427572.07</v>
      </c>
      <c r="U14" s="70">
        <f t="shared" si="7"/>
        <v>1556033.55</v>
      </c>
      <c r="V14" s="70">
        <f t="shared" si="7"/>
        <v>251021.55</v>
      </c>
      <c r="W14" s="70">
        <f t="shared" si="7"/>
        <v>637960.27</v>
      </c>
      <c r="X14" s="70">
        <f t="shared" si="7"/>
        <v>3065723.6500000004</v>
      </c>
      <c r="Y14" s="70">
        <f t="shared" si="7"/>
        <v>210968.6</v>
      </c>
      <c r="Z14" s="70">
        <f t="shared" si="7"/>
        <v>1361469.36</v>
      </c>
      <c r="AA14" s="70">
        <f t="shared" si="7"/>
        <v>1387138.1199999999</v>
      </c>
      <c r="AB14" s="70">
        <f t="shared" si="7"/>
        <v>67549.119999999995</v>
      </c>
      <c r="AC14" s="70">
        <f t="shared" si="7"/>
        <v>109090.64</v>
      </c>
      <c r="AD14" s="70">
        <f t="shared" si="7"/>
        <v>913463.3600000001</v>
      </c>
      <c r="AE14" s="70">
        <f t="shared" si="7"/>
        <v>976724.15999999992</v>
      </c>
      <c r="AF14" s="70">
        <f t="shared" si="7"/>
        <v>450652.9</v>
      </c>
      <c r="AG14" s="70">
        <f t="shared" si="7"/>
        <v>333130.44</v>
      </c>
      <c r="AH14" s="70">
        <f t="shared" si="7"/>
        <v>1784159.7599999998</v>
      </c>
      <c r="AI14" s="70">
        <f t="shared" si="7"/>
        <v>2102421.8000000003</v>
      </c>
      <c r="AJ14" s="70">
        <f t="shared" si="7"/>
        <v>950770.22000000009</v>
      </c>
      <c r="AK14" s="70">
        <f t="shared" si="7"/>
        <v>147529.69</v>
      </c>
      <c r="AL14" s="70">
        <f t="shared" si="7"/>
        <v>1935034.9299999997</v>
      </c>
      <c r="AM14" s="70">
        <f t="shared" si="7"/>
        <v>1742435.6500000001</v>
      </c>
      <c r="AN14" s="70">
        <f t="shared" si="7"/>
        <v>1990534.92</v>
      </c>
      <c r="AO14" s="70">
        <f t="shared" si="7"/>
        <v>203327.8</v>
      </c>
      <c r="AP14" s="70">
        <f t="shared" si="7"/>
        <v>1662624.29</v>
      </c>
      <c r="AQ14" s="70">
        <f t="shared" si="7"/>
        <v>710661.96</v>
      </c>
      <c r="AR14" s="70">
        <f t="shared" si="7"/>
        <v>470292.15</v>
      </c>
      <c r="AS14" s="70">
        <f t="shared" si="7"/>
        <v>1604658.58</v>
      </c>
      <c r="AT14" s="70">
        <f t="shared" si="7"/>
        <v>697533.70000000007</v>
      </c>
      <c r="AU14" s="70">
        <f t="shared" si="7"/>
        <v>1722762.3300000003</v>
      </c>
      <c r="AV14" s="70">
        <f t="shared" si="7"/>
        <v>421847.49000000005</v>
      </c>
      <c r="AW14" s="70">
        <f t="shared" si="7"/>
        <v>3275783.67</v>
      </c>
      <c r="AX14" s="70">
        <f t="shared" si="7"/>
        <v>732104.21999999986</v>
      </c>
      <c r="AY14" s="70">
        <f t="shared" si="7"/>
        <v>152932.54999999999</v>
      </c>
      <c r="AZ14" s="70">
        <f t="shared" si="7"/>
        <v>435316.51000000007</v>
      </c>
      <c r="BA14" s="70">
        <f t="shared" si="7"/>
        <v>2705501.9999999995</v>
      </c>
      <c r="BB14" s="70">
        <f t="shared" si="7"/>
        <v>595587.33000000007</v>
      </c>
      <c r="BC14" s="70">
        <f t="shared" si="7"/>
        <v>1940931.24</v>
      </c>
      <c r="BD14" s="70">
        <f t="shared" si="7"/>
        <v>258721.04</v>
      </c>
      <c r="BE14" s="70">
        <f t="shared" si="7"/>
        <v>15379789.459999999</v>
      </c>
      <c r="BF14" s="70">
        <f t="shared" si="7"/>
        <v>470341.2</v>
      </c>
      <c r="BG14" s="70">
        <f t="shared" si="6"/>
        <v>94364768.199999973</v>
      </c>
      <c r="BH14" s="70">
        <f t="shared" si="2"/>
        <v>44460977.009999998</v>
      </c>
      <c r="BI14" s="70">
        <f t="shared" si="3"/>
        <v>10795068.170000002</v>
      </c>
      <c r="BJ14" s="70">
        <f t="shared" si="4"/>
        <v>39108723.019999996</v>
      </c>
    </row>
    <row r="15" spans="1:62" x14ac:dyDescent="0.3">
      <c r="D15">
        <v>1010</v>
      </c>
      <c r="E15" t="s">
        <v>327</v>
      </c>
      <c r="F15" s="4">
        <v>317211.65000000002</v>
      </c>
      <c r="G15" s="4">
        <v>13779.7</v>
      </c>
      <c r="H15" s="4">
        <v>41646.300000000003</v>
      </c>
      <c r="I15" s="4">
        <v>112635.34</v>
      </c>
      <c r="J15" s="4">
        <v>1625464.05</v>
      </c>
      <c r="K15" s="4">
        <v>565325.14</v>
      </c>
      <c r="L15" s="4">
        <v>694892.09</v>
      </c>
      <c r="M15" s="4">
        <v>7659231.6500000004</v>
      </c>
      <c r="N15" s="4">
        <v>505492.4</v>
      </c>
      <c r="O15" s="4">
        <v>3661.73</v>
      </c>
      <c r="P15" s="4">
        <v>2216391.86</v>
      </c>
      <c r="Q15" s="4">
        <v>104020.5</v>
      </c>
      <c r="R15" s="4">
        <v>6745.75</v>
      </c>
      <c r="S15" s="4">
        <v>56145.25</v>
      </c>
      <c r="T15" s="4">
        <v>155411.04999999999</v>
      </c>
      <c r="U15" s="4">
        <v>602271.74</v>
      </c>
      <c r="V15" s="4">
        <v>40008.300000000003</v>
      </c>
      <c r="W15" s="4">
        <v>116362.87</v>
      </c>
      <c r="X15" s="4">
        <v>1122535.82</v>
      </c>
      <c r="Y15" s="4">
        <v>41180.35</v>
      </c>
      <c r="Z15" s="4">
        <v>275730.3</v>
      </c>
      <c r="AA15" s="4">
        <v>761658.05</v>
      </c>
      <c r="AB15" s="4">
        <v>0</v>
      </c>
      <c r="AC15" s="4">
        <v>20350.95</v>
      </c>
      <c r="AD15" s="4">
        <v>438156.79999999999</v>
      </c>
      <c r="AE15" s="4">
        <v>668774.03</v>
      </c>
      <c r="AF15" s="4">
        <v>240858.85</v>
      </c>
      <c r="AG15" s="4">
        <v>100516.32</v>
      </c>
      <c r="AH15" s="4">
        <v>1246814.3799999999</v>
      </c>
      <c r="AI15" s="4">
        <v>609816.05000000005</v>
      </c>
      <c r="AJ15" s="4">
        <v>121603.15</v>
      </c>
      <c r="AK15" s="4">
        <v>45652.09</v>
      </c>
      <c r="AL15" s="4">
        <v>401430.86</v>
      </c>
      <c r="AM15" s="4">
        <v>512354.28</v>
      </c>
      <c r="AN15" s="4">
        <v>378160.2</v>
      </c>
      <c r="AO15" s="4">
        <v>35812.75</v>
      </c>
      <c r="AP15" s="4">
        <v>846625.4</v>
      </c>
      <c r="AQ15" s="4">
        <v>710661.96</v>
      </c>
      <c r="AR15" s="4">
        <v>93243.9</v>
      </c>
      <c r="AS15" s="4">
        <v>414979.97</v>
      </c>
      <c r="AT15" s="4">
        <v>42891.8</v>
      </c>
      <c r="AU15" s="4">
        <v>593932.31000000006</v>
      </c>
      <c r="AV15" s="4">
        <v>48870.2</v>
      </c>
      <c r="AW15" s="4">
        <v>643705.31000000006</v>
      </c>
      <c r="AX15" s="4">
        <v>113567.06</v>
      </c>
      <c r="AY15" s="4">
        <v>49690.95</v>
      </c>
      <c r="AZ15" s="4">
        <v>106614.85</v>
      </c>
      <c r="BA15" s="4">
        <v>772371.95</v>
      </c>
      <c r="BB15" s="4">
        <v>35372.85</v>
      </c>
      <c r="BC15" s="4">
        <v>465417.19</v>
      </c>
      <c r="BD15" s="4">
        <v>107233.44</v>
      </c>
      <c r="BE15" s="4">
        <v>3156803.78</v>
      </c>
      <c r="BF15" s="4">
        <v>62083.64</v>
      </c>
      <c r="BG15" s="80">
        <f t="shared" si="6"/>
        <v>30122169.16</v>
      </c>
      <c r="BH15" s="80">
        <f t="shared" si="2"/>
        <v>15959233.190000001</v>
      </c>
      <c r="BI15" s="80">
        <f t="shared" si="3"/>
        <v>4571111.32</v>
      </c>
      <c r="BJ15" s="80">
        <f t="shared" si="4"/>
        <v>9591824.6500000004</v>
      </c>
    </row>
    <row r="16" spans="1:62" x14ac:dyDescent="0.3">
      <c r="D16">
        <v>1011</v>
      </c>
      <c r="E16" t="s">
        <v>408</v>
      </c>
      <c r="F16" s="4">
        <v>0</v>
      </c>
      <c r="G16" s="4">
        <v>312.7</v>
      </c>
      <c r="H16" s="4">
        <v>0</v>
      </c>
      <c r="I16" s="4">
        <v>0</v>
      </c>
      <c r="J16" s="4">
        <v>0</v>
      </c>
      <c r="K16" s="4">
        <v>85158.71</v>
      </c>
      <c r="L16" s="4">
        <v>1141005.1299999999</v>
      </c>
      <c r="M16" s="4">
        <v>437610.73</v>
      </c>
      <c r="N16" s="4">
        <v>19222.939999999999</v>
      </c>
      <c r="O16" s="4">
        <v>49801.81</v>
      </c>
      <c r="P16" s="4">
        <v>617272.67000000004</v>
      </c>
      <c r="Q16" s="4">
        <v>451399.79</v>
      </c>
      <c r="R16" s="4">
        <v>39207.440000000002</v>
      </c>
      <c r="S16" s="4">
        <v>12746.7</v>
      </c>
      <c r="T16" s="4">
        <v>36104.25</v>
      </c>
      <c r="U16" s="4">
        <v>79221.3</v>
      </c>
      <c r="V16" s="4">
        <v>0</v>
      </c>
      <c r="W16" s="4">
        <v>0</v>
      </c>
      <c r="X16" s="4">
        <v>0</v>
      </c>
      <c r="Y16" s="4">
        <v>0</v>
      </c>
      <c r="Z16" s="4">
        <v>0</v>
      </c>
      <c r="AA16" s="4">
        <v>0</v>
      </c>
      <c r="AB16" s="4">
        <v>0</v>
      </c>
      <c r="AC16" s="4">
        <v>38710.839999999997</v>
      </c>
      <c r="AD16" s="4">
        <v>0</v>
      </c>
      <c r="AE16" s="4">
        <v>35285.699999999997</v>
      </c>
      <c r="AF16" s="4">
        <v>4000</v>
      </c>
      <c r="AG16" s="4">
        <v>0</v>
      </c>
      <c r="AH16" s="4">
        <v>0</v>
      </c>
      <c r="AI16" s="4">
        <v>0</v>
      </c>
      <c r="AJ16" s="4">
        <v>613525.30000000005</v>
      </c>
      <c r="AK16" s="4">
        <v>23988.9</v>
      </c>
      <c r="AL16" s="4">
        <v>0</v>
      </c>
      <c r="AM16" s="4">
        <v>0</v>
      </c>
      <c r="AN16" s="4">
        <v>0</v>
      </c>
      <c r="AO16" s="4">
        <v>0</v>
      </c>
      <c r="AP16" s="4">
        <v>0</v>
      </c>
      <c r="AQ16" s="4">
        <v>0</v>
      </c>
      <c r="AR16" s="4">
        <v>0</v>
      </c>
      <c r="AS16" s="4">
        <v>0</v>
      </c>
      <c r="AT16" s="4">
        <v>0</v>
      </c>
      <c r="AU16" s="4">
        <v>0</v>
      </c>
      <c r="AV16" s="4">
        <v>0</v>
      </c>
      <c r="AW16" s="4">
        <v>279274.8</v>
      </c>
      <c r="AX16" s="4">
        <v>0</v>
      </c>
      <c r="AY16" s="4">
        <v>0</v>
      </c>
      <c r="AZ16" s="4">
        <v>23200</v>
      </c>
      <c r="BA16" s="4">
        <v>28400</v>
      </c>
      <c r="BB16" s="4">
        <v>0</v>
      </c>
      <c r="BC16" s="4">
        <v>0</v>
      </c>
      <c r="BD16" s="4">
        <v>0</v>
      </c>
      <c r="BE16" s="4">
        <v>838134.85</v>
      </c>
      <c r="BF16" s="4">
        <v>0</v>
      </c>
      <c r="BG16" s="80">
        <f t="shared" si="6"/>
        <v>4853584.5599999996</v>
      </c>
      <c r="BH16" s="80">
        <f t="shared" si="2"/>
        <v>2969064.17</v>
      </c>
      <c r="BI16" s="80">
        <f t="shared" si="3"/>
        <v>715510.74000000011</v>
      </c>
      <c r="BJ16" s="80">
        <f t="shared" si="4"/>
        <v>1169009.6499999999</v>
      </c>
    </row>
    <row r="17" spans="3:62" x14ac:dyDescent="0.3">
      <c r="D17">
        <v>1012</v>
      </c>
      <c r="E17" t="s">
        <v>328</v>
      </c>
      <c r="F17" s="4">
        <v>867726.7</v>
      </c>
      <c r="G17" s="4">
        <v>100845.05</v>
      </c>
      <c r="H17" s="4">
        <v>396094.04</v>
      </c>
      <c r="I17" s="4">
        <v>341073.7</v>
      </c>
      <c r="J17" s="4">
        <v>2196582.3199999998</v>
      </c>
      <c r="K17" s="4">
        <v>1348984.68</v>
      </c>
      <c r="L17" s="4">
        <v>1128699.2</v>
      </c>
      <c r="M17" s="4">
        <v>8574554.3499999996</v>
      </c>
      <c r="N17" s="4">
        <v>714524.74</v>
      </c>
      <c r="O17" s="4">
        <v>42897.9</v>
      </c>
      <c r="P17" s="4">
        <v>4217581.71</v>
      </c>
      <c r="Q17" s="4">
        <v>241928.84</v>
      </c>
      <c r="R17" s="4">
        <v>129111.85</v>
      </c>
      <c r="S17" s="4">
        <v>342781.85</v>
      </c>
      <c r="T17" s="4">
        <v>218872.95</v>
      </c>
      <c r="U17" s="4">
        <v>840453.41</v>
      </c>
      <c r="V17" s="4">
        <v>211013.25</v>
      </c>
      <c r="W17" s="4">
        <v>521595.65</v>
      </c>
      <c r="X17" s="4">
        <v>1709576.59</v>
      </c>
      <c r="Y17" s="4">
        <v>169788.25</v>
      </c>
      <c r="Z17" s="4">
        <v>264819.84999999998</v>
      </c>
      <c r="AA17" s="4">
        <v>617302.85</v>
      </c>
      <c r="AB17" s="4">
        <v>67522.5</v>
      </c>
      <c r="AC17" s="4">
        <v>46932.25</v>
      </c>
      <c r="AD17" s="4">
        <v>450571.7</v>
      </c>
      <c r="AE17" s="4">
        <v>216920.75</v>
      </c>
      <c r="AF17" s="4">
        <v>205761.65</v>
      </c>
      <c r="AG17" s="4">
        <v>232573.67</v>
      </c>
      <c r="AH17" s="4">
        <v>534750.13</v>
      </c>
      <c r="AI17" s="4">
        <v>1515421.4</v>
      </c>
      <c r="AJ17" s="4">
        <v>215346</v>
      </c>
      <c r="AK17" s="4">
        <v>74313.2</v>
      </c>
      <c r="AL17" s="4">
        <v>1520900.92</v>
      </c>
      <c r="AM17" s="4">
        <v>1229294.32</v>
      </c>
      <c r="AN17" s="4">
        <v>1290330.45</v>
      </c>
      <c r="AO17" s="4">
        <v>157913.29999999999</v>
      </c>
      <c r="AP17" s="4">
        <v>803678.22</v>
      </c>
      <c r="AQ17" s="4">
        <v>0</v>
      </c>
      <c r="AR17" s="4">
        <v>377048.25</v>
      </c>
      <c r="AS17" s="4">
        <v>1134841.6000000001</v>
      </c>
      <c r="AT17" s="4">
        <v>650781.15</v>
      </c>
      <c r="AU17" s="4">
        <v>1025412.64</v>
      </c>
      <c r="AV17" s="4">
        <v>372945.9</v>
      </c>
      <c r="AW17" s="4">
        <v>2121245.77</v>
      </c>
      <c r="AX17" s="4">
        <v>617834.84</v>
      </c>
      <c r="AY17" s="4">
        <v>103238.85</v>
      </c>
      <c r="AZ17" s="4">
        <v>305444.7</v>
      </c>
      <c r="BA17" s="4">
        <v>1547719.9</v>
      </c>
      <c r="BB17" s="4">
        <v>512758.95</v>
      </c>
      <c r="BC17" s="4">
        <v>1474130.22</v>
      </c>
      <c r="BD17" s="4">
        <v>151487.6</v>
      </c>
      <c r="BE17" s="4">
        <v>8221649.3300000001</v>
      </c>
      <c r="BF17" s="4">
        <v>408257.56</v>
      </c>
      <c r="BG17" s="80">
        <f t="shared" si="6"/>
        <v>52783837.45000001</v>
      </c>
      <c r="BH17" s="80">
        <f t="shared" si="2"/>
        <v>24144898.780000001</v>
      </c>
      <c r="BI17" s="80">
        <f t="shared" si="3"/>
        <v>4612024.2</v>
      </c>
      <c r="BJ17" s="80">
        <f t="shared" si="4"/>
        <v>24026914.469999995</v>
      </c>
    </row>
    <row r="18" spans="3:62" x14ac:dyDescent="0.3">
      <c r="D18">
        <v>1013</v>
      </c>
      <c r="E18" t="s">
        <v>329</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547990.19999999995</v>
      </c>
      <c r="BF18" s="4">
        <v>0</v>
      </c>
      <c r="BG18" s="80">
        <f t="shared" si="6"/>
        <v>557590.19999999995</v>
      </c>
      <c r="BH18" s="80">
        <f t="shared" si="2"/>
        <v>0</v>
      </c>
      <c r="BI18" s="80">
        <f t="shared" si="3"/>
        <v>0</v>
      </c>
      <c r="BJ18" s="80">
        <f t="shared" si="4"/>
        <v>557590.19999999995</v>
      </c>
    </row>
    <row r="19" spans="3:62" x14ac:dyDescent="0.3">
      <c r="D19">
        <v>1014</v>
      </c>
      <c r="E19" t="s">
        <v>330</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813998.39</v>
      </c>
      <c r="AA19" s="4">
        <v>0</v>
      </c>
      <c r="AB19" s="4">
        <v>0</v>
      </c>
      <c r="AC19" s="4">
        <v>2788.6</v>
      </c>
      <c r="AD19" s="4">
        <v>0</v>
      </c>
      <c r="AE19" s="4">
        <v>0</v>
      </c>
      <c r="AF19" s="4">
        <v>0</v>
      </c>
      <c r="AG19" s="4">
        <v>0</v>
      </c>
      <c r="AH19" s="4">
        <v>0</v>
      </c>
      <c r="AI19" s="4">
        <v>-3939.85</v>
      </c>
      <c r="AJ19" s="4">
        <v>0</v>
      </c>
      <c r="AK19" s="4">
        <v>1559</v>
      </c>
      <c r="AL19" s="4">
        <v>0</v>
      </c>
      <c r="AM19" s="4">
        <v>0</v>
      </c>
      <c r="AN19" s="4">
        <v>322044.27</v>
      </c>
      <c r="AO19" s="4">
        <v>0</v>
      </c>
      <c r="AP19" s="4">
        <v>0</v>
      </c>
      <c r="AQ19" s="4">
        <v>0</v>
      </c>
      <c r="AR19" s="4">
        <v>0</v>
      </c>
      <c r="AS19" s="4">
        <v>0</v>
      </c>
      <c r="AT19" s="4">
        <v>0</v>
      </c>
      <c r="AU19" s="4">
        <v>0</v>
      </c>
      <c r="AV19" s="4">
        <v>0</v>
      </c>
      <c r="AW19" s="4">
        <v>0</v>
      </c>
      <c r="AX19" s="4">
        <v>0</v>
      </c>
      <c r="AY19" s="4">
        <v>0</v>
      </c>
      <c r="AZ19" s="4">
        <v>0</v>
      </c>
      <c r="BA19" s="4">
        <v>356074.75</v>
      </c>
      <c r="BB19" s="4">
        <v>0</v>
      </c>
      <c r="BC19" s="4">
        <v>0</v>
      </c>
      <c r="BD19" s="4">
        <v>0</v>
      </c>
      <c r="BE19" s="4">
        <v>0</v>
      </c>
      <c r="BF19" s="4">
        <v>0</v>
      </c>
      <c r="BG19" s="80">
        <f t="shared" si="6"/>
        <v>1492525.1600000001</v>
      </c>
      <c r="BH19" s="80">
        <f t="shared" si="2"/>
        <v>0</v>
      </c>
      <c r="BI19" s="80">
        <f t="shared" si="3"/>
        <v>814406.14</v>
      </c>
      <c r="BJ19" s="80">
        <f t="shared" si="4"/>
        <v>678119.02</v>
      </c>
    </row>
    <row r="20" spans="3:62" x14ac:dyDescent="0.3">
      <c r="D20">
        <v>1015</v>
      </c>
      <c r="E20" t="s">
        <v>332</v>
      </c>
      <c r="F20" s="4">
        <v>0</v>
      </c>
      <c r="G20" s="4">
        <v>0</v>
      </c>
      <c r="H20" s="4">
        <v>0</v>
      </c>
      <c r="I20" s="4">
        <v>-9313.75</v>
      </c>
      <c r="J20" s="4">
        <v>0</v>
      </c>
      <c r="K20" s="4">
        <v>0</v>
      </c>
      <c r="L20" s="4">
        <v>0</v>
      </c>
      <c r="M20" s="4">
        <v>800410.32</v>
      </c>
      <c r="N20" s="4">
        <v>433.45</v>
      </c>
      <c r="O20" s="4">
        <v>4165.5</v>
      </c>
      <c r="P20" s="4">
        <v>0</v>
      </c>
      <c r="Q20" s="4">
        <v>0</v>
      </c>
      <c r="R20" s="4">
        <v>0</v>
      </c>
      <c r="S20" s="4">
        <v>0</v>
      </c>
      <c r="T20" s="4">
        <v>0</v>
      </c>
      <c r="U20" s="4">
        <v>6290.7</v>
      </c>
      <c r="V20" s="4">
        <v>0</v>
      </c>
      <c r="W20" s="4">
        <v>0</v>
      </c>
      <c r="X20" s="4">
        <v>233532.35</v>
      </c>
      <c r="Y20" s="4">
        <v>0</v>
      </c>
      <c r="Z20" s="4">
        <v>0</v>
      </c>
      <c r="AA20" s="4">
        <v>0</v>
      </c>
      <c r="AB20" s="4">
        <v>0</v>
      </c>
      <c r="AC20" s="4">
        <v>0</v>
      </c>
      <c r="AD20" s="4">
        <v>22065.05</v>
      </c>
      <c r="AE20" s="4">
        <v>-5117.05</v>
      </c>
      <c r="AF20" s="4">
        <v>0</v>
      </c>
      <c r="AG20" s="4">
        <v>0</v>
      </c>
      <c r="AH20" s="4">
        <v>0</v>
      </c>
      <c r="AI20" s="4">
        <v>0</v>
      </c>
      <c r="AJ20" s="4">
        <v>0</v>
      </c>
      <c r="AK20" s="4">
        <v>0</v>
      </c>
      <c r="AL20" s="4">
        <v>0</v>
      </c>
      <c r="AM20" s="4">
        <v>0</v>
      </c>
      <c r="AN20" s="4">
        <v>0</v>
      </c>
      <c r="AO20" s="4">
        <v>0</v>
      </c>
      <c r="AP20" s="4">
        <v>0</v>
      </c>
      <c r="AQ20" s="4">
        <v>0</v>
      </c>
      <c r="AR20" s="4">
        <v>0</v>
      </c>
      <c r="AS20" s="4">
        <v>0</v>
      </c>
      <c r="AT20" s="4">
        <v>0</v>
      </c>
      <c r="AU20" s="4">
        <v>103128.01</v>
      </c>
      <c r="AV20" s="4">
        <v>0</v>
      </c>
      <c r="AW20" s="4">
        <v>230425.49</v>
      </c>
      <c r="AX20" s="4">
        <v>0</v>
      </c>
      <c r="AY20" s="4">
        <v>0</v>
      </c>
      <c r="AZ20" s="4">
        <v>0</v>
      </c>
      <c r="BA20" s="4">
        <v>0</v>
      </c>
      <c r="BB20" s="4">
        <v>0</v>
      </c>
      <c r="BC20" s="4">
        <v>0</v>
      </c>
      <c r="BD20" s="4">
        <v>0</v>
      </c>
      <c r="BE20" s="4">
        <v>2486885.35</v>
      </c>
      <c r="BF20" s="4">
        <v>0</v>
      </c>
      <c r="BG20" s="80">
        <f t="shared" si="6"/>
        <v>3872905.42</v>
      </c>
      <c r="BH20" s="80">
        <f t="shared" si="2"/>
        <v>1035518.5699999998</v>
      </c>
      <c r="BI20" s="80">
        <f t="shared" si="3"/>
        <v>16948</v>
      </c>
      <c r="BJ20" s="80">
        <f t="shared" si="4"/>
        <v>2820438.85</v>
      </c>
    </row>
    <row r="21" spans="3:62" x14ac:dyDescent="0.3">
      <c r="D21">
        <v>1016</v>
      </c>
      <c r="E21" t="s">
        <v>333</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20000</v>
      </c>
      <c r="AF21" s="4">
        <v>0</v>
      </c>
      <c r="AG21" s="4">
        <v>0</v>
      </c>
      <c r="AH21" s="4">
        <v>0</v>
      </c>
      <c r="AI21" s="4">
        <v>0</v>
      </c>
      <c r="AJ21" s="4">
        <v>0</v>
      </c>
      <c r="AK21" s="4">
        <v>0</v>
      </c>
      <c r="AL21" s="4">
        <v>14131.95</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34131.949999999997</v>
      </c>
      <c r="BH21" s="80">
        <f t="shared" si="2"/>
        <v>0</v>
      </c>
      <c r="BI21" s="80">
        <f t="shared" si="3"/>
        <v>20000</v>
      </c>
      <c r="BJ21" s="80">
        <f t="shared" si="4"/>
        <v>14131.95</v>
      </c>
    </row>
    <row r="22" spans="3:62" x14ac:dyDescent="0.3">
      <c r="D22">
        <v>1019</v>
      </c>
      <c r="E22" t="s">
        <v>334</v>
      </c>
      <c r="F22" s="4">
        <v>2700.02</v>
      </c>
      <c r="G22" s="4">
        <v>0.06</v>
      </c>
      <c r="H22" s="4">
        <v>0</v>
      </c>
      <c r="I22" s="4">
        <v>-14853.32</v>
      </c>
      <c r="J22" s="4">
        <v>17238.55</v>
      </c>
      <c r="K22" s="4">
        <v>36234.050000000003</v>
      </c>
      <c r="L22" s="4">
        <v>350</v>
      </c>
      <c r="M22" s="4">
        <v>78472.13</v>
      </c>
      <c r="N22" s="4">
        <v>313.99</v>
      </c>
      <c r="O22" s="4">
        <v>0</v>
      </c>
      <c r="P22" s="4">
        <v>186724.79</v>
      </c>
      <c r="Q22" s="4">
        <v>0</v>
      </c>
      <c r="R22" s="4">
        <v>19.420000000000002</v>
      </c>
      <c r="S22" s="4">
        <v>1.75</v>
      </c>
      <c r="T22" s="4">
        <v>17183.82</v>
      </c>
      <c r="U22" s="4">
        <v>27796.400000000001</v>
      </c>
      <c r="V22" s="4">
        <v>0</v>
      </c>
      <c r="W22" s="4">
        <v>1.75</v>
      </c>
      <c r="X22" s="4">
        <v>78.89</v>
      </c>
      <c r="Y22" s="4">
        <v>0</v>
      </c>
      <c r="Z22" s="4">
        <v>6920.82</v>
      </c>
      <c r="AA22" s="4">
        <v>8177.22</v>
      </c>
      <c r="AB22" s="4">
        <v>26.62</v>
      </c>
      <c r="AC22" s="4">
        <v>308</v>
      </c>
      <c r="AD22" s="4">
        <v>2669.81</v>
      </c>
      <c r="AE22" s="4">
        <v>40860.730000000003</v>
      </c>
      <c r="AF22" s="4">
        <v>32.4</v>
      </c>
      <c r="AG22" s="4">
        <v>40.450000000000003</v>
      </c>
      <c r="AH22" s="4">
        <v>2595.25</v>
      </c>
      <c r="AI22" s="4">
        <v>-18875.8</v>
      </c>
      <c r="AJ22" s="4">
        <v>295.77</v>
      </c>
      <c r="AK22" s="4">
        <v>2016.5</v>
      </c>
      <c r="AL22" s="4">
        <v>-1428.8</v>
      </c>
      <c r="AM22" s="4">
        <v>787.05</v>
      </c>
      <c r="AN22" s="4">
        <v>0</v>
      </c>
      <c r="AO22" s="4">
        <v>1.75</v>
      </c>
      <c r="AP22" s="4">
        <v>12320.67</v>
      </c>
      <c r="AQ22" s="4">
        <v>0</v>
      </c>
      <c r="AR22" s="4">
        <v>0</v>
      </c>
      <c r="AS22" s="4">
        <v>54837.01</v>
      </c>
      <c r="AT22" s="4">
        <v>3860.75</v>
      </c>
      <c r="AU22" s="4">
        <v>289.37</v>
      </c>
      <c r="AV22" s="4">
        <v>31.39</v>
      </c>
      <c r="AW22" s="4">
        <v>1132.3</v>
      </c>
      <c r="AX22" s="4">
        <v>702.32</v>
      </c>
      <c r="AY22" s="4">
        <v>2.75</v>
      </c>
      <c r="AZ22" s="4">
        <v>56.96</v>
      </c>
      <c r="BA22" s="4">
        <v>935.4</v>
      </c>
      <c r="BB22" s="4">
        <v>47455.53</v>
      </c>
      <c r="BC22" s="4">
        <v>1383.83</v>
      </c>
      <c r="BD22" s="4">
        <v>0</v>
      </c>
      <c r="BE22" s="4">
        <v>128325.95</v>
      </c>
      <c r="BF22" s="4">
        <v>0</v>
      </c>
      <c r="BG22" s="80">
        <f t="shared" si="6"/>
        <v>648024.30000000016</v>
      </c>
      <c r="BH22" s="80">
        <f t="shared" si="2"/>
        <v>352262.30000000005</v>
      </c>
      <c r="BI22" s="80">
        <f t="shared" si="3"/>
        <v>45067.77</v>
      </c>
      <c r="BJ22" s="80">
        <f t="shared" si="4"/>
        <v>250694.23</v>
      </c>
    </row>
    <row r="23" spans="3:62" x14ac:dyDescent="0.3">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c r="BJ23" s="80"/>
    </row>
    <row r="24" spans="3:62" x14ac:dyDescent="0.3">
      <c r="C24" s="69">
        <v>102</v>
      </c>
      <c r="D24" s="69"/>
      <c r="E24" s="69" t="s">
        <v>250</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178441.34</v>
      </c>
      <c r="V24" s="70">
        <f t="shared" si="8"/>
        <v>0</v>
      </c>
      <c r="W24" s="70">
        <f t="shared" si="8"/>
        <v>0</v>
      </c>
      <c r="X24" s="70">
        <f t="shared" si="8"/>
        <v>0</v>
      </c>
      <c r="Y24" s="70">
        <f t="shared" si="8"/>
        <v>0</v>
      </c>
      <c r="Z24" s="70">
        <f t="shared" si="8"/>
        <v>593191.55000000005</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771632.89</v>
      </c>
      <c r="BH24" s="70">
        <f t="shared" si="2"/>
        <v>178441.34</v>
      </c>
      <c r="BI24" s="70">
        <f t="shared" si="3"/>
        <v>593191.55000000005</v>
      </c>
      <c r="BJ24" s="70">
        <f t="shared" si="4"/>
        <v>0</v>
      </c>
    </row>
    <row r="25" spans="3:62" x14ac:dyDescent="0.3">
      <c r="D25">
        <v>1020</v>
      </c>
      <c r="E25" t="s">
        <v>335</v>
      </c>
      <c r="F25" s="4">
        <v>0</v>
      </c>
      <c r="G25" s="4">
        <v>0</v>
      </c>
      <c r="H25" s="4">
        <v>0</v>
      </c>
      <c r="I25" s="4">
        <v>0</v>
      </c>
      <c r="J25" s="4">
        <v>0</v>
      </c>
      <c r="K25" s="4">
        <v>0</v>
      </c>
      <c r="L25" s="4">
        <v>0</v>
      </c>
      <c r="M25" s="4">
        <v>0</v>
      </c>
      <c r="N25" s="4">
        <v>0</v>
      </c>
      <c r="O25" s="4">
        <v>0</v>
      </c>
      <c r="P25" s="4">
        <v>0</v>
      </c>
      <c r="Q25" s="4">
        <v>0</v>
      </c>
      <c r="R25" s="4">
        <v>0</v>
      </c>
      <c r="S25" s="4">
        <v>0</v>
      </c>
      <c r="T25" s="4">
        <v>0</v>
      </c>
      <c r="U25" s="4">
        <v>178441.34</v>
      </c>
      <c r="V25" s="4">
        <v>0</v>
      </c>
      <c r="W25" s="4">
        <v>0</v>
      </c>
      <c r="X25" s="4">
        <v>0</v>
      </c>
      <c r="Y25" s="4">
        <v>0</v>
      </c>
      <c r="Z25" s="4">
        <v>593191.55000000005</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771632.89</v>
      </c>
      <c r="BH25" s="80">
        <f t="shared" si="2"/>
        <v>178441.34</v>
      </c>
      <c r="BI25" s="80">
        <f t="shared" si="3"/>
        <v>593191.55000000005</v>
      </c>
      <c r="BJ25" s="80">
        <f t="shared" si="4"/>
        <v>0</v>
      </c>
    </row>
    <row r="26" spans="3:62" x14ac:dyDescent="0.3">
      <c r="D26">
        <v>1022</v>
      </c>
      <c r="E26" t="s">
        <v>336</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3">
      <c r="D27">
        <v>1023</v>
      </c>
      <c r="E27" t="s">
        <v>337</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3">
      <c r="D28">
        <v>1029</v>
      </c>
      <c r="E28" t="s">
        <v>338</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0</v>
      </c>
      <c r="BH28" s="80">
        <f t="shared" si="2"/>
        <v>0</v>
      </c>
      <c r="BI28" s="80">
        <f t="shared" si="3"/>
        <v>0</v>
      </c>
      <c r="BJ28" s="80">
        <f t="shared" si="4"/>
        <v>0</v>
      </c>
    </row>
    <row r="29" spans="3:62" x14ac:dyDescent="0.3">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3">
      <c r="C30" s="69">
        <v>104</v>
      </c>
      <c r="D30" s="69"/>
      <c r="E30" s="69" t="s">
        <v>251</v>
      </c>
      <c r="F30" s="70">
        <f>F31+F32+F33+F34+F35+F36+F37+F38</f>
        <v>389614.97000000003</v>
      </c>
      <c r="G30" s="70">
        <f t="shared" ref="G30:BF30" si="9">G31+G32+G33+G34+G35+G36+G37+G38</f>
        <v>49192.7</v>
      </c>
      <c r="H30" s="70">
        <f t="shared" si="9"/>
        <v>857536.55</v>
      </c>
      <c r="I30" s="70">
        <f t="shared" si="9"/>
        <v>-20307.11</v>
      </c>
      <c r="J30" s="70">
        <f t="shared" si="9"/>
        <v>1955142.14</v>
      </c>
      <c r="K30" s="70">
        <f t="shared" si="9"/>
        <v>2171123.4500000002</v>
      </c>
      <c r="L30" s="70">
        <f t="shared" si="9"/>
        <v>309695.27</v>
      </c>
      <c r="M30" s="70">
        <f t="shared" si="9"/>
        <v>6282505.3099999996</v>
      </c>
      <c r="N30" s="70">
        <f t="shared" si="9"/>
        <v>728013.55</v>
      </c>
      <c r="O30" s="70">
        <f t="shared" si="9"/>
        <v>20869.599999999999</v>
      </c>
      <c r="P30" s="70">
        <f t="shared" si="9"/>
        <v>988640.90999999992</v>
      </c>
      <c r="Q30" s="70">
        <f t="shared" si="9"/>
        <v>-27879.95</v>
      </c>
      <c r="R30" s="70">
        <f t="shared" si="9"/>
        <v>29832.7</v>
      </c>
      <c r="S30" s="70">
        <f t="shared" si="9"/>
        <v>12221.95</v>
      </c>
      <c r="T30" s="70">
        <f t="shared" si="9"/>
        <v>71717.3</v>
      </c>
      <c r="U30" s="70">
        <f t="shared" si="9"/>
        <v>21735.65</v>
      </c>
      <c r="V30" s="70">
        <f t="shared" si="9"/>
        <v>40838.15</v>
      </c>
      <c r="W30" s="70">
        <f t="shared" si="9"/>
        <v>453295.07</v>
      </c>
      <c r="X30" s="70">
        <f t="shared" si="9"/>
        <v>814411.46</v>
      </c>
      <c r="Y30" s="70">
        <f t="shared" si="9"/>
        <v>112182.54999999999</v>
      </c>
      <c r="Z30" s="70">
        <f t="shared" si="9"/>
        <v>-9226.6499999999924</v>
      </c>
      <c r="AA30" s="70">
        <f t="shared" si="9"/>
        <v>1573679.73</v>
      </c>
      <c r="AB30" s="70">
        <f t="shared" si="9"/>
        <v>98876.800000000003</v>
      </c>
      <c r="AC30" s="70">
        <f t="shared" si="9"/>
        <v>1424.85</v>
      </c>
      <c r="AD30" s="70">
        <f t="shared" si="9"/>
        <v>62340.700000000004</v>
      </c>
      <c r="AE30" s="70">
        <f t="shared" si="9"/>
        <v>68723.679999999993</v>
      </c>
      <c r="AF30" s="70">
        <f t="shared" si="9"/>
        <v>1711.31</v>
      </c>
      <c r="AG30" s="70">
        <f t="shared" si="9"/>
        <v>186771.1</v>
      </c>
      <c r="AH30" s="70">
        <f t="shared" si="9"/>
        <v>185958.8</v>
      </c>
      <c r="AI30" s="70">
        <f t="shared" si="9"/>
        <v>720231.69</v>
      </c>
      <c r="AJ30" s="70">
        <f t="shared" si="9"/>
        <v>63256.100000000006</v>
      </c>
      <c r="AK30" s="70">
        <f t="shared" si="9"/>
        <v>5630.5</v>
      </c>
      <c r="AL30" s="70">
        <f t="shared" si="9"/>
        <v>0</v>
      </c>
      <c r="AM30" s="70">
        <f t="shared" si="9"/>
        <v>107779.9</v>
      </c>
      <c r="AN30" s="70">
        <f t="shared" si="9"/>
        <v>311822.65000000002</v>
      </c>
      <c r="AO30" s="70">
        <f t="shared" si="9"/>
        <v>48196.7</v>
      </c>
      <c r="AP30" s="70">
        <f t="shared" si="9"/>
        <v>1084246.6500000001</v>
      </c>
      <c r="AQ30" s="70">
        <f t="shared" si="9"/>
        <v>839225.59</v>
      </c>
      <c r="AR30" s="70">
        <f t="shared" si="9"/>
        <v>261397.97999999998</v>
      </c>
      <c r="AS30" s="70">
        <f t="shared" si="9"/>
        <v>1049948.05</v>
      </c>
      <c r="AT30" s="70">
        <f t="shared" si="9"/>
        <v>148788.15</v>
      </c>
      <c r="AU30" s="70">
        <f t="shared" si="9"/>
        <v>509631.5</v>
      </c>
      <c r="AV30" s="70">
        <f t="shared" si="9"/>
        <v>617870.1</v>
      </c>
      <c r="AW30" s="70">
        <f t="shared" si="9"/>
        <v>166713.15999999997</v>
      </c>
      <c r="AX30" s="70">
        <f t="shared" si="9"/>
        <v>117723.9</v>
      </c>
      <c r="AY30" s="70">
        <f t="shared" si="9"/>
        <v>37847.94</v>
      </c>
      <c r="AZ30" s="70">
        <f t="shared" si="9"/>
        <v>82625.549999999988</v>
      </c>
      <c r="BA30" s="70">
        <f t="shared" si="9"/>
        <v>391522.2</v>
      </c>
      <c r="BB30" s="70">
        <f t="shared" si="9"/>
        <v>137993.95000000001</v>
      </c>
      <c r="BC30" s="70">
        <f t="shared" si="9"/>
        <v>138146.25</v>
      </c>
      <c r="BD30" s="70">
        <f t="shared" si="9"/>
        <v>49363.49</v>
      </c>
      <c r="BE30" s="70">
        <f t="shared" si="9"/>
        <v>1272076.4099999999</v>
      </c>
      <c r="BF30" s="70">
        <f t="shared" si="9"/>
        <v>193093.03</v>
      </c>
      <c r="BG30" s="70">
        <f t="shared" si="6"/>
        <v>25785773.98</v>
      </c>
      <c r="BH30" s="70">
        <f t="shared" si="2"/>
        <v>15148199.670000002</v>
      </c>
      <c r="BI30" s="70">
        <f t="shared" si="3"/>
        <v>3071561.16</v>
      </c>
      <c r="BJ30" s="70">
        <f t="shared" si="4"/>
        <v>7566013.1500000013</v>
      </c>
    </row>
    <row r="31" spans="3:62" x14ac:dyDescent="0.3">
      <c r="D31">
        <v>1040</v>
      </c>
      <c r="E31" t="s">
        <v>61</v>
      </c>
      <c r="F31" s="4">
        <v>0</v>
      </c>
      <c r="G31" s="4">
        <v>0</v>
      </c>
      <c r="H31" s="4">
        <v>0</v>
      </c>
      <c r="I31" s="4">
        <v>0</v>
      </c>
      <c r="J31" s="4">
        <v>0</v>
      </c>
      <c r="K31" s="4">
        <v>1881.6</v>
      </c>
      <c r="L31" s="4">
        <v>0</v>
      </c>
      <c r="M31" s="4">
        <v>0</v>
      </c>
      <c r="N31" s="4">
        <v>1557.95</v>
      </c>
      <c r="O31" s="4">
        <v>0</v>
      </c>
      <c r="P31" s="4">
        <v>0</v>
      </c>
      <c r="Q31" s="4">
        <v>0</v>
      </c>
      <c r="R31" s="4">
        <v>537.75</v>
      </c>
      <c r="S31" s="4">
        <v>0</v>
      </c>
      <c r="T31" s="4">
        <v>4460.6000000000004</v>
      </c>
      <c r="U31" s="4">
        <v>-7954.25</v>
      </c>
      <c r="V31" s="4">
        <v>250</v>
      </c>
      <c r="W31" s="4">
        <v>2119.6</v>
      </c>
      <c r="X31" s="4">
        <v>0</v>
      </c>
      <c r="Y31" s="4">
        <v>1491.1</v>
      </c>
      <c r="Z31" s="4">
        <v>0</v>
      </c>
      <c r="AA31" s="4">
        <v>0</v>
      </c>
      <c r="AB31" s="4">
        <v>0</v>
      </c>
      <c r="AC31" s="4">
        <v>0</v>
      </c>
      <c r="AD31" s="4">
        <v>0</v>
      </c>
      <c r="AE31" s="4">
        <v>14737.65</v>
      </c>
      <c r="AF31" s="4">
        <v>0</v>
      </c>
      <c r="AG31" s="4">
        <v>0</v>
      </c>
      <c r="AH31" s="4">
        <v>0</v>
      </c>
      <c r="AI31" s="4">
        <v>13429.6</v>
      </c>
      <c r="AJ31" s="4">
        <v>0</v>
      </c>
      <c r="AK31" s="4">
        <v>0</v>
      </c>
      <c r="AL31" s="4">
        <v>0</v>
      </c>
      <c r="AM31" s="4">
        <v>0</v>
      </c>
      <c r="AN31" s="4">
        <v>0</v>
      </c>
      <c r="AO31" s="4">
        <v>0</v>
      </c>
      <c r="AP31" s="4">
        <v>0</v>
      </c>
      <c r="AQ31" s="4">
        <v>0</v>
      </c>
      <c r="AR31" s="4">
        <v>0</v>
      </c>
      <c r="AS31" s="4">
        <v>0</v>
      </c>
      <c r="AT31" s="4">
        <v>0</v>
      </c>
      <c r="AU31" s="4">
        <v>7454.05</v>
      </c>
      <c r="AV31" s="4">
        <v>0</v>
      </c>
      <c r="AW31" s="4">
        <v>0</v>
      </c>
      <c r="AX31" s="4">
        <v>0</v>
      </c>
      <c r="AY31" s="4">
        <v>0</v>
      </c>
      <c r="AZ31" s="4">
        <v>0</v>
      </c>
      <c r="BA31" s="4">
        <v>0</v>
      </c>
      <c r="BB31" s="4">
        <v>0</v>
      </c>
      <c r="BC31" s="4">
        <v>0</v>
      </c>
      <c r="BD31" s="4">
        <v>0</v>
      </c>
      <c r="BE31" s="4">
        <v>0</v>
      </c>
      <c r="BF31" s="4">
        <v>0</v>
      </c>
      <c r="BG31" s="80">
        <f t="shared" si="6"/>
        <v>39965.65</v>
      </c>
      <c r="BH31" s="80">
        <f t="shared" si="2"/>
        <v>2853.2500000000014</v>
      </c>
      <c r="BI31" s="80">
        <f t="shared" si="3"/>
        <v>29658.35</v>
      </c>
      <c r="BJ31" s="80">
        <f t="shared" si="4"/>
        <v>7454.05</v>
      </c>
    </row>
    <row r="32" spans="3:62" x14ac:dyDescent="0.3">
      <c r="D32">
        <v>1041</v>
      </c>
      <c r="E32" t="s">
        <v>339</v>
      </c>
      <c r="F32" s="4">
        <v>346645.9</v>
      </c>
      <c r="G32" s="4">
        <v>49192.7</v>
      </c>
      <c r="H32" s="4">
        <v>134788.45000000001</v>
      </c>
      <c r="I32" s="4">
        <v>-20317.11</v>
      </c>
      <c r="J32" s="4">
        <v>103007.2</v>
      </c>
      <c r="K32" s="4">
        <v>195030.35</v>
      </c>
      <c r="L32" s="4">
        <v>309695.27</v>
      </c>
      <c r="M32" s="4">
        <v>2854411.84</v>
      </c>
      <c r="N32" s="4">
        <v>317667.34999999998</v>
      </c>
      <c r="O32" s="4">
        <v>20869.599999999999</v>
      </c>
      <c r="P32" s="4">
        <v>234955.26</v>
      </c>
      <c r="Q32" s="4">
        <v>-28442.7</v>
      </c>
      <c r="R32" s="4">
        <v>26781.3</v>
      </c>
      <c r="S32" s="4">
        <v>12221.95</v>
      </c>
      <c r="T32" s="4">
        <v>13543.25</v>
      </c>
      <c r="U32" s="4">
        <v>29689.9</v>
      </c>
      <c r="V32" s="4">
        <v>5781.3</v>
      </c>
      <c r="W32" s="4">
        <v>186944.15</v>
      </c>
      <c r="X32" s="4">
        <v>76398.36</v>
      </c>
      <c r="Y32" s="4">
        <v>0</v>
      </c>
      <c r="Z32" s="4">
        <v>166964.57</v>
      </c>
      <c r="AA32" s="4">
        <v>1573679.73</v>
      </c>
      <c r="AB32" s="4">
        <v>98876.800000000003</v>
      </c>
      <c r="AC32" s="4">
        <v>550</v>
      </c>
      <c r="AD32" s="4">
        <v>65568.600000000006</v>
      </c>
      <c r="AE32" s="4">
        <v>12909.8</v>
      </c>
      <c r="AF32" s="4">
        <v>1711.31</v>
      </c>
      <c r="AG32" s="4">
        <v>176557.15</v>
      </c>
      <c r="AH32" s="4">
        <v>57912.800000000003</v>
      </c>
      <c r="AI32" s="4">
        <v>2529.1</v>
      </c>
      <c r="AJ32" s="4">
        <v>38254.15</v>
      </c>
      <c r="AK32" s="4">
        <v>0</v>
      </c>
      <c r="AL32" s="4">
        <v>0</v>
      </c>
      <c r="AM32" s="4">
        <v>107779.9</v>
      </c>
      <c r="AN32" s="4">
        <v>311822.65000000002</v>
      </c>
      <c r="AO32" s="4">
        <v>7931.2</v>
      </c>
      <c r="AP32" s="4">
        <v>68344.850000000006</v>
      </c>
      <c r="AQ32" s="4">
        <v>839132.69</v>
      </c>
      <c r="AR32" s="4">
        <v>22494.68</v>
      </c>
      <c r="AS32" s="4">
        <v>0</v>
      </c>
      <c r="AT32" s="4">
        <v>148788.15</v>
      </c>
      <c r="AU32" s="4">
        <v>78440.5</v>
      </c>
      <c r="AV32" s="4">
        <v>25242.2</v>
      </c>
      <c r="AW32" s="4">
        <v>158036.35999999999</v>
      </c>
      <c r="AX32" s="4">
        <v>117723.9</v>
      </c>
      <c r="AY32" s="4">
        <v>37847.94</v>
      </c>
      <c r="AZ32" s="4">
        <v>0</v>
      </c>
      <c r="BA32" s="4">
        <v>391522.2</v>
      </c>
      <c r="BB32" s="4">
        <v>21787.15</v>
      </c>
      <c r="BC32" s="4">
        <v>123183.4</v>
      </c>
      <c r="BD32" s="4">
        <v>49363.49</v>
      </c>
      <c r="BE32" s="4">
        <v>1272076.4099999999</v>
      </c>
      <c r="BF32" s="4">
        <v>123455.05</v>
      </c>
      <c r="BG32" s="80">
        <f t="shared" si="6"/>
        <v>10969351.049999999</v>
      </c>
      <c r="BH32" s="80">
        <f t="shared" si="2"/>
        <v>4868864.3199999994</v>
      </c>
      <c r="BI32" s="80">
        <f t="shared" si="3"/>
        <v>2195514.0100000002</v>
      </c>
      <c r="BJ32" s="80">
        <f t="shared" si="4"/>
        <v>3904972.7199999997</v>
      </c>
    </row>
    <row r="33" spans="3:62" x14ac:dyDescent="0.3">
      <c r="D33">
        <v>1042</v>
      </c>
      <c r="E33" t="s">
        <v>340</v>
      </c>
      <c r="F33" s="4">
        <v>42969.05</v>
      </c>
      <c r="G33" s="4">
        <v>0</v>
      </c>
      <c r="H33" s="4">
        <v>18714.8</v>
      </c>
      <c r="I33" s="4">
        <v>0</v>
      </c>
      <c r="J33" s="4">
        <v>6056.8</v>
      </c>
      <c r="K33" s="4">
        <v>808755.5</v>
      </c>
      <c r="L33" s="4">
        <v>0</v>
      </c>
      <c r="M33" s="4">
        <v>0</v>
      </c>
      <c r="N33" s="4">
        <v>83.45</v>
      </c>
      <c r="O33" s="4">
        <v>0</v>
      </c>
      <c r="P33" s="4">
        <v>574890.35</v>
      </c>
      <c r="Q33" s="4">
        <v>0</v>
      </c>
      <c r="R33" s="4">
        <v>0</v>
      </c>
      <c r="S33" s="4">
        <v>0</v>
      </c>
      <c r="T33" s="4">
        <v>0</v>
      </c>
      <c r="U33" s="4">
        <v>0</v>
      </c>
      <c r="V33" s="4">
        <v>0</v>
      </c>
      <c r="W33" s="4">
        <v>0</v>
      </c>
      <c r="X33" s="4">
        <v>700302.5</v>
      </c>
      <c r="Y33" s="4">
        <v>50045.7</v>
      </c>
      <c r="Z33" s="4">
        <v>-176191.25</v>
      </c>
      <c r="AA33" s="4">
        <v>0</v>
      </c>
      <c r="AB33" s="4">
        <v>0</v>
      </c>
      <c r="AC33" s="4">
        <v>874.85</v>
      </c>
      <c r="AD33" s="4">
        <v>0</v>
      </c>
      <c r="AE33" s="4">
        <v>0</v>
      </c>
      <c r="AF33" s="4">
        <v>0</v>
      </c>
      <c r="AG33" s="4">
        <v>0</v>
      </c>
      <c r="AH33" s="4">
        <v>0</v>
      </c>
      <c r="AI33" s="4">
        <v>553487.94999999995</v>
      </c>
      <c r="AJ33" s="4">
        <v>25001.95</v>
      </c>
      <c r="AK33" s="4">
        <v>1268.05</v>
      </c>
      <c r="AL33" s="4">
        <v>0</v>
      </c>
      <c r="AM33" s="4">
        <v>0</v>
      </c>
      <c r="AN33" s="4">
        <v>0</v>
      </c>
      <c r="AO33" s="4">
        <v>40265.5</v>
      </c>
      <c r="AP33" s="4">
        <v>1015901.8</v>
      </c>
      <c r="AQ33" s="4">
        <v>92.9</v>
      </c>
      <c r="AR33" s="4">
        <v>0</v>
      </c>
      <c r="AS33" s="4">
        <v>0</v>
      </c>
      <c r="AT33" s="4">
        <v>0</v>
      </c>
      <c r="AU33" s="4">
        <v>141430.6</v>
      </c>
      <c r="AV33" s="4">
        <v>592627.9</v>
      </c>
      <c r="AW33" s="4">
        <v>8676.7999999999993</v>
      </c>
      <c r="AX33" s="4">
        <v>0</v>
      </c>
      <c r="AY33" s="4">
        <v>0</v>
      </c>
      <c r="AZ33" s="4">
        <v>0</v>
      </c>
      <c r="BA33" s="4">
        <v>0</v>
      </c>
      <c r="BB33" s="4">
        <v>0</v>
      </c>
      <c r="BC33" s="4">
        <v>0</v>
      </c>
      <c r="BD33" s="4">
        <v>0</v>
      </c>
      <c r="BE33" s="4">
        <v>0</v>
      </c>
      <c r="BF33" s="4">
        <v>0</v>
      </c>
      <c r="BG33" s="80">
        <f t="shared" si="6"/>
        <v>4405255.2</v>
      </c>
      <c r="BH33" s="80">
        <f t="shared" si="2"/>
        <v>2151772.4500000002</v>
      </c>
      <c r="BI33" s="80">
        <f t="shared" si="3"/>
        <v>454487.24999999994</v>
      </c>
      <c r="BJ33" s="80">
        <f t="shared" si="4"/>
        <v>1798995.5000000002</v>
      </c>
    </row>
    <row r="34" spans="3:62" x14ac:dyDescent="0.3">
      <c r="D34">
        <v>1043</v>
      </c>
      <c r="E34" t="s">
        <v>341</v>
      </c>
      <c r="F34" s="4">
        <v>0.02</v>
      </c>
      <c r="G34" s="4">
        <v>0</v>
      </c>
      <c r="H34" s="4">
        <v>54033.3</v>
      </c>
      <c r="I34" s="4">
        <v>10</v>
      </c>
      <c r="J34" s="4">
        <v>1225000</v>
      </c>
      <c r="K34" s="4">
        <v>1164568</v>
      </c>
      <c r="L34" s="4">
        <v>0</v>
      </c>
      <c r="M34" s="4">
        <v>3408913.63</v>
      </c>
      <c r="N34" s="4">
        <v>408704.8</v>
      </c>
      <c r="O34" s="4">
        <v>0</v>
      </c>
      <c r="P34" s="4">
        <v>178795.3</v>
      </c>
      <c r="Q34" s="4">
        <v>562.75</v>
      </c>
      <c r="R34" s="4">
        <v>2513.65</v>
      </c>
      <c r="S34" s="4">
        <v>0</v>
      </c>
      <c r="T34" s="4">
        <v>1714.2</v>
      </c>
      <c r="U34" s="4">
        <v>0</v>
      </c>
      <c r="V34" s="4">
        <v>4956.53</v>
      </c>
      <c r="W34" s="4">
        <v>264231.32</v>
      </c>
      <c r="X34" s="4">
        <v>8529.85</v>
      </c>
      <c r="Y34" s="4">
        <v>24348.15</v>
      </c>
      <c r="Z34" s="4">
        <v>0.03</v>
      </c>
      <c r="AA34" s="4">
        <v>0</v>
      </c>
      <c r="AB34" s="4">
        <v>0</v>
      </c>
      <c r="AC34" s="4">
        <v>0</v>
      </c>
      <c r="AD34" s="4">
        <v>-3227.9</v>
      </c>
      <c r="AE34" s="4">
        <v>0</v>
      </c>
      <c r="AF34" s="4">
        <v>0</v>
      </c>
      <c r="AG34" s="4">
        <v>10213.950000000001</v>
      </c>
      <c r="AH34" s="4">
        <v>128046</v>
      </c>
      <c r="AI34" s="4">
        <v>121317.28</v>
      </c>
      <c r="AJ34" s="4">
        <v>0</v>
      </c>
      <c r="AK34" s="4">
        <v>3662.45</v>
      </c>
      <c r="AL34" s="4">
        <v>0</v>
      </c>
      <c r="AM34" s="4">
        <v>0</v>
      </c>
      <c r="AN34" s="4">
        <v>0</v>
      </c>
      <c r="AO34" s="4">
        <v>0</v>
      </c>
      <c r="AP34" s="4">
        <v>0</v>
      </c>
      <c r="AQ34" s="4">
        <v>0</v>
      </c>
      <c r="AR34" s="4">
        <v>0</v>
      </c>
      <c r="AS34" s="4">
        <v>0</v>
      </c>
      <c r="AT34" s="4">
        <v>0</v>
      </c>
      <c r="AU34" s="4">
        <v>282306.34999999998</v>
      </c>
      <c r="AV34" s="4">
        <v>0</v>
      </c>
      <c r="AW34" s="4">
        <v>0</v>
      </c>
      <c r="AX34" s="4">
        <v>0</v>
      </c>
      <c r="AY34" s="4">
        <v>0</v>
      </c>
      <c r="AZ34" s="4">
        <v>2500.9</v>
      </c>
      <c r="BA34" s="4">
        <v>0</v>
      </c>
      <c r="BB34" s="4">
        <v>0</v>
      </c>
      <c r="BC34" s="4">
        <v>14962.85</v>
      </c>
      <c r="BD34" s="4">
        <v>0</v>
      </c>
      <c r="BE34" s="4">
        <v>0</v>
      </c>
      <c r="BF34" s="4">
        <v>69637.98</v>
      </c>
      <c r="BG34" s="80">
        <f t="shared" si="6"/>
        <v>7376301.3900000015</v>
      </c>
      <c r="BH34" s="80">
        <f t="shared" si="2"/>
        <v>6722533.3500000006</v>
      </c>
      <c r="BI34" s="80">
        <f t="shared" si="3"/>
        <v>284359.96000000002</v>
      </c>
      <c r="BJ34" s="80">
        <f t="shared" si="4"/>
        <v>369408.07999999996</v>
      </c>
    </row>
    <row r="35" spans="3:62" x14ac:dyDescent="0.3">
      <c r="D35">
        <v>1044</v>
      </c>
      <c r="E35" t="s">
        <v>342</v>
      </c>
      <c r="F35" s="4">
        <v>0</v>
      </c>
      <c r="G35" s="4">
        <v>0</v>
      </c>
      <c r="H35" s="4">
        <v>0</v>
      </c>
      <c r="I35" s="4">
        <v>0</v>
      </c>
      <c r="J35" s="4">
        <v>13122.15</v>
      </c>
      <c r="K35" s="4">
        <v>888</v>
      </c>
      <c r="L35" s="4">
        <v>0</v>
      </c>
      <c r="M35" s="4">
        <v>17027.349999999999</v>
      </c>
      <c r="N35" s="4">
        <v>0</v>
      </c>
      <c r="O35" s="4">
        <v>0</v>
      </c>
      <c r="P35" s="4">
        <v>0</v>
      </c>
      <c r="Q35" s="4">
        <v>0</v>
      </c>
      <c r="R35" s="4">
        <v>0</v>
      </c>
      <c r="S35" s="4">
        <v>0</v>
      </c>
      <c r="T35" s="4">
        <v>0</v>
      </c>
      <c r="U35" s="4">
        <v>0</v>
      </c>
      <c r="V35" s="4">
        <v>29850.32</v>
      </c>
      <c r="W35" s="4">
        <v>0</v>
      </c>
      <c r="X35" s="4">
        <v>29180.75</v>
      </c>
      <c r="Y35" s="4">
        <v>1.75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238903.3</v>
      </c>
      <c r="AS35" s="4">
        <v>0</v>
      </c>
      <c r="AT35" s="4">
        <v>0</v>
      </c>
      <c r="AU35" s="4">
        <v>0</v>
      </c>
      <c r="AV35" s="4">
        <v>0</v>
      </c>
      <c r="AW35" s="4">
        <v>0</v>
      </c>
      <c r="AX35" s="4">
        <v>0</v>
      </c>
      <c r="AY35" s="4">
        <v>0</v>
      </c>
      <c r="AZ35" s="4">
        <v>80124.649999999994</v>
      </c>
      <c r="BA35" s="4">
        <v>0</v>
      </c>
      <c r="BB35" s="4">
        <v>0</v>
      </c>
      <c r="BC35" s="4">
        <v>0</v>
      </c>
      <c r="BD35" s="4">
        <v>0</v>
      </c>
      <c r="BE35" s="4">
        <v>0</v>
      </c>
      <c r="BF35" s="4">
        <v>0</v>
      </c>
      <c r="BG35" s="80">
        <f t="shared" si="6"/>
        <v>409798.27</v>
      </c>
      <c r="BH35" s="80">
        <f t="shared" si="2"/>
        <v>90068.57</v>
      </c>
      <c r="BI35" s="80">
        <f t="shared" si="3"/>
        <v>701.75</v>
      </c>
      <c r="BJ35" s="80">
        <f t="shared" si="4"/>
        <v>319027.94999999995</v>
      </c>
    </row>
    <row r="36" spans="3:62" x14ac:dyDescent="0.3">
      <c r="D36">
        <v>1045</v>
      </c>
      <c r="E36" t="s">
        <v>343</v>
      </c>
      <c r="F36" s="4">
        <v>0</v>
      </c>
      <c r="G36" s="4">
        <v>0</v>
      </c>
      <c r="H36" s="4">
        <v>0</v>
      </c>
      <c r="I36" s="4">
        <v>0</v>
      </c>
      <c r="J36" s="4">
        <v>0</v>
      </c>
      <c r="K36" s="4">
        <v>0</v>
      </c>
      <c r="L36" s="4">
        <v>0</v>
      </c>
      <c r="M36" s="4">
        <v>2152.4899999999998</v>
      </c>
      <c r="N36" s="4">
        <v>0</v>
      </c>
      <c r="O36" s="4">
        <v>0</v>
      </c>
      <c r="P36" s="4">
        <v>0</v>
      </c>
      <c r="Q36" s="4">
        <v>0</v>
      </c>
      <c r="R36" s="4">
        <v>0</v>
      </c>
      <c r="S36" s="4">
        <v>0</v>
      </c>
      <c r="T36" s="4">
        <v>51999.25</v>
      </c>
      <c r="U36" s="4">
        <v>0</v>
      </c>
      <c r="V36" s="4">
        <v>0</v>
      </c>
      <c r="W36" s="4">
        <v>0</v>
      </c>
      <c r="X36" s="4">
        <v>0</v>
      </c>
      <c r="Y36" s="4">
        <v>36295.85</v>
      </c>
      <c r="Z36" s="4">
        <v>0</v>
      </c>
      <c r="AA36" s="4">
        <v>0</v>
      </c>
      <c r="AB36" s="4">
        <v>0</v>
      </c>
      <c r="AC36" s="4">
        <v>0</v>
      </c>
      <c r="AD36" s="4">
        <v>0</v>
      </c>
      <c r="AE36" s="4">
        <v>41076.230000000003</v>
      </c>
      <c r="AF36" s="4">
        <v>0</v>
      </c>
      <c r="AG36" s="4">
        <v>0</v>
      </c>
      <c r="AH36" s="4">
        <v>0</v>
      </c>
      <c r="AI36" s="4">
        <v>16554.759999999998</v>
      </c>
      <c r="AJ36" s="4">
        <v>0</v>
      </c>
      <c r="AK36" s="4">
        <v>0</v>
      </c>
      <c r="AL36" s="4">
        <v>0</v>
      </c>
      <c r="AM36" s="4">
        <v>0</v>
      </c>
      <c r="AN36" s="4">
        <v>0</v>
      </c>
      <c r="AO36" s="4">
        <v>0</v>
      </c>
      <c r="AP36" s="4">
        <v>0</v>
      </c>
      <c r="AQ36" s="4">
        <v>0</v>
      </c>
      <c r="AR36" s="4">
        <v>0</v>
      </c>
      <c r="AS36" s="4">
        <v>1003864.65</v>
      </c>
      <c r="AT36" s="4">
        <v>0</v>
      </c>
      <c r="AU36" s="4">
        <v>0</v>
      </c>
      <c r="AV36" s="4">
        <v>0</v>
      </c>
      <c r="AW36" s="4">
        <v>0</v>
      </c>
      <c r="AX36" s="4">
        <v>0</v>
      </c>
      <c r="AY36" s="4">
        <v>0</v>
      </c>
      <c r="AZ36" s="4">
        <v>0</v>
      </c>
      <c r="BA36" s="4">
        <v>0</v>
      </c>
      <c r="BB36" s="4">
        <v>0</v>
      </c>
      <c r="BC36" s="4">
        <v>0</v>
      </c>
      <c r="BD36" s="4">
        <v>0</v>
      </c>
      <c r="BE36" s="4">
        <v>0</v>
      </c>
      <c r="BF36" s="4">
        <v>0</v>
      </c>
      <c r="BG36" s="80">
        <f t="shared" si="6"/>
        <v>1151943.23</v>
      </c>
      <c r="BH36" s="80">
        <f t="shared" si="2"/>
        <v>54151.74</v>
      </c>
      <c r="BI36" s="80">
        <f t="shared" si="3"/>
        <v>93926.84</v>
      </c>
      <c r="BJ36" s="80">
        <f t="shared" si="4"/>
        <v>1003864.65</v>
      </c>
    </row>
    <row r="37" spans="3:62" x14ac:dyDescent="0.3">
      <c r="D37">
        <v>1046</v>
      </c>
      <c r="E37" t="s">
        <v>344</v>
      </c>
      <c r="F37" s="4">
        <v>0</v>
      </c>
      <c r="G37" s="4">
        <v>0</v>
      </c>
      <c r="H37" s="4">
        <v>650000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12913</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662913</v>
      </c>
      <c r="BH37" s="80">
        <f t="shared" si="2"/>
        <v>650000</v>
      </c>
      <c r="BI37" s="80">
        <f t="shared" si="3"/>
        <v>12913</v>
      </c>
      <c r="BJ37" s="80">
        <f t="shared" si="4"/>
        <v>0</v>
      </c>
    </row>
    <row r="38" spans="3:62" x14ac:dyDescent="0.3">
      <c r="D38">
        <v>1049</v>
      </c>
      <c r="E38" t="s">
        <v>345</v>
      </c>
      <c r="F38" s="4">
        <v>0</v>
      </c>
      <c r="G38" s="4">
        <v>0</v>
      </c>
      <c r="H38" s="4">
        <v>0</v>
      </c>
      <c r="I38" s="4">
        <v>0</v>
      </c>
      <c r="J38" s="4">
        <v>607955.99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46083.4</v>
      </c>
      <c r="AT38" s="4">
        <v>0</v>
      </c>
      <c r="AU38" s="4">
        <v>0</v>
      </c>
      <c r="AV38" s="4">
        <v>0</v>
      </c>
      <c r="AW38" s="4">
        <v>0</v>
      </c>
      <c r="AX38" s="4">
        <v>0</v>
      </c>
      <c r="AY38" s="4">
        <v>0</v>
      </c>
      <c r="AZ38" s="4">
        <v>0</v>
      </c>
      <c r="BA38" s="4">
        <v>0</v>
      </c>
      <c r="BB38" s="4">
        <v>116206.8</v>
      </c>
      <c r="BC38" s="4">
        <v>0</v>
      </c>
      <c r="BD38" s="4">
        <v>0</v>
      </c>
      <c r="BE38" s="4">
        <v>0</v>
      </c>
      <c r="BF38" s="4">
        <v>0</v>
      </c>
      <c r="BG38" s="80">
        <f t="shared" si="6"/>
        <v>770246.19000000006</v>
      </c>
      <c r="BH38" s="80">
        <f t="shared" si="2"/>
        <v>607955.99</v>
      </c>
      <c r="BI38" s="80">
        <f t="shared" si="3"/>
        <v>0</v>
      </c>
      <c r="BJ38" s="80">
        <f t="shared" si="4"/>
        <v>162290.20000000001</v>
      </c>
    </row>
    <row r="39" spans="3:62" x14ac:dyDescent="0.3">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3">
      <c r="C40" s="69">
        <v>106</v>
      </c>
      <c r="D40" s="69"/>
      <c r="E40" s="69" t="s">
        <v>252</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580394.32999999996</v>
      </c>
      <c r="N40" s="70">
        <f t="shared" si="10"/>
        <v>0</v>
      </c>
      <c r="O40" s="70">
        <f t="shared" si="10"/>
        <v>0</v>
      </c>
      <c r="P40" s="70">
        <f t="shared" si="10"/>
        <v>234360</v>
      </c>
      <c r="Q40" s="70">
        <f t="shared" si="10"/>
        <v>0</v>
      </c>
      <c r="R40" s="70">
        <f t="shared" si="10"/>
        <v>0</v>
      </c>
      <c r="S40" s="70">
        <f t="shared" si="10"/>
        <v>0</v>
      </c>
      <c r="T40" s="70">
        <f t="shared" si="10"/>
        <v>0</v>
      </c>
      <c r="U40" s="70">
        <f t="shared" si="10"/>
        <v>0</v>
      </c>
      <c r="V40" s="70">
        <f t="shared" si="10"/>
        <v>0</v>
      </c>
      <c r="W40" s="70">
        <f t="shared" si="10"/>
        <v>4429.8500000000004</v>
      </c>
      <c r="X40" s="70">
        <f t="shared" si="10"/>
        <v>4800</v>
      </c>
      <c r="Y40" s="70">
        <f t="shared" si="10"/>
        <v>0</v>
      </c>
      <c r="Z40" s="70">
        <f t="shared" si="10"/>
        <v>0</v>
      </c>
      <c r="AA40" s="70">
        <f t="shared" si="10"/>
        <v>0</v>
      </c>
      <c r="AB40" s="70">
        <f t="shared" si="10"/>
        <v>0</v>
      </c>
      <c r="AC40" s="70">
        <f t="shared" si="10"/>
        <v>6712.1</v>
      </c>
      <c r="AD40" s="70">
        <f t="shared" si="10"/>
        <v>0</v>
      </c>
      <c r="AE40" s="70">
        <f t="shared" si="10"/>
        <v>2913.6</v>
      </c>
      <c r="AF40" s="70">
        <f t="shared" si="10"/>
        <v>0</v>
      </c>
      <c r="AG40" s="70">
        <f t="shared" si="10"/>
        <v>0</v>
      </c>
      <c r="AH40" s="70">
        <f t="shared" si="10"/>
        <v>761889.4</v>
      </c>
      <c r="AI40" s="70">
        <f t="shared" si="10"/>
        <v>0</v>
      </c>
      <c r="AJ40" s="70">
        <f t="shared" si="10"/>
        <v>0</v>
      </c>
      <c r="AK40" s="70">
        <f t="shared" si="10"/>
        <v>19871.05</v>
      </c>
      <c r="AL40" s="70">
        <f t="shared" si="10"/>
        <v>0</v>
      </c>
      <c r="AM40" s="70">
        <f t="shared" si="10"/>
        <v>0</v>
      </c>
      <c r="AN40" s="70">
        <f t="shared" si="10"/>
        <v>1291.3</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37128</v>
      </c>
      <c r="BD40" s="70">
        <f t="shared" si="10"/>
        <v>0</v>
      </c>
      <c r="BE40" s="70">
        <f t="shared" si="10"/>
        <v>22126.15</v>
      </c>
      <c r="BF40" s="70">
        <f t="shared" si="10"/>
        <v>0</v>
      </c>
      <c r="BG40" s="70">
        <f t="shared" si="6"/>
        <v>1675915.7799999998</v>
      </c>
      <c r="BH40" s="70">
        <f t="shared" si="2"/>
        <v>823984.17999999993</v>
      </c>
      <c r="BI40" s="70">
        <f t="shared" si="3"/>
        <v>791386.15</v>
      </c>
      <c r="BJ40" s="70">
        <f t="shared" si="4"/>
        <v>60545.450000000004</v>
      </c>
    </row>
    <row r="41" spans="3:62" x14ac:dyDescent="0.3">
      <c r="D41">
        <v>1060</v>
      </c>
      <c r="E41" t="s">
        <v>346</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4429.8500000000004</v>
      </c>
      <c r="X41" s="4">
        <v>0</v>
      </c>
      <c r="Y41" s="4">
        <v>0</v>
      </c>
      <c r="Z41" s="4">
        <v>0</v>
      </c>
      <c r="AA41" s="4">
        <v>0</v>
      </c>
      <c r="AB41" s="4">
        <v>0</v>
      </c>
      <c r="AC41" s="4">
        <v>6712.1</v>
      </c>
      <c r="AD41" s="4">
        <v>0</v>
      </c>
      <c r="AE41" s="4">
        <v>2913.6</v>
      </c>
      <c r="AF41" s="4">
        <v>0</v>
      </c>
      <c r="AG41" s="4">
        <v>0</v>
      </c>
      <c r="AH41" s="4">
        <v>1296.8</v>
      </c>
      <c r="AI41" s="4">
        <v>0</v>
      </c>
      <c r="AJ41" s="4">
        <v>0</v>
      </c>
      <c r="AK41" s="4">
        <v>5058.5</v>
      </c>
      <c r="AL41" s="4">
        <v>0</v>
      </c>
      <c r="AM41" s="4">
        <v>0</v>
      </c>
      <c r="AN41" s="4">
        <v>1291.3</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22126.15</v>
      </c>
      <c r="BF41" s="4">
        <v>0</v>
      </c>
      <c r="BG41" s="80">
        <f t="shared" si="6"/>
        <v>43828.3</v>
      </c>
      <c r="BH41" s="80">
        <f t="shared" si="2"/>
        <v>4429.8500000000004</v>
      </c>
      <c r="BI41" s="80">
        <f t="shared" si="3"/>
        <v>15981</v>
      </c>
      <c r="BJ41" s="80">
        <f t="shared" si="4"/>
        <v>23417.45</v>
      </c>
    </row>
    <row r="42" spans="3:62" x14ac:dyDescent="0.3">
      <c r="D42">
        <v>1061</v>
      </c>
      <c r="E42" t="s">
        <v>347</v>
      </c>
      <c r="F42" s="4">
        <v>0</v>
      </c>
      <c r="G42" s="4">
        <v>0</v>
      </c>
      <c r="H42" s="4">
        <v>0</v>
      </c>
      <c r="I42" s="4">
        <v>0</v>
      </c>
      <c r="J42" s="4">
        <v>0</v>
      </c>
      <c r="K42" s="4">
        <v>0</v>
      </c>
      <c r="L42" s="4">
        <v>0</v>
      </c>
      <c r="M42" s="4">
        <v>580394.32999999996</v>
      </c>
      <c r="N42" s="4">
        <v>0</v>
      </c>
      <c r="O42" s="4">
        <v>0</v>
      </c>
      <c r="P42" s="4">
        <v>234360</v>
      </c>
      <c r="Q42" s="4">
        <v>0</v>
      </c>
      <c r="R42" s="4">
        <v>0</v>
      </c>
      <c r="S42" s="4">
        <v>0</v>
      </c>
      <c r="T42" s="4">
        <v>0</v>
      </c>
      <c r="U42" s="4">
        <v>0</v>
      </c>
      <c r="V42" s="4">
        <v>0</v>
      </c>
      <c r="W42" s="4">
        <v>0</v>
      </c>
      <c r="X42" s="4">
        <v>4800</v>
      </c>
      <c r="Y42" s="4">
        <v>0</v>
      </c>
      <c r="Z42" s="4">
        <v>0</v>
      </c>
      <c r="AA42" s="4">
        <v>0</v>
      </c>
      <c r="AB42" s="4">
        <v>0</v>
      </c>
      <c r="AC42" s="4">
        <v>0</v>
      </c>
      <c r="AD42" s="4">
        <v>0</v>
      </c>
      <c r="AE42" s="4">
        <v>0</v>
      </c>
      <c r="AF42" s="4">
        <v>0</v>
      </c>
      <c r="AG42" s="4">
        <v>0</v>
      </c>
      <c r="AH42" s="4">
        <v>0</v>
      </c>
      <c r="AI42" s="4">
        <v>0</v>
      </c>
      <c r="AJ42" s="4">
        <v>0</v>
      </c>
      <c r="AK42" s="4">
        <v>14812.55</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37128</v>
      </c>
      <c r="BD42" s="4">
        <v>0</v>
      </c>
      <c r="BE42" s="4">
        <v>0</v>
      </c>
      <c r="BF42" s="4">
        <v>0</v>
      </c>
      <c r="BG42" s="80">
        <f t="shared" si="6"/>
        <v>871494.88</v>
      </c>
      <c r="BH42" s="80">
        <f t="shared" si="2"/>
        <v>819554.33</v>
      </c>
      <c r="BI42" s="80">
        <f t="shared" si="3"/>
        <v>14812.55</v>
      </c>
      <c r="BJ42" s="80">
        <f t="shared" si="4"/>
        <v>37128</v>
      </c>
    </row>
    <row r="43" spans="3:62" x14ac:dyDescent="0.3">
      <c r="D43">
        <v>1062</v>
      </c>
      <c r="E43" t="s">
        <v>348</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3">
      <c r="D44">
        <v>1063</v>
      </c>
      <c r="E44" t="s">
        <v>349</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760592.6</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760592.6</v>
      </c>
      <c r="BH44" s="80">
        <f t="shared" si="2"/>
        <v>0</v>
      </c>
      <c r="BI44" s="80">
        <f t="shared" si="3"/>
        <v>760592.6</v>
      </c>
      <c r="BJ44" s="80">
        <f t="shared" si="4"/>
        <v>0</v>
      </c>
    </row>
    <row r="45" spans="3:62" x14ac:dyDescent="0.3">
      <c r="D45">
        <v>1068</v>
      </c>
      <c r="E45" t="s">
        <v>350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v>0</v>
      </c>
      <c r="BA46" s="4"/>
      <c r="BB46" s="4"/>
      <c r="BC46" s="4"/>
      <c r="BD46" s="4"/>
      <c r="BE46" s="4"/>
      <c r="BF46" s="4"/>
      <c r="BG46" s="80"/>
      <c r="BH46" s="80"/>
      <c r="BI46" s="80"/>
      <c r="BJ46" s="80"/>
    </row>
    <row r="47" spans="3:62" x14ac:dyDescent="0.3">
      <c r="C47" s="69">
        <v>107</v>
      </c>
      <c r="D47" s="69"/>
      <c r="E47" s="69" t="s">
        <v>355</v>
      </c>
      <c r="F47" s="70">
        <f>F48+F49+F50+F51</f>
        <v>2601</v>
      </c>
      <c r="G47" s="70">
        <f t="shared" ref="G47:BF47" si="11">G48+G49+G50+G51</f>
        <v>200</v>
      </c>
      <c r="H47" s="70">
        <f t="shared" si="11"/>
        <v>0</v>
      </c>
      <c r="I47" s="70">
        <f t="shared" si="11"/>
        <v>2695</v>
      </c>
      <c r="J47" s="70">
        <f t="shared" si="11"/>
        <v>275153</v>
      </c>
      <c r="K47" s="70">
        <f t="shared" si="11"/>
        <v>1240</v>
      </c>
      <c r="L47" s="70">
        <f t="shared" si="11"/>
        <v>20000</v>
      </c>
      <c r="M47" s="70">
        <f t="shared" si="11"/>
        <v>1773720</v>
      </c>
      <c r="N47" s="70">
        <f t="shared" si="11"/>
        <v>1240</v>
      </c>
      <c r="O47" s="70">
        <f t="shared" si="11"/>
        <v>0</v>
      </c>
      <c r="P47" s="70">
        <f t="shared" si="11"/>
        <v>284372.5</v>
      </c>
      <c r="Q47" s="70">
        <f t="shared" si="11"/>
        <v>2102</v>
      </c>
      <c r="R47" s="70">
        <f t="shared" si="11"/>
        <v>25853.15</v>
      </c>
      <c r="S47" s="70">
        <f t="shared" si="11"/>
        <v>200</v>
      </c>
      <c r="T47" s="70">
        <f t="shared" si="11"/>
        <v>200</v>
      </c>
      <c r="U47" s="70">
        <f t="shared" si="11"/>
        <v>988505.59999999998</v>
      </c>
      <c r="V47" s="70">
        <f t="shared" si="11"/>
        <v>0</v>
      </c>
      <c r="W47" s="70">
        <f t="shared" si="11"/>
        <v>950.55</v>
      </c>
      <c r="X47" s="70">
        <f t="shared" si="11"/>
        <v>5607</v>
      </c>
      <c r="Y47" s="70">
        <f t="shared" si="11"/>
        <v>0</v>
      </c>
      <c r="Z47" s="70">
        <f t="shared" si="11"/>
        <v>124417.44</v>
      </c>
      <c r="AA47" s="70">
        <f t="shared" si="11"/>
        <v>10251989.9</v>
      </c>
      <c r="AB47" s="70">
        <f t="shared" si="11"/>
        <v>224777.27</v>
      </c>
      <c r="AC47" s="70">
        <f t="shared" si="11"/>
        <v>72339.75</v>
      </c>
      <c r="AD47" s="70">
        <f t="shared" si="11"/>
        <v>39680</v>
      </c>
      <c r="AE47" s="70">
        <f t="shared" si="11"/>
        <v>744</v>
      </c>
      <c r="AF47" s="70">
        <f t="shared" si="11"/>
        <v>2600</v>
      </c>
      <c r="AG47" s="70">
        <f t="shared" si="11"/>
        <v>0</v>
      </c>
      <c r="AH47" s="70">
        <f t="shared" si="11"/>
        <v>342840</v>
      </c>
      <c r="AI47" s="70">
        <f t="shared" si="11"/>
        <v>107300</v>
      </c>
      <c r="AJ47" s="70">
        <f t="shared" si="11"/>
        <v>4160</v>
      </c>
      <c r="AK47" s="70">
        <f t="shared" si="11"/>
        <v>37935</v>
      </c>
      <c r="AL47" s="70">
        <f t="shared" si="11"/>
        <v>559032.25</v>
      </c>
      <c r="AM47" s="70">
        <f t="shared" si="11"/>
        <v>59726</v>
      </c>
      <c r="AN47" s="70">
        <f t="shared" si="11"/>
        <v>0</v>
      </c>
      <c r="AO47" s="70">
        <f t="shared" si="11"/>
        <v>200</v>
      </c>
      <c r="AP47" s="70">
        <f t="shared" si="11"/>
        <v>2000</v>
      </c>
      <c r="AQ47" s="70">
        <f t="shared" si="11"/>
        <v>700</v>
      </c>
      <c r="AR47" s="70">
        <f t="shared" si="11"/>
        <v>200</v>
      </c>
      <c r="AS47" s="70">
        <f t="shared" si="11"/>
        <v>7080</v>
      </c>
      <c r="AT47" s="70">
        <f t="shared" si="11"/>
        <v>248000</v>
      </c>
      <c r="AU47" s="70">
        <f t="shared" si="11"/>
        <v>-1</v>
      </c>
      <c r="AV47" s="70">
        <f t="shared" si="11"/>
        <v>1</v>
      </c>
      <c r="AW47" s="70">
        <f t="shared" si="11"/>
        <v>9</v>
      </c>
      <c r="AX47" s="70">
        <f t="shared" si="11"/>
        <v>79360</v>
      </c>
      <c r="AY47" s="70">
        <f t="shared" si="11"/>
        <v>1</v>
      </c>
      <c r="AZ47" s="70">
        <f t="shared" si="11"/>
        <v>1505</v>
      </c>
      <c r="BA47" s="70">
        <f t="shared" si="11"/>
        <v>112200</v>
      </c>
      <c r="BB47" s="70">
        <f t="shared" si="11"/>
        <v>1200</v>
      </c>
      <c r="BC47" s="70">
        <f t="shared" si="11"/>
        <v>53720</v>
      </c>
      <c r="BD47" s="70">
        <f t="shared" si="11"/>
        <v>504</v>
      </c>
      <c r="BE47" s="70">
        <f t="shared" si="11"/>
        <v>616196.4</v>
      </c>
      <c r="BF47" s="70">
        <f t="shared" si="11"/>
        <v>4</v>
      </c>
      <c r="BG47" s="70">
        <f t="shared" si="6"/>
        <v>16335060.810000001</v>
      </c>
      <c r="BH47" s="70">
        <f t="shared" si="2"/>
        <v>3384639.8</v>
      </c>
      <c r="BI47" s="70">
        <f t="shared" si="3"/>
        <v>11208783.359999999</v>
      </c>
      <c r="BJ47" s="70">
        <f t="shared" si="4"/>
        <v>1741637.65</v>
      </c>
    </row>
    <row r="48" spans="3:62" x14ac:dyDescent="0.3">
      <c r="D48">
        <v>1070</v>
      </c>
      <c r="E48" t="s">
        <v>351</v>
      </c>
      <c r="F48" s="4">
        <v>2601</v>
      </c>
      <c r="G48" s="4">
        <v>200</v>
      </c>
      <c r="H48" s="4">
        <v>0</v>
      </c>
      <c r="I48" s="4">
        <v>2695</v>
      </c>
      <c r="J48" s="4">
        <v>241403</v>
      </c>
      <c r="K48" s="4">
        <v>1240</v>
      </c>
      <c r="L48" s="4">
        <v>20000</v>
      </c>
      <c r="M48" s="4">
        <v>774920</v>
      </c>
      <c r="N48" s="4">
        <v>1240</v>
      </c>
      <c r="O48" s="4">
        <v>0</v>
      </c>
      <c r="P48" s="4">
        <v>257642.5</v>
      </c>
      <c r="Q48" s="4">
        <v>2102</v>
      </c>
      <c r="R48" s="4">
        <v>25853.15</v>
      </c>
      <c r="S48" s="4">
        <v>200</v>
      </c>
      <c r="T48" s="4">
        <v>200</v>
      </c>
      <c r="U48" s="4">
        <v>20800</v>
      </c>
      <c r="V48" s="4">
        <v>0</v>
      </c>
      <c r="W48" s="4">
        <v>950.55</v>
      </c>
      <c r="X48" s="4">
        <v>5607</v>
      </c>
      <c r="Y48" s="4">
        <v>0</v>
      </c>
      <c r="Z48" s="4">
        <v>611</v>
      </c>
      <c r="AA48" s="4">
        <v>904847</v>
      </c>
      <c r="AB48" s="4">
        <v>689.15</v>
      </c>
      <c r="AC48" s="4">
        <v>65245</v>
      </c>
      <c r="AD48" s="4">
        <v>39680</v>
      </c>
      <c r="AE48" s="4">
        <v>744</v>
      </c>
      <c r="AF48" s="4">
        <v>2600</v>
      </c>
      <c r="AG48" s="4">
        <v>0</v>
      </c>
      <c r="AH48" s="4">
        <v>342840</v>
      </c>
      <c r="AI48" s="4">
        <v>107300</v>
      </c>
      <c r="AJ48" s="4">
        <v>4160</v>
      </c>
      <c r="AK48" s="4">
        <v>37935</v>
      </c>
      <c r="AL48" s="4">
        <v>459032.25</v>
      </c>
      <c r="AM48" s="4">
        <v>59726</v>
      </c>
      <c r="AN48" s="4">
        <v>0</v>
      </c>
      <c r="AO48" s="4">
        <v>200</v>
      </c>
      <c r="AP48" s="4">
        <v>2000</v>
      </c>
      <c r="AQ48" s="4">
        <v>700</v>
      </c>
      <c r="AR48" s="4">
        <v>200</v>
      </c>
      <c r="AS48" s="4">
        <v>7080</v>
      </c>
      <c r="AT48" s="4">
        <v>248000</v>
      </c>
      <c r="AU48" s="4">
        <v>0</v>
      </c>
      <c r="AV48" s="4">
        <v>1</v>
      </c>
      <c r="AW48" s="4">
        <v>9</v>
      </c>
      <c r="AX48" s="4">
        <v>79360</v>
      </c>
      <c r="AY48" s="4">
        <v>1</v>
      </c>
      <c r="AZ48" s="4">
        <v>1505</v>
      </c>
      <c r="BA48" s="4">
        <v>112200</v>
      </c>
      <c r="BB48" s="4">
        <v>1200</v>
      </c>
      <c r="BC48" s="4">
        <v>53720</v>
      </c>
      <c r="BD48" s="4">
        <v>504</v>
      </c>
      <c r="BE48" s="4">
        <v>613695.4</v>
      </c>
      <c r="BF48" s="4">
        <v>4</v>
      </c>
      <c r="BG48" s="80">
        <f t="shared" si="6"/>
        <v>4503443</v>
      </c>
      <c r="BH48" s="80">
        <f t="shared" si="2"/>
        <v>1357654.2</v>
      </c>
      <c r="BI48" s="80">
        <f t="shared" si="3"/>
        <v>1506651.15</v>
      </c>
      <c r="BJ48" s="80">
        <f t="shared" si="4"/>
        <v>1639137.65</v>
      </c>
    </row>
    <row r="49" spans="3:62" x14ac:dyDescent="0.3">
      <c r="D49">
        <v>1071</v>
      </c>
      <c r="E49" t="s">
        <v>352</v>
      </c>
      <c r="F49" s="4">
        <v>0</v>
      </c>
      <c r="G49" s="4">
        <v>0</v>
      </c>
      <c r="H49" s="4">
        <v>0</v>
      </c>
      <c r="I49" s="4">
        <v>0</v>
      </c>
      <c r="J49" s="4">
        <v>33750</v>
      </c>
      <c r="K49" s="4">
        <v>0</v>
      </c>
      <c r="L49" s="4">
        <v>0</v>
      </c>
      <c r="M49" s="4">
        <v>998800</v>
      </c>
      <c r="N49" s="4">
        <v>0</v>
      </c>
      <c r="O49" s="4">
        <v>0</v>
      </c>
      <c r="P49" s="4">
        <v>0</v>
      </c>
      <c r="Q49" s="4">
        <v>0</v>
      </c>
      <c r="R49" s="4">
        <v>0</v>
      </c>
      <c r="S49" s="4">
        <v>0</v>
      </c>
      <c r="T49" s="4">
        <v>0</v>
      </c>
      <c r="U49" s="4">
        <v>967705.59999999998</v>
      </c>
      <c r="V49" s="4">
        <v>0</v>
      </c>
      <c r="W49" s="4">
        <v>0</v>
      </c>
      <c r="X49" s="4">
        <v>0</v>
      </c>
      <c r="Y49" s="4">
        <v>0</v>
      </c>
      <c r="Z49" s="4">
        <v>123806.44</v>
      </c>
      <c r="AA49" s="4">
        <v>9347142.9000000004</v>
      </c>
      <c r="AB49" s="4">
        <v>224088.12</v>
      </c>
      <c r="AC49" s="4">
        <v>7094.75</v>
      </c>
      <c r="AD49" s="4">
        <v>0</v>
      </c>
      <c r="AE49" s="4">
        <v>0</v>
      </c>
      <c r="AF49" s="4">
        <v>0</v>
      </c>
      <c r="AG49" s="4">
        <v>0</v>
      </c>
      <c r="AH49" s="4">
        <v>0</v>
      </c>
      <c r="AI49" s="4">
        <v>0</v>
      </c>
      <c r="AJ49" s="4">
        <v>0</v>
      </c>
      <c r="AK49" s="4">
        <v>0</v>
      </c>
      <c r="AL49" s="4">
        <v>100000</v>
      </c>
      <c r="AM49" s="4">
        <v>0</v>
      </c>
      <c r="AN49" s="4">
        <v>0</v>
      </c>
      <c r="AO49" s="4">
        <v>0</v>
      </c>
      <c r="AP49" s="4">
        <v>0</v>
      </c>
      <c r="AQ49" s="4">
        <v>0</v>
      </c>
      <c r="AR49" s="4">
        <v>0</v>
      </c>
      <c r="AS49" s="4">
        <v>0</v>
      </c>
      <c r="AT49" s="4">
        <v>0</v>
      </c>
      <c r="AU49" s="4">
        <v>-1</v>
      </c>
      <c r="AV49" s="4">
        <v>0</v>
      </c>
      <c r="AW49" s="4">
        <v>0</v>
      </c>
      <c r="AX49" s="4">
        <v>0</v>
      </c>
      <c r="AY49" s="4">
        <v>0</v>
      </c>
      <c r="AZ49" s="4">
        <v>0</v>
      </c>
      <c r="BA49" s="4">
        <v>0</v>
      </c>
      <c r="BB49" s="4">
        <v>0</v>
      </c>
      <c r="BC49" s="4">
        <v>0</v>
      </c>
      <c r="BD49" s="4">
        <v>0</v>
      </c>
      <c r="BE49" s="4">
        <v>2501</v>
      </c>
      <c r="BF49" s="4">
        <v>0</v>
      </c>
      <c r="BG49" s="80">
        <f t="shared" si="6"/>
        <v>11804887.810000001</v>
      </c>
      <c r="BH49" s="80">
        <f t="shared" si="2"/>
        <v>2000255.6</v>
      </c>
      <c r="BI49" s="80">
        <f t="shared" si="3"/>
        <v>9702132.209999999</v>
      </c>
      <c r="BJ49" s="80">
        <f t="shared" si="4"/>
        <v>102500</v>
      </c>
    </row>
    <row r="50" spans="3:62" x14ac:dyDescent="0.3">
      <c r="D50">
        <v>1072</v>
      </c>
      <c r="E50" t="s">
        <v>353</v>
      </c>
      <c r="F50" s="4">
        <v>0</v>
      </c>
      <c r="G50" s="4">
        <v>0</v>
      </c>
      <c r="H50" s="4">
        <v>0</v>
      </c>
      <c r="I50" s="4">
        <v>0</v>
      </c>
      <c r="J50" s="4">
        <v>0</v>
      </c>
      <c r="K50" s="4">
        <v>0</v>
      </c>
      <c r="L50" s="4">
        <v>0</v>
      </c>
      <c r="M50" s="4">
        <v>0</v>
      </c>
      <c r="N50" s="4">
        <v>0</v>
      </c>
      <c r="O50" s="4">
        <v>0</v>
      </c>
      <c r="P50" s="4">
        <v>26730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26730</v>
      </c>
      <c r="BH50" s="80">
        <f t="shared" si="2"/>
        <v>26730</v>
      </c>
      <c r="BI50" s="80">
        <f t="shared" si="3"/>
        <v>0</v>
      </c>
      <c r="BJ50" s="80">
        <f t="shared" si="4"/>
        <v>0</v>
      </c>
    </row>
    <row r="51" spans="3:62" x14ac:dyDescent="0.3">
      <c r="D51">
        <v>1079</v>
      </c>
      <c r="E51" t="s">
        <v>354</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3">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3">
      <c r="C53" s="69">
        <v>108</v>
      </c>
      <c r="D53" s="69"/>
      <c r="E53" s="69" t="s">
        <v>253</v>
      </c>
      <c r="F53" s="70">
        <f>F54+F55+F56+F57+F58+F59</f>
        <v>262154.7</v>
      </c>
      <c r="G53" s="70">
        <f t="shared" ref="G53:BF53" si="12">G54+G55+G56+G57+G58+G59</f>
        <v>799655.85</v>
      </c>
      <c r="H53" s="70">
        <f t="shared" si="12"/>
        <v>1706767.45</v>
      </c>
      <c r="I53" s="70">
        <f t="shared" si="12"/>
        <v>2502269.15</v>
      </c>
      <c r="J53" s="70">
        <f t="shared" si="12"/>
        <v>7418070</v>
      </c>
      <c r="K53" s="70">
        <f t="shared" si="12"/>
        <v>3017950</v>
      </c>
      <c r="L53" s="70">
        <f t="shared" si="12"/>
        <v>4465600</v>
      </c>
      <c r="M53" s="70">
        <f t="shared" si="12"/>
        <v>16954220</v>
      </c>
      <c r="N53" s="70">
        <f t="shared" si="12"/>
        <v>1670728</v>
      </c>
      <c r="O53" s="70">
        <f t="shared" si="12"/>
        <v>0</v>
      </c>
      <c r="P53" s="70">
        <f t="shared" si="12"/>
        <v>5948935.2599999998</v>
      </c>
      <c r="Q53" s="70">
        <f t="shared" si="12"/>
        <v>989130.63000000012</v>
      </c>
      <c r="R53" s="70">
        <f t="shared" si="12"/>
        <v>0</v>
      </c>
      <c r="S53" s="70">
        <f t="shared" si="12"/>
        <v>549000</v>
      </c>
      <c r="T53" s="70">
        <f t="shared" si="12"/>
        <v>370121.75</v>
      </c>
      <c r="U53" s="70">
        <f t="shared" si="12"/>
        <v>2713585.15</v>
      </c>
      <c r="V53" s="70">
        <f t="shared" si="12"/>
        <v>448000</v>
      </c>
      <c r="W53" s="70">
        <f t="shared" si="12"/>
        <v>320000</v>
      </c>
      <c r="X53" s="70">
        <f t="shared" si="12"/>
        <v>1219341</v>
      </c>
      <c r="Y53" s="70">
        <f t="shared" si="12"/>
        <v>385300</v>
      </c>
      <c r="Z53" s="70">
        <f t="shared" si="12"/>
        <v>449300</v>
      </c>
      <c r="AA53" s="70">
        <f t="shared" si="12"/>
        <v>986577.45</v>
      </c>
      <c r="AB53" s="70">
        <f t="shared" si="12"/>
        <v>0</v>
      </c>
      <c r="AC53" s="70">
        <f t="shared" si="12"/>
        <v>30</v>
      </c>
      <c r="AD53" s="70">
        <f t="shared" si="12"/>
        <v>1163924.1499999999</v>
      </c>
      <c r="AE53" s="70">
        <f t="shared" si="12"/>
        <v>1297416.8999999999</v>
      </c>
      <c r="AF53" s="70">
        <f t="shared" si="12"/>
        <v>0</v>
      </c>
      <c r="AG53" s="70">
        <f t="shared" si="12"/>
        <v>756784.6</v>
      </c>
      <c r="AH53" s="70">
        <f t="shared" si="12"/>
        <v>2181155.4</v>
      </c>
      <c r="AI53" s="70">
        <f t="shared" si="12"/>
        <v>600000</v>
      </c>
      <c r="AJ53" s="70">
        <f t="shared" si="12"/>
        <v>0</v>
      </c>
      <c r="AK53" s="70">
        <f t="shared" si="12"/>
        <v>1069350</v>
      </c>
      <c r="AL53" s="70">
        <f t="shared" si="12"/>
        <v>420000</v>
      </c>
      <c r="AM53" s="70">
        <f t="shared" si="12"/>
        <v>1120874.3999999999</v>
      </c>
      <c r="AN53" s="70">
        <f t="shared" si="12"/>
        <v>1910709</v>
      </c>
      <c r="AO53" s="70">
        <f t="shared" si="12"/>
        <v>164784.5</v>
      </c>
      <c r="AP53" s="70">
        <f t="shared" si="12"/>
        <v>9753105</v>
      </c>
      <c r="AQ53" s="70">
        <f t="shared" si="12"/>
        <v>907020</v>
      </c>
      <c r="AR53" s="70">
        <f t="shared" si="12"/>
        <v>294546</v>
      </c>
      <c r="AS53" s="70">
        <f t="shared" si="12"/>
        <v>6764738.9000000004</v>
      </c>
      <c r="AT53" s="70">
        <f t="shared" si="12"/>
        <v>554697</v>
      </c>
      <c r="AU53" s="70">
        <f t="shared" si="12"/>
        <v>723170</v>
      </c>
      <c r="AV53" s="70">
        <f t="shared" si="12"/>
        <v>324351.75</v>
      </c>
      <c r="AW53" s="70">
        <f t="shared" si="12"/>
        <v>0</v>
      </c>
      <c r="AX53" s="70">
        <f t="shared" si="12"/>
        <v>635813.44999999995</v>
      </c>
      <c r="AY53" s="70">
        <f t="shared" si="12"/>
        <v>88100</v>
      </c>
      <c r="AZ53" s="70">
        <f t="shared" si="12"/>
        <v>231980</v>
      </c>
      <c r="BA53" s="70">
        <f t="shared" si="12"/>
        <v>1230521</v>
      </c>
      <c r="BB53" s="70">
        <f t="shared" si="12"/>
        <v>398785</v>
      </c>
      <c r="BC53" s="70">
        <f t="shared" si="12"/>
        <v>2038102.8</v>
      </c>
      <c r="BD53" s="70">
        <f t="shared" si="12"/>
        <v>5340</v>
      </c>
      <c r="BE53" s="70">
        <f t="shared" si="12"/>
        <v>9229542.0600000005</v>
      </c>
      <c r="BF53" s="70">
        <f t="shared" si="12"/>
        <v>895335</v>
      </c>
      <c r="BG53" s="70">
        <f t="shared" si="6"/>
        <v>97936883.300000012</v>
      </c>
      <c r="BH53" s="70">
        <f t="shared" si="2"/>
        <v>51355528.939999998</v>
      </c>
      <c r="BI53" s="70">
        <f t="shared" si="3"/>
        <v>8889838.5</v>
      </c>
      <c r="BJ53" s="70">
        <f t="shared" si="4"/>
        <v>37691515.859999999</v>
      </c>
    </row>
    <row r="54" spans="3:62" x14ac:dyDescent="0.3">
      <c r="D54">
        <v>1080</v>
      </c>
      <c r="E54" t="s">
        <v>356</v>
      </c>
      <c r="F54" s="4">
        <v>0</v>
      </c>
      <c r="G54" s="4">
        <v>30800</v>
      </c>
      <c r="H54" s="4">
        <v>169116</v>
      </c>
      <c r="I54" s="4">
        <v>205805</v>
      </c>
      <c r="J54" s="4">
        <v>784520</v>
      </c>
      <c r="K54" s="4">
        <v>257950</v>
      </c>
      <c r="L54" s="4">
        <v>964800</v>
      </c>
      <c r="M54" s="4">
        <v>10740740</v>
      </c>
      <c r="N54" s="4">
        <v>1220178</v>
      </c>
      <c r="O54" s="4">
        <v>0</v>
      </c>
      <c r="P54" s="4">
        <v>2306481.87</v>
      </c>
      <c r="Q54" s="4">
        <v>294856.08</v>
      </c>
      <c r="R54" s="4">
        <v>0</v>
      </c>
      <c r="S54" s="4">
        <v>0</v>
      </c>
      <c r="T54" s="4">
        <v>370121.75</v>
      </c>
      <c r="U54" s="4">
        <v>2713585.15</v>
      </c>
      <c r="V54" s="4">
        <v>0</v>
      </c>
      <c r="W54" s="4">
        <v>0</v>
      </c>
      <c r="X54" s="4">
        <v>661440</v>
      </c>
      <c r="Y54" s="4">
        <v>0</v>
      </c>
      <c r="Z54" s="4">
        <v>449300</v>
      </c>
      <c r="AA54" s="4">
        <v>848477.45</v>
      </c>
      <c r="AB54" s="4">
        <v>0</v>
      </c>
      <c r="AC54" s="4">
        <v>30</v>
      </c>
      <c r="AD54" s="4">
        <v>620279.75</v>
      </c>
      <c r="AE54" s="4">
        <v>122402.5</v>
      </c>
      <c r="AF54" s="4">
        <v>0</v>
      </c>
      <c r="AG54" s="4">
        <v>0</v>
      </c>
      <c r="AH54" s="4">
        <v>626155.4</v>
      </c>
      <c r="AI54" s="4">
        <v>0</v>
      </c>
      <c r="AJ54" s="4">
        <v>0</v>
      </c>
      <c r="AK54" s="4">
        <v>8710</v>
      </c>
      <c r="AL54" s="4">
        <v>0</v>
      </c>
      <c r="AM54" s="4">
        <v>654397</v>
      </c>
      <c r="AN54" s="4">
        <v>646092</v>
      </c>
      <c r="AO54" s="4">
        <v>164784.5</v>
      </c>
      <c r="AP54" s="4">
        <v>7214915</v>
      </c>
      <c r="AQ54" s="4">
        <v>49940</v>
      </c>
      <c r="AR54" s="4">
        <v>294546</v>
      </c>
      <c r="AS54" s="4">
        <v>213920</v>
      </c>
      <c r="AT54" s="4">
        <v>55797</v>
      </c>
      <c r="AU54" s="4">
        <v>3680</v>
      </c>
      <c r="AV54" s="4">
        <v>324351.75</v>
      </c>
      <c r="AW54" s="4">
        <v>0</v>
      </c>
      <c r="AX54" s="4">
        <v>108080</v>
      </c>
      <c r="AY54" s="4">
        <v>88100</v>
      </c>
      <c r="AZ54" s="4">
        <v>73980</v>
      </c>
      <c r="BA54" s="4">
        <v>721691</v>
      </c>
      <c r="BB54" s="4">
        <v>158785</v>
      </c>
      <c r="BC54" s="4">
        <v>888072</v>
      </c>
      <c r="BD54" s="4">
        <v>5340</v>
      </c>
      <c r="BE54" s="4">
        <v>7593001.71</v>
      </c>
      <c r="BF54" s="4">
        <v>185335</v>
      </c>
      <c r="BG54" s="80">
        <f t="shared" si="6"/>
        <v>42840556.909999996</v>
      </c>
      <c r="BH54" s="80">
        <f t="shared" si="2"/>
        <v>20720393.849999998</v>
      </c>
      <c r="BI54" s="80">
        <f t="shared" si="3"/>
        <v>2675355.1</v>
      </c>
      <c r="BJ54" s="80">
        <f t="shared" si="4"/>
        <v>19444807.960000001</v>
      </c>
    </row>
    <row r="55" spans="3:62" x14ac:dyDescent="0.3">
      <c r="D55">
        <v>1084</v>
      </c>
      <c r="E55" t="s">
        <v>357</v>
      </c>
      <c r="F55" s="4">
        <v>262154.7</v>
      </c>
      <c r="G55" s="4">
        <v>766900</v>
      </c>
      <c r="H55" s="4">
        <v>1537651.45</v>
      </c>
      <c r="I55" s="4">
        <v>2296464.15</v>
      </c>
      <c r="J55" s="4">
        <v>6633550</v>
      </c>
      <c r="K55" s="4">
        <v>2760000</v>
      </c>
      <c r="L55" s="4">
        <v>3500800</v>
      </c>
      <c r="M55" s="4">
        <v>6213480</v>
      </c>
      <c r="N55" s="4">
        <v>450550</v>
      </c>
      <c r="O55" s="4">
        <v>0</v>
      </c>
      <c r="P55" s="4">
        <v>1140840.1000000001</v>
      </c>
      <c r="Q55" s="4">
        <v>694274.55</v>
      </c>
      <c r="R55" s="4">
        <v>0</v>
      </c>
      <c r="S55" s="4">
        <v>549000</v>
      </c>
      <c r="T55" s="4">
        <v>0</v>
      </c>
      <c r="U55" s="4">
        <v>0</v>
      </c>
      <c r="V55" s="4">
        <v>448000</v>
      </c>
      <c r="W55" s="4">
        <v>320000</v>
      </c>
      <c r="X55" s="4">
        <v>557901</v>
      </c>
      <c r="Y55" s="4">
        <v>385300</v>
      </c>
      <c r="Z55" s="4">
        <v>0</v>
      </c>
      <c r="AA55" s="4">
        <v>138100</v>
      </c>
      <c r="AB55" s="4">
        <v>0</v>
      </c>
      <c r="AC55" s="4">
        <v>0</v>
      </c>
      <c r="AD55" s="4">
        <v>0</v>
      </c>
      <c r="AE55" s="4">
        <v>714728.4</v>
      </c>
      <c r="AF55" s="4">
        <v>0</v>
      </c>
      <c r="AG55" s="4">
        <v>756784.6</v>
      </c>
      <c r="AH55" s="4">
        <v>1555000</v>
      </c>
      <c r="AI55" s="4">
        <v>600000</v>
      </c>
      <c r="AJ55" s="4">
        <v>0</v>
      </c>
      <c r="AK55" s="4">
        <v>1060640</v>
      </c>
      <c r="AL55" s="4">
        <v>420000</v>
      </c>
      <c r="AM55" s="4">
        <v>466477.4</v>
      </c>
      <c r="AN55" s="4">
        <v>1264617</v>
      </c>
      <c r="AO55" s="4">
        <v>0</v>
      </c>
      <c r="AP55" s="4">
        <v>2538190</v>
      </c>
      <c r="AQ55" s="4">
        <v>857080</v>
      </c>
      <c r="AR55" s="4">
        <v>0</v>
      </c>
      <c r="AS55" s="4">
        <v>6074407.2000000002</v>
      </c>
      <c r="AT55" s="4">
        <v>498900</v>
      </c>
      <c r="AU55" s="4">
        <v>719490</v>
      </c>
      <c r="AV55" s="4">
        <v>0</v>
      </c>
      <c r="AW55" s="4">
        <v>0</v>
      </c>
      <c r="AX55" s="4">
        <v>0</v>
      </c>
      <c r="AY55" s="4">
        <v>0</v>
      </c>
      <c r="AZ55" s="4">
        <v>158000</v>
      </c>
      <c r="BA55" s="4">
        <v>508830</v>
      </c>
      <c r="BB55" s="4">
        <v>240000</v>
      </c>
      <c r="BC55" s="4">
        <v>1150030.8</v>
      </c>
      <c r="BD55" s="4">
        <v>0</v>
      </c>
      <c r="BE55" s="4">
        <v>1636540.35</v>
      </c>
      <c r="BF55" s="4">
        <v>710000</v>
      </c>
      <c r="BG55" s="80">
        <f t="shared" si="6"/>
        <v>50584681.700000003</v>
      </c>
      <c r="BH55" s="80">
        <f t="shared" si="2"/>
        <v>28131565.950000003</v>
      </c>
      <c r="BI55" s="80">
        <f t="shared" si="3"/>
        <v>5210553</v>
      </c>
      <c r="BJ55" s="80">
        <f t="shared" si="4"/>
        <v>17242562.75</v>
      </c>
    </row>
    <row r="56" spans="3:62" x14ac:dyDescent="0.3">
      <c r="D56">
        <v>1086</v>
      </c>
      <c r="E56" t="s">
        <v>358</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3">
      <c r="D57">
        <v>1087</v>
      </c>
      <c r="E57" t="s">
        <v>359</v>
      </c>
      <c r="F57" s="4">
        <v>0</v>
      </c>
      <c r="G57" s="4">
        <v>1955.85</v>
      </c>
      <c r="H57" s="4">
        <v>0</v>
      </c>
      <c r="I57" s="4">
        <v>0</v>
      </c>
      <c r="J57" s="4">
        <v>0</v>
      </c>
      <c r="K57" s="4">
        <v>0</v>
      </c>
      <c r="L57" s="4">
        <v>0</v>
      </c>
      <c r="M57" s="4">
        <v>0</v>
      </c>
      <c r="N57" s="4">
        <v>0</v>
      </c>
      <c r="O57" s="4">
        <v>0</v>
      </c>
      <c r="P57" s="4">
        <v>2501613.29</v>
      </c>
      <c r="Q57" s="4">
        <v>0</v>
      </c>
      <c r="R57" s="4">
        <v>0</v>
      </c>
      <c r="S57" s="4">
        <v>0</v>
      </c>
      <c r="T57" s="4">
        <v>0</v>
      </c>
      <c r="U57" s="4">
        <v>0</v>
      </c>
      <c r="V57" s="4">
        <v>0</v>
      </c>
      <c r="W57" s="4">
        <v>0</v>
      </c>
      <c r="X57" s="4">
        <v>0</v>
      </c>
      <c r="Y57" s="4">
        <v>0</v>
      </c>
      <c r="Z57" s="4">
        <v>0</v>
      </c>
      <c r="AA57" s="4">
        <v>0</v>
      </c>
      <c r="AB57" s="4">
        <v>0</v>
      </c>
      <c r="AC57" s="4">
        <v>0</v>
      </c>
      <c r="AD57" s="4">
        <v>543644.4</v>
      </c>
      <c r="AE57" s="4">
        <v>460286</v>
      </c>
      <c r="AF57" s="4">
        <v>0</v>
      </c>
      <c r="AG57" s="4">
        <v>0</v>
      </c>
      <c r="AH57" s="4">
        <v>0</v>
      </c>
      <c r="AI57" s="4">
        <v>0</v>
      </c>
      <c r="AJ57" s="4">
        <v>0</v>
      </c>
      <c r="AK57" s="4">
        <v>0</v>
      </c>
      <c r="AL57" s="4">
        <v>0</v>
      </c>
      <c r="AM57" s="4">
        <v>0</v>
      </c>
      <c r="AN57" s="4">
        <v>0</v>
      </c>
      <c r="AO57" s="4">
        <v>0</v>
      </c>
      <c r="AP57" s="4">
        <v>0</v>
      </c>
      <c r="AQ57" s="4">
        <v>0</v>
      </c>
      <c r="AR57" s="4">
        <v>0</v>
      </c>
      <c r="AS57" s="4">
        <v>476411.7</v>
      </c>
      <c r="AT57" s="4">
        <v>0</v>
      </c>
      <c r="AU57" s="4">
        <v>0</v>
      </c>
      <c r="AV57" s="4">
        <v>0</v>
      </c>
      <c r="AW57" s="4">
        <v>0</v>
      </c>
      <c r="AX57" s="4">
        <v>527733.44999999995</v>
      </c>
      <c r="AY57" s="4">
        <v>0</v>
      </c>
      <c r="AZ57" s="4">
        <v>0</v>
      </c>
      <c r="BA57" s="4">
        <v>0</v>
      </c>
      <c r="BB57" s="4">
        <v>0</v>
      </c>
      <c r="BC57" s="4">
        <v>0</v>
      </c>
      <c r="BD57" s="4">
        <v>0</v>
      </c>
      <c r="BE57" s="4">
        <v>0</v>
      </c>
      <c r="BF57" s="4">
        <v>0</v>
      </c>
      <c r="BG57" s="80">
        <f t="shared" si="6"/>
        <v>4511644.6900000004</v>
      </c>
      <c r="BH57" s="80">
        <f t="shared" si="2"/>
        <v>2503569.14</v>
      </c>
      <c r="BI57" s="80">
        <f t="shared" si="3"/>
        <v>1003930.4</v>
      </c>
      <c r="BJ57" s="80">
        <f t="shared" si="4"/>
        <v>1004145.1499999999</v>
      </c>
    </row>
    <row r="58" spans="3:62" x14ac:dyDescent="0.3">
      <c r="D58">
        <v>1088</v>
      </c>
      <c r="E58" t="s">
        <v>360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3">
      <c r="D59">
        <v>1089</v>
      </c>
      <c r="E59" t="s">
        <v>361</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c r="BC59" s="4">
        <v>0</v>
      </c>
      <c r="BD59" s="4">
        <v>0</v>
      </c>
      <c r="BE59" s="4">
        <v>0</v>
      </c>
      <c r="BF59" s="4">
        <v>0</v>
      </c>
      <c r="BG59" s="80">
        <f t="shared" si="6"/>
        <v>0</v>
      </c>
      <c r="BH59" s="80">
        <f t="shared" si="2"/>
        <v>0</v>
      </c>
      <c r="BI59" s="80">
        <f t="shared" si="3"/>
        <v>0</v>
      </c>
      <c r="BJ59" s="80">
        <f t="shared" si="4"/>
        <v>0</v>
      </c>
    </row>
    <row r="60" spans="3:62" x14ac:dyDescent="0.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3">
      <c r="C61" s="69">
        <v>109</v>
      </c>
      <c r="D61" s="69"/>
      <c r="E61" s="69" t="s">
        <v>362</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3">
      <c r="D62">
        <v>1090</v>
      </c>
      <c r="E62" t="s">
        <v>362</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3">
      <c r="D63">
        <v>1091</v>
      </c>
      <c r="E63" t="s">
        <v>363</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3">
      <c r="D64">
        <v>1092</v>
      </c>
      <c r="E64" t="s">
        <v>364</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3">
      <c r="D65">
        <v>1093</v>
      </c>
      <c r="E65" t="s">
        <v>365</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3">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3">
      <c r="B67" s="76">
        <v>14</v>
      </c>
      <c r="C67" s="76"/>
      <c r="D67" s="76"/>
      <c r="E67" s="76" t="s">
        <v>254</v>
      </c>
      <c r="F67" s="77">
        <f>F68+F79+F85+F96+F107</f>
        <v>7741742.2700000014</v>
      </c>
      <c r="G67" s="77">
        <f t="shared" ref="G67:BF67" si="14">G68+G79+G85+G96+G107</f>
        <v>1764273.9</v>
      </c>
      <c r="H67" s="77">
        <f t="shared" si="14"/>
        <v>2918575.9499999997</v>
      </c>
      <c r="I67" s="77">
        <f t="shared" si="14"/>
        <v>2581806.4</v>
      </c>
      <c r="J67" s="77">
        <f t="shared" si="14"/>
        <v>20959042.609999999</v>
      </c>
      <c r="K67" s="77">
        <f t="shared" si="14"/>
        <v>24060211.239999998</v>
      </c>
      <c r="L67" s="77">
        <f t="shared" si="14"/>
        <v>10820823.84</v>
      </c>
      <c r="M67" s="77">
        <f t="shared" si="14"/>
        <v>120067469.23999999</v>
      </c>
      <c r="N67" s="77">
        <f t="shared" si="14"/>
        <v>6840634.9100000001</v>
      </c>
      <c r="O67" s="77">
        <f t="shared" si="14"/>
        <v>1258697.8400000001</v>
      </c>
      <c r="P67" s="77">
        <f t="shared" si="14"/>
        <v>33236975.25</v>
      </c>
      <c r="Q67" s="77">
        <f t="shared" si="14"/>
        <v>2785539.79</v>
      </c>
      <c r="R67" s="77">
        <f t="shared" si="14"/>
        <v>443395.9</v>
      </c>
      <c r="S67" s="77">
        <f t="shared" si="14"/>
        <v>2659962.85</v>
      </c>
      <c r="T67" s="77">
        <f t="shared" si="14"/>
        <v>3175021.95</v>
      </c>
      <c r="U67" s="77">
        <f t="shared" si="14"/>
        <v>2647775.8499999996</v>
      </c>
      <c r="V67" s="77">
        <f t="shared" si="14"/>
        <v>1045550</v>
      </c>
      <c r="W67" s="77">
        <f t="shared" si="14"/>
        <v>2804306.3</v>
      </c>
      <c r="X67" s="77">
        <f t="shared" si="14"/>
        <v>15275418.18</v>
      </c>
      <c r="Y67" s="77">
        <f t="shared" si="14"/>
        <v>2050358.7999999998</v>
      </c>
      <c r="Z67" s="77">
        <f t="shared" si="14"/>
        <v>10451976.529999999</v>
      </c>
      <c r="AA67" s="77">
        <f t="shared" si="14"/>
        <v>8171091.6299999999</v>
      </c>
      <c r="AB67" s="77">
        <f t="shared" si="14"/>
        <v>909265</v>
      </c>
      <c r="AC67" s="77">
        <f t="shared" si="14"/>
        <v>1352711.45</v>
      </c>
      <c r="AD67" s="77">
        <f t="shared" si="14"/>
        <v>2879972.15</v>
      </c>
      <c r="AE67" s="77">
        <f t="shared" si="14"/>
        <v>6705684.1699999999</v>
      </c>
      <c r="AF67" s="77">
        <f t="shared" si="14"/>
        <v>4378818.79</v>
      </c>
      <c r="AG67" s="77">
        <f t="shared" si="14"/>
        <v>4085789.2</v>
      </c>
      <c r="AH67" s="77">
        <f t="shared" si="14"/>
        <v>7419832.6399999987</v>
      </c>
      <c r="AI67" s="77">
        <f t="shared" si="14"/>
        <v>17958980.48</v>
      </c>
      <c r="AJ67" s="77">
        <f t="shared" si="14"/>
        <v>1967047.0999999999</v>
      </c>
      <c r="AK67" s="77">
        <f t="shared" si="14"/>
        <v>1165850.1499999999</v>
      </c>
      <c r="AL67" s="77">
        <f t="shared" si="14"/>
        <v>16054296.609999998</v>
      </c>
      <c r="AM67" s="77">
        <f t="shared" si="14"/>
        <v>10933633.85</v>
      </c>
      <c r="AN67" s="77">
        <f t="shared" si="14"/>
        <v>9940406.6499999985</v>
      </c>
      <c r="AO67" s="77">
        <f t="shared" si="14"/>
        <v>2007810.02</v>
      </c>
      <c r="AP67" s="77">
        <f t="shared" si="14"/>
        <v>15910034.4</v>
      </c>
      <c r="AQ67" s="77">
        <f t="shared" si="14"/>
        <v>4109720.6499999994</v>
      </c>
      <c r="AR67" s="77">
        <f t="shared" si="14"/>
        <v>3506340.0400000005</v>
      </c>
      <c r="AS67" s="77">
        <f t="shared" si="14"/>
        <v>8992553.7799999993</v>
      </c>
      <c r="AT67" s="77">
        <f t="shared" si="14"/>
        <v>5283949.75</v>
      </c>
      <c r="AU67" s="77">
        <f t="shared" si="14"/>
        <v>5895879.04</v>
      </c>
      <c r="AV67" s="77">
        <f t="shared" si="14"/>
        <v>2716942.65</v>
      </c>
      <c r="AW67" s="77">
        <f t="shared" si="14"/>
        <v>15179563.379999999</v>
      </c>
      <c r="AX67" s="77">
        <f t="shared" si="14"/>
        <v>5323639.7</v>
      </c>
      <c r="AY67" s="77">
        <f t="shared" si="14"/>
        <v>869070</v>
      </c>
      <c r="AZ67" s="77">
        <f t="shared" si="14"/>
        <v>1581090</v>
      </c>
      <c r="BA67" s="77">
        <f t="shared" si="14"/>
        <v>19312071.699999999</v>
      </c>
      <c r="BB67" s="77">
        <f t="shared" si="14"/>
        <v>1897389.4100000001</v>
      </c>
      <c r="BC67" s="77">
        <f t="shared" si="14"/>
        <v>9908864.8200000003</v>
      </c>
      <c r="BD67" s="77">
        <f t="shared" si="14"/>
        <v>646588.25</v>
      </c>
      <c r="BE67" s="77">
        <f t="shared" si="14"/>
        <v>49585000.859999992</v>
      </c>
      <c r="BF67" s="77">
        <f t="shared" si="14"/>
        <v>3533927.65</v>
      </c>
      <c r="BG67" s="77">
        <f t="shared" si="6"/>
        <v>525773375.56999987</v>
      </c>
      <c r="BH67" s="77">
        <f t="shared" si="2"/>
        <v>263087224.26999998</v>
      </c>
      <c r="BI67" s="77">
        <f t="shared" si="3"/>
        <v>69497378.090000004</v>
      </c>
      <c r="BJ67" s="77">
        <f t="shared" si="4"/>
        <v>193188773.21000001</v>
      </c>
      <c r="BK67" s="41"/>
    </row>
    <row r="68" spans="2:63" x14ac:dyDescent="0.3">
      <c r="C68" s="69">
        <v>140</v>
      </c>
      <c r="D68" s="69"/>
      <c r="E68" s="69" t="s">
        <v>256</v>
      </c>
      <c r="F68" s="70">
        <f>F69+F70+F71+F72+F73+F74+F75+F76+F77</f>
        <v>7741742.2700000014</v>
      </c>
      <c r="G68" s="70">
        <f t="shared" ref="G68:BF68" si="15">G69+G70+G71+G72+G73+G74+G75+G76+G77</f>
        <v>1643726.95</v>
      </c>
      <c r="H68" s="70">
        <f t="shared" si="15"/>
        <v>2899364.65</v>
      </c>
      <c r="I68" s="70">
        <f t="shared" si="15"/>
        <v>2527641.88</v>
      </c>
      <c r="J68" s="70">
        <f t="shared" si="15"/>
        <v>20563128.16</v>
      </c>
      <c r="K68" s="70">
        <f t="shared" si="15"/>
        <v>23312673.539999995</v>
      </c>
      <c r="L68" s="70">
        <f t="shared" si="15"/>
        <v>10471044.34</v>
      </c>
      <c r="M68" s="70">
        <f t="shared" si="15"/>
        <v>118442625.19</v>
      </c>
      <c r="N68" s="70">
        <f t="shared" si="15"/>
        <v>6588238.9100000001</v>
      </c>
      <c r="O68" s="70">
        <f t="shared" si="15"/>
        <v>1258697.8400000001</v>
      </c>
      <c r="P68" s="70">
        <f t="shared" si="15"/>
        <v>32820851.850000001</v>
      </c>
      <c r="Q68" s="70">
        <f t="shared" si="15"/>
        <v>2785539.79</v>
      </c>
      <c r="R68" s="70">
        <f t="shared" si="15"/>
        <v>388650.9</v>
      </c>
      <c r="S68" s="70">
        <f t="shared" si="15"/>
        <v>2659962.85</v>
      </c>
      <c r="T68" s="70">
        <f t="shared" si="15"/>
        <v>3169710.95</v>
      </c>
      <c r="U68" s="70">
        <f t="shared" si="15"/>
        <v>2647774.8499999996</v>
      </c>
      <c r="V68" s="70">
        <f t="shared" si="15"/>
        <v>972650</v>
      </c>
      <c r="W68" s="70">
        <f t="shared" si="15"/>
        <v>2643606.2999999998</v>
      </c>
      <c r="X68" s="70">
        <f t="shared" si="15"/>
        <v>14775578.629999999</v>
      </c>
      <c r="Y68" s="70">
        <f t="shared" si="15"/>
        <v>2050347.7999999998</v>
      </c>
      <c r="Z68" s="70">
        <f t="shared" si="15"/>
        <v>9872530.1799999997</v>
      </c>
      <c r="AA68" s="70">
        <f t="shared" si="15"/>
        <v>8171091.6299999999</v>
      </c>
      <c r="AB68" s="70">
        <f t="shared" si="15"/>
        <v>735665</v>
      </c>
      <c r="AC68" s="70">
        <f t="shared" si="15"/>
        <v>1352711.45</v>
      </c>
      <c r="AD68" s="70">
        <f t="shared" si="15"/>
        <v>2605202.15</v>
      </c>
      <c r="AE68" s="70">
        <f t="shared" si="15"/>
        <v>6705684.1699999999</v>
      </c>
      <c r="AF68" s="70">
        <f t="shared" si="15"/>
        <v>4295867.99</v>
      </c>
      <c r="AG68" s="70">
        <f t="shared" si="15"/>
        <v>3925779.2</v>
      </c>
      <c r="AH68" s="70">
        <f t="shared" si="15"/>
        <v>7304980.8399999989</v>
      </c>
      <c r="AI68" s="70">
        <f t="shared" si="15"/>
        <v>17208174.629999999</v>
      </c>
      <c r="AJ68" s="70">
        <f t="shared" si="15"/>
        <v>1697601.0999999999</v>
      </c>
      <c r="AK68" s="70">
        <f t="shared" si="15"/>
        <v>1165850.1499999999</v>
      </c>
      <c r="AL68" s="70">
        <f t="shared" si="15"/>
        <v>15616956.909999998</v>
      </c>
      <c r="AM68" s="70">
        <f t="shared" si="15"/>
        <v>10933633.85</v>
      </c>
      <c r="AN68" s="70">
        <f t="shared" si="15"/>
        <v>9292395.0499999989</v>
      </c>
      <c r="AO68" s="70">
        <f t="shared" si="15"/>
        <v>2005301.02</v>
      </c>
      <c r="AP68" s="70">
        <f t="shared" si="15"/>
        <v>15777450.6</v>
      </c>
      <c r="AQ68" s="70">
        <f t="shared" si="15"/>
        <v>3745278.7499999995</v>
      </c>
      <c r="AR68" s="70">
        <f t="shared" si="15"/>
        <v>3452336.0400000005</v>
      </c>
      <c r="AS68" s="70">
        <f t="shared" si="15"/>
        <v>8603356.0299999993</v>
      </c>
      <c r="AT68" s="70">
        <f t="shared" si="15"/>
        <v>5254047.75</v>
      </c>
      <c r="AU68" s="70">
        <f t="shared" si="15"/>
        <v>5684539.7400000002</v>
      </c>
      <c r="AV68" s="70">
        <f t="shared" si="15"/>
        <v>2715939.65</v>
      </c>
      <c r="AW68" s="70">
        <f t="shared" si="15"/>
        <v>14879563.379999999</v>
      </c>
      <c r="AX68" s="70">
        <f t="shared" si="15"/>
        <v>5296055.32</v>
      </c>
      <c r="AY68" s="70">
        <f t="shared" si="15"/>
        <v>869070</v>
      </c>
      <c r="AZ68" s="70">
        <f t="shared" si="15"/>
        <v>1570590</v>
      </c>
      <c r="BA68" s="70">
        <f t="shared" si="15"/>
        <v>18561828.550000001</v>
      </c>
      <c r="BB68" s="70">
        <f t="shared" si="15"/>
        <v>1731589.4100000001</v>
      </c>
      <c r="BC68" s="70">
        <f t="shared" si="15"/>
        <v>9484074.3800000008</v>
      </c>
      <c r="BD68" s="70">
        <f t="shared" si="15"/>
        <v>646588.25</v>
      </c>
      <c r="BE68" s="70">
        <f t="shared" si="15"/>
        <v>46681501.819999993</v>
      </c>
      <c r="BF68" s="70">
        <f t="shared" si="15"/>
        <v>3510208</v>
      </c>
      <c r="BG68" s="70">
        <f t="shared" si="6"/>
        <v>511717000.63999999</v>
      </c>
      <c r="BH68" s="70">
        <f t="shared" si="2"/>
        <v>258313209.84999996</v>
      </c>
      <c r="BI68" s="70">
        <f t="shared" si="3"/>
        <v>67091486.289999992</v>
      </c>
      <c r="BJ68" s="70">
        <f t="shared" si="4"/>
        <v>186312304.5</v>
      </c>
    </row>
    <row r="69" spans="2:63" x14ac:dyDescent="0.3">
      <c r="D69">
        <v>1400</v>
      </c>
      <c r="E69" t="s">
        <v>366</v>
      </c>
      <c r="F69" s="4">
        <v>180157</v>
      </c>
      <c r="G69" s="4">
        <v>0</v>
      </c>
      <c r="H69" s="4">
        <v>0</v>
      </c>
      <c r="I69" s="4">
        <v>0</v>
      </c>
      <c r="J69" s="4">
        <v>1008210.15</v>
      </c>
      <c r="K69" s="4">
        <v>909510</v>
      </c>
      <c r="L69" s="4">
        <v>146502.1</v>
      </c>
      <c r="M69" s="4">
        <v>2531481.1</v>
      </c>
      <c r="N69" s="4">
        <v>294700</v>
      </c>
      <c r="O69" s="4">
        <v>0</v>
      </c>
      <c r="P69" s="4">
        <v>2076271.05</v>
      </c>
      <c r="Q69" s="4">
        <v>105747</v>
      </c>
      <c r="R69" s="4">
        <v>0</v>
      </c>
      <c r="S69" s="4">
        <v>216600</v>
      </c>
      <c r="T69" s="4">
        <v>213172.3</v>
      </c>
      <c r="U69" s="4">
        <v>1839062.95</v>
      </c>
      <c r="V69" s="4">
        <v>38100</v>
      </c>
      <c r="W69" s="4">
        <v>0</v>
      </c>
      <c r="X69" s="4">
        <v>253885.4</v>
      </c>
      <c r="Y69" s="4">
        <v>190432</v>
      </c>
      <c r="Z69" s="4">
        <v>0</v>
      </c>
      <c r="AA69" s="4">
        <v>6106121.5499999998</v>
      </c>
      <c r="AB69" s="4">
        <v>240870</v>
      </c>
      <c r="AC69" s="4">
        <v>252850</v>
      </c>
      <c r="AD69" s="4">
        <v>117191.4</v>
      </c>
      <c r="AE69" s="4">
        <v>1030108.1</v>
      </c>
      <c r="AF69" s="4">
        <v>124943</v>
      </c>
      <c r="AG69" s="4">
        <v>1403620</v>
      </c>
      <c r="AH69" s="4">
        <v>238208</v>
      </c>
      <c r="AI69" s="4">
        <v>2579752.5099999998</v>
      </c>
      <c r="AJ69" s="4">
        <v>313841</v>
      </c>
      <c r="AK69" s="4">
        <v>150590</v>
      </c>
      <c r="AL69" s="4">
        <v>4500385.1399999997</v>
      </c>
      <c r="AM69" s="4">
        <v>457290</v>
      </c>
      <c r="AN69" s="4">
        <v>342994.5</v>
      </c>
      <c r="AO69" s="4">
        <v>0</v>
      </c>
      <c r="AP69" s="4">
        <v>319182.2</v>
      </c>
      <c r="AQ69" s="4">
        <v>0</v>
      </c>
      <c r="AR69" s="4">
        <v>1</v>
      </c>
      <c r="AS69" s="4">
        <v>738172.25</v>
      </c>
      <c r="AT69" s="4">
        <v>0</v>
      </c>
      <c r="AU69" s="4">
        <v>413717.6</v>
      </c>
      <c r="AV69" s="4">
        <v>1</v>
      </c>
      <c r="AW69" s="4">
        <v>4279913.2300000004</v>
      </c>
      <c r="AX69" s="4">
        <v>419229.4</v>
      </c>
      <c r="AY69" s="4">
        <v>0</v>
      </c>
      <c r="AZ69" s="4">
        <v>315340</v>
      </c>
      <c r="BA69" s="4">
        <v>618500</v>
      </c>
      <c r="BB69" s="4">
        <v>115270</v>
      </c>
      <c r="BC69" s="4">
        <v>983927.33</v>
      </c>
      <c r="BD69" s="4">
        <v>10988.35</v>
      </c>
      <c r="BE69" s="4">
        <v>135480.60999999999</v>
      </c>
      <c r="BF69" s="4">
        <v>163195</v>
      </c>
      <c r="BG69" s="80">
        <f t="shared" si="6"/>
        <v>36375514.219999999</v>
      </c>
      <c r="BH69" s="80">
        <f t="shared" ref="BH69:BH134" si="16">SUM(F69:X69)</f>
        <v>9813399.0499999989</v>
      </c>
      <c r="BI69" s="80">
        <f t="shared" ref="BI69:BI134" si="17">SUM(Y69:AK69)</f>
        <v>12748527.560000001</v>
      </c>
      <c r="BJ69" s="80">
        <f t="shared" ref="BJ69:BJ134" si="18">SUM(AL69:BF69)</f>
        <v>13813587.609999999</v>
      </c>
    </row>
    <row r="70" spans="2:63" x14ac:dyDescent="0.3">
      <c r="D70">
        <v>1401</v>
      </c>
      <c r="E70" t="s">
        <v>367</v>
      </c>
      <c r="F70" s="4">
        <v>4030584.47</v>
      </c>
      <c r="G70" s="4">
        <v>706952.15</v>
      </c>
      <c r="H70" s="4">
        <v>130500</v>
      </c>
      <c r="I70" s="4">
        <v>667333.89</v>
      </c>
      <c r="J70" s="4">
        <v>2592494.23</v>
      </c>
      <c r="K70" s="4">
        <v>1701444.68</v>
      </c>
      <c r="L70" s="4">
        <v>2697705.7</v>
      </c>
      <c r="M70" s="4">
        <v>14782990.949999999</v>
      </c>
      <c r="N70" s="4">
        <v>1976140</v>
      </c>
      <c r="O70" s="4">
        <v>167440</v>
      </c>
      <c r="P70" s="4">
        <v>12326752.15</v>
      </c>
      <c r="Q70" s="4">
        <v>771709.15</v>
      </c>
      <c r="R70" s="4">
        <v>75442.600000000006</v>
      </c>
      <c r="S70" s="4">
        <v>1266665</v>
      </c>
      <c r="T70" s="4">
        <v>1224475.25</v>
      </c>
      <c r="U70" s="4">
        <v>0</v>
      </c>
      <c r="V70" s="4">
        <v>353250</v>
      </c>
      <c r="W70" s="4">
        <v>1058552.3400000001</v>
      </c>
      <c r="X70" s="4">
        <v>2672789.63</v>
      </c>
      <c r="Y70" s="4">
        <v>93496.15</v>
      </c>
      <c r="Z70" s="4">
        <v>772753.9</v>
      </c>
      <c r="AA70" s="4">
        <v>217273.23</v>
      </c>
      <c r="AB70" s="4">
        <v>1</v>
      </c>
      <c r="AC70" s="4">
        <v>0</v>
      </c>
      <c r="AD70" s="4">
        <v>232197</v>
      </c>
      <c r="AE70" s="4">
        <v>2300703.15</v>
      </c>
      <c r="AF70" s="4">
        <v>684922.69</v>
      </c>
      <c r="AG70" s="4">
        <v>250170.2</v>
      </c>
      <c r="AH70" s="4">
        <v>2801200.01</v>
      </c>
      <c r="AI70" s="4">
        <v>2639934.5</v>
      </c>
      <c r="AJ70" s="4">
        <v>368916.3</v>
      </c>
      <c r="AK70" s="4">
        <v>73760</v>
      </c>
      <c r="AL70" s="4">
        <v>308457.55</v>
      </c>
      <c r="AM70" s="4">
        <v>2744255.25</v>
      </c>
      <c r="AN70" s="4">
        <v>2212647.46</v>
      </c>
      <c r="AO70" s="4">
        <v>170738.25</v>
      </c>
      <c r="AP70" s="4">
        <v>4651455.3</v>
      </c>
      <c r="AQ70" s="4">
        <v>1039691</v>
      </c>
      <c r="AR70" s="4">
        <v>611531.71</v>
      </c>
      <c r="AS70" s="4">
        <v>1161666</v>
      </c>
      <c r="AT70" s="4">
        <v>0</v>
      </c>
      <c r="AU70" s="4">
        <v>753459.59</v>
      </c>
      <c r="AV70" s="4">
        <v>752201</v>
      </c>
      <c r="AW70" s="4">
        <v>0</v>
      </c>
      <c r="AX70" s="4">
        <v>2140654.04</v>
      </c>
      <c r="AY70" s="4">
        <v>368500</v>
      </c>
      <c r="AZ70" s="4">
        <v>243000</v>
      </c>
      <c r="BA70" s="4">
        <v>4782187.5</v>
      </c>
      <c r="BB70" s="4">
        <v>615360</v>
      </c>
      <c r="BC70" s="4">
        <v>3178309.43</v>
      </c>
      <c r="BD70" s="4">
        <v>111859.95</v>
      </c>
      <c r="BE70" s="4">
        <v>11150816.890000001</v>
      </c>
      <c r="BF70" s="4">
        <v>702000</v>
      </c>
      <c r="BG70" s="80">
        <f t="shared" ref="BG70:BG135" si="19">SUM(F70:BF70)</f>
        <v>97337341.24000001</v>
      </c>
      <c r="BH70" s="80">
        <f t="shared" si="16"/>
        <v>49203222.190000005</v>
      </c>
      <c r="BI70" s="80">
        <f t="shared" si="17"/>
        <v>10435328.129999999</v>
      </c>
      <c r="BJ70" s="80">
        <f t="shared" si="18"/>
        <v>37698790.920000002</v>
      </c>
    </row>
    <row r="71" spans="2:63" x14ac:dyDescent="0.3">
      <c r="D71">
        <v>1402</v>
      </c>
      <c r="E71" t="s">
        <v>368</v>
      </c>
      <c r="F71" s="4">
        <v>0</v>
      </c>
      <c r="G71" s="4">
        <v>0</v>
      </c>
      <c r="H71" s="4">
        <v>0</v>
      </c>
      <c r="I71" s="4">
        <v>0</v>
      </c>
      <c r="J71" s="4">
        <v>260003.16</v>
      </c>
      <c r="K71" s="4">
        <v>0</v>
      </c>
      <c r="L71" s="4">
        <v>657538.54</v>
      </c>
      <c r="M71" s="4">
        <v>1761746.11</v>
      </c>
      <c r="N71" s="4">
        <v>0</v>
      </c>
      <c r="O71" s="4">
        <v>0</v>
      </c>
      <c r="P71" s="4">
        <v>129251.85</v>
      </c>
      <c r="Q71" s="4">
        <v>0</v>
      </c>
      <c r="R71" s="4">
        <v>0</v>
      </c>
      <c r="S71" s="4">
        <v>0</v>
      </c>
      <c r="T71" s="4">
        <v>0</v>
      </c>
      <c r="U71" s="4">
        <v>0</v>
      </c>
      <c r="V71" s="4">
        <v>0</v>
      </c>
      <c r="W71" s="4">
        <v>366555.1</v>
      </c>
      <c r="X71" s="4">
        <v>120945.15</v>
      </c>
      <c r="Y71" s="4">
        <v>0</v>
      </c>
      <c r="Z71" s="4">
        <v>0</v>
      </c>
      <c r="AA71" s="4">
        <v>0</v>
      </c>
      <c r="AB71" s="4">
        <v>0</v>
      </c>
      <c r="AC71" s="4">
        <v>0</v>
      </c>
      <c r="AD71" s="4">
        <v>0</v>
      </c>
      <c r="AE71" s="4">
        <v>0</v>
      </c>
      <c r="AF71" s="4">
        <v>1</v>
      </c>
      <c r="AG71" s="4">
        <v>0</v>
      </c>
      <c r="AH71" s="4">
        <v>680</v>
      </c>
      <c r="AI71" s="4">
        <v>0</v>
      </c>
      <c r="AJ71" s="4">
        <v>0</v>
      </c>
      <c r="AK71" s="4">
        <v>0</v>
      </c>
      <c r="AL71" s="4">
        <v>1</v>
      </c>
      <c r="AM71" s="4">
        <v>0</v>
      </c>
      <c r="AN71" s="4">
        <v>42240.55</v>
      </c>
      <c r="AO71" s="4">
        <v>0</v>
      </c>
      <c r="AP71" s="4">
        <v>668870.69999999995</v>
      </c>
      <c r="AQ71" s="4">
        <v>0</v>
      </c>
      <c r="AR71" s="4">
        <v>0</v>
      </c>
      <c r="AS71" s="4">
        <v>0</v>
      </c>
      <c r="AT71" s="4">
        <v>0</v>
      </c>
      <c r="AU71" s="4">
        <v>57739.25</v>
      </c>
      <c r="AV71" s="4">
        <v>1</v>
      </c>
      <c r="AW71" s="4">
        <v>0</v>
      </c>
      <c r="AX71" s="4">
        <v>0</v>
      </c>
      <c r="AY71" s="4">
        <v>0</v>
      </c>
      <c r="AZ71" s="4">
        <v>0</v>
      </c>
      <c r="BA71" s="4">
        <v>122500</v>
      </c>
      <c r="BB71" s="4">
        <v>0</v>
      </c>
      <c r="BC71" s="4">
        <v>0</v>
      </c>
      <c r="BD71" s="4">
        <v>0</v>
      </c>
      <c r="BE71" s="4">
        <v>308681.40000000002</v>
      </c>
      <c r="BF71" s="4">
        <v>0</v>
      </c>
      <c r="BG71" s="80">
        <f t="shared" si="19"/>
        <v>4496754.8100000005</v>
      </c>
      <c r="BH71" s="80">
        <f t="shared" si="16"/>
        <v>3296039.91</v>
      </c>
      <c r="BI71" s="80">
        <f t="shared" si="17"/>
        <v>681</v>
      </c>
      <c r="BJ71" s="80">
        <f t="shared" si="18"/>
        <v>1200033.8999999999</v>
      </c>
    </row>
    <row r="72" spans="2:63" x14ac:dyDescent="0.3">
      <c r="D72">
        <v>1403</v>
      </c>
      <c r="E72" t="s">
        <v>369</v>
      </c>
      <c r="F72" s="4">
        <v>2879859.65</v>
      </c>
      <c r="G72" s="4">
        <v>715535.4</v>
      </c>
      <c r="H72" s="4">
        <v>36583.25</v>
      </c>
      <c r="I72" s="4">
        <v>258837.89</v>
      </c>
      <c r="J72" s="4">
        <v>3098307.71</v>
      </c>
      <c r="K72" s="4">
        <v>5390326.5999999996</v>
      </c>
      <c r="L72" s="4">
        <v>2944402.4</v>
      </c>
      <c r="M72" s="4">
        <v>34405492.460000001</v>
      </c>
      <c r="N72" s="4">
        <v>473356.01</v>
      </c>
      <c r="O72" s="4">
        <v>443384.09</v>
      </c>
      <c r="P72" s="4">
        <v>4708517.5</v>
      </c>
      <c r="Q72" s="4">
        <v>43846.15</v>
      </c>
      <c r="R72" s="4">
        <v>73071.3</v>
      </c>
      <c r="S72" s="4">
        <v>99697.85</v>
      </c>
      <c r="T72" s="4">
        <v>1190964.8500000001</v>
      </c>
      <c r="U72" s="4">
        <v>635750.85</v>
      </c>
      <c r="V72" s="4">
        <v>524900</v>
      </c>
      <c r="W72" s="4">
        <v>400198.86</v>
      </c>
      <c r="X72" s="4">
        <v>1171861.45</v>
      </c>
      <c r="Y72" s="4">
        <v>175380</v>
      </c>
      <c r="Z72" s="4">
        <v>1016940.75</v>
      </c>
      <c r="AA72" s="4">
        <v>0</v>
      </c>
      <c r="AB72" s="4">
        <v>0</v>
      </c>
      <c r="AC72" s="4">
        <v>0</v>
      </c>
      <c r="AD72" s="4">
        <v>1052721.75</v>
      </c>
      <c r="AE72" s="4">
        <v>428330.11</v>
      </c>
      <c r="AF72" s="4">
        <v>410538.3</v>
      </c>
      <c r="AG72" s="4">
        <v>11456.4</v>
      </c>
      <c r="AH72" s="4">
        <v>723394.63</v>
      </c>
      <c r="AI72" s="4">
        <v>4645041.3499999996</v>
      </c>
      <c r="AJ72" s="4">
        <v>261249.75</v>
      </c>
      <c r="AK72" s="4">
        <v>47250</v>
      </c>
      <c r="AL72" s="4">
        <v>3084692.35</v>
      </c>
      <c r="AM72" s="4">
        <v>3362913.2</v>
      </c>
      <c r="AN72" s="4">
        <v>1308493.6399999999</v>
      </c>
      <c r="AO72" s="4">
        <v>354652.7</v>
      </c>
      <c r="AP72" s="4">
        <v>5373519.8499999996</v>
      </c>
      <c r="AQ72" s="4">
        <v>251319.9</v>
      </c>
      <c r="AR72" s="4">
        <v>1899538.83</v>
      </c>
      <c r="AS72" s="4">
        <v>1150048.68</v>
      </c>
      <c r="AT72" s="4">
        <v>0</v>
      </c>
      <c r="AU72" s="4">
        <v>647604.35</v>
      </c>
      <c r="AV72" s="4">
        <v>1016353.65</v>
      </c>
      <c r="AW72" s="4">
        <v>5388991.7000000002</v>
      </c>
      <c r="AX72" s="4">
        <v>1490757.02</v>
      </c>
      <c r="AY72" s="4">
        <v>73980</v>
      </c>
      <c r="AZ72" s="4">
        <v>170688</v>
      </c>
      <c r="BA72" s="4">
        <v>4161228.05</v>
      </c>
      <c r="BB72" s="4">
        <v>0</v>
      </c>
      <c r="BC72" s="4">
        <v>1052196.69</v>
      </c>
      <c r="BD72" s="4">
        <v>59332</v>
      </c>
      <c r="BE72" s="4">
        <v>1772569.81</v>
      </c>
      <c r="BF72" s="4">
        <v>254000</v>
      </c>
      <c r="BG72" s="80">
        <f t="shared" si="19"/>
        <v>101140077.73</v>
      </c>
      <c r="BH72" s="80">
        <f t="shared" si="16"/>
        <v>59494894.270000003</v>
      </c>
      <c r="BI72" s="80">
        <f t="shared" si="17"/>
        <v>8772303.0399999991</v>
      </c>
      <c r="BJ72" s="80">
        <f t="shared" si="18"/>
        <v>32872880.420000002</v>
      </c>
    </row>
    <row r="73" spans="2:63" x14ac:dyDescent="0.3">
      <c r="D73">
        <v>1404</v>
      </c>
      <c r="E73" t="s">
        <v>370</v>
      </c>
      <c r="F73" s="4">
        <v>651141.15</v>
      </c>
      <c r="G73" s="4">
        <v>182198.39999999999</v>
      </c>
      <c r="H73" s="4">
        <v>2419914</v>
      </c>
      <c r="I73" s="4">
        <v>1601470.1</v>
      </c>
      <c r="J73" s="4">
        <v>12751307.16</v>
      </c>
      <c r="K73" s="4">
        <v>10874381.949999999</v>
      </c>
      <c r="L73" s="4">
        <v>3774100.3</v>
      </c>
      <c r="M73" s="4">
        <v>60139034.689999998</v>
      </c>
      <c r="N73" s="4">
        <v>3078651.55</v>
      </c>
      <c r="O73" s="4">
        <v>647873.75</v>
      </c>
      <c r="P73" s="4">
        <v>10782246.85</v>
      </c>
      <c r="Q73" s="4">
        <v>1716823.49</v>
      </c>
      <c r="R73" s="4">
        <v>240137</v>
      </c>
      <c r="S73" s="4">
        <v>1077000</v>
      </c>
      <c r="T73" s="4">
        <v>541098.55000000005</v>
      </c>
      <c r="U73" s="4">
        <v>80337.75</v>
      </c>
      <c r="V73" s="4">
        <v>56400</v>
      </c>
      <c r="W73" s="4">
        <v>800300</v>
      </c>
      <c r="X73" s="4">
        <v>9653391.6999999993</v>
      </c>
      <c r="Y73" s="4">
        <v>774682.25</v>
      </c>
      <c r="Z73" s="4">
        <v>1284389.55</v>
      </c>
      <c r="AA73" s="4">
        <v>0</v>
      </c>
      <c r="AB73" s="4">
        <v>411591</v>
      </c>
      <c r="AC73" s="4">
        <v>0</v>
      </c>
      <c r="AD73" s="4">
        <v>681402</v>
      </c>
      <c r="AE73" s="4">
        <v>214569.59</v>
      </c>
      <c r="AF73" s="4">
        <v>2168803</v>
      </c>
      <c r="AG73" s="4">
        <v>1731072.6</v>
      </c>
      <c r="AH73" s="4">
        <v>3145187.15</v>
      </c>
      <c r="AI73" s="4">
        <v>5770016.5199999996</v>
      </c>
      <c r="AJ73" s="4">
        <v>220541.15</v>
      </c>
      <c r="AK73" s="4">
        <v>0</v>
      </c>
      <c r="AL73" s="4">
        <v>6421405.5199999996</v>
      </c>
      <c r="AM73" s="4">
        <v>1868850</v>
      </c>
      <c r="AN73" s="4">
        <v>3340284.9</v>
      </c>
      <c r="AO73" s="4">
        <v>35755.040000000001</v>
      </c>
      <c r="AP73" s="4">
        <v>3649573.2</v>
      </c>
      <c r="AQ73" s="4">
        <v>510588.2</v>
      </c>
      <c r="AR73" s="4">
        <v>389307.35</v>
      </c>
      <c r="AS73" s="4">
        <v>1063793.3500000001</v>
      </c>
      <c r="AT73" s="4">
        <v>69500</v>
      </c>
      <c r="AU73" s="4">
        <v>2753576.95</v>
      </c>
      <c r="AV73" s="4">
        <v>25802</v>
      </c>
      <c r="AW73" s="4">
        <v>2967617</v>
      </c>
      <c r="AX73" s="4">
        <v>46723.11</v>
      </c>
      <c r="AY73" s="4">
        <v>70200</v>
      </c>
      <c r="AZ73" s="4">
        <v>473451</v>
      </c>
      <c r="BA73" s="4">
        <v>5960388</v>
      </c>
      <c r="BB73" s="4">
        <v>108120</v>
      </c>
      <c r="BC73" s="4">
        <v>1822082.3</v>
      </c>
      <c r="BD73" s="4">
        <v>75698.399999999994</v>
      </c>
      <c r="BE73" s="4">
        <v>32562922.620000001</v>
      </c>
      <c r="BF73" s="4">
        <v>1180000</v>
      </c>
      <c r="BG73" s="80">
        <f t="shared" si="19"/>
        <v>202865702.13999999</v>
      </c>
      <c r="BH73" s="80">
        <f t="shared" si="16"/>
        <v>121067808.38999999</v>
      </c>
      <c r="BI73" s="80">
        <f t="shared" si="17"/>
        <v>16402254.810000001</v>
      </c>
      <c r="BJ73" s="80">
        <f t="shared" si="18"/>
        <v>65395638.939999998</v>
      </c>
    </row>
    <row r="74" spans="2:63" x14ac:dyDescent="0.3">
      <c r="D74">
        <v>1405</v>
      </c>
      <c r="E74" t="s">
        <v>371</v>
      </c>
      <c r="F74" s="4">
        <v>0</v>
      </c>
      <c r="G74" s="4">
        <v>0</v>
      </c>
      <c r="H74" s="4">
        <v>0</v>
      </c>
      <c r="I74" s="4">
        <v>0</v>
      </c>
      <c r="J74" s="4">
        <v>621582.5</v>
      </c>
      <c r="K74" s="4">
        <v>7585.2</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43513.5</v>
      </c>
      <c r="AF74" s="4">
        <v>906658</v>
      </c>
      <c r="AG74" s="4">
        <v>529460</v>
      </c>
      <c r="AH74" s="4">
        <v>313342.55</v>
      </c>
      <c r="AI74" s="4">
        <v>1443269.15</v>
      </c>
      <c r="AJ74" s="4">
        <v>513240</v>
      </c>
      <c r="AK74" s="4">
        <v>481320</v>
      </c>
      <c r="AL74" s="4">
        <v>1257120</v>
      </c>
      <c r="AM74" s="4">
        <v>2500325.4</v>
      </c>
      <c r="AN74" s="4">
        <v>2001670</v>
      </c>
      <c r="AO74" s="4">
        <v>358832</v>
      </c>
      <c r="AP74" s="4">
        <v>777663</v>
      </c>
      <c r="AQ74" s="4">
        <v>1435420</v>
      </c>
      <c r="AR74" s="4">
        <v>400000</v>
      </c>
      <c r="AS74" s="4">
        <v>3033211</v>
      </c>
      <c r="AT74" s="4">
        <v>0</v>
      </c>
      <c r="AU74" s="4">
        <v>1018940</v>
      </c>
      <c r="AV74" s="4">
        <v>921580</v>
      </c>
      <c r="AW74" s="4">
        <v>1749763.9</v>
      </c>
      <c r="AX74" s="4">
        <v>1001970</v>
      </c>
      <c r="AY74" s="4">
        <v>356390</v>
      </c>
      <c r="AZ74" s="4">
        <v>368110</v>
      </c>
      <c r="BA74" s="4">
        <v>2732845</v>
      </c>
      <c r="BB74" s="4">
        <v>272620</v>
      </c>
      <c r="BC74" s="4">
        <v>2066975</v>
      </c>
      <c r="BD74" s="4">
        <v>388708.55</v>
      </c>
      <c r="BE74" s="4">
        <v>0</v>
      </c>
      <c r="BF74" s="4">
        <v>1211010</v>
      </c>
      <c r="BG74" s="80">
        <f t="shared" si="19"/>
        <v>32445814.75</v>
      </c>
      <c r="BH74" s="80">
        <f t="shared" si="16"/>
        <v>631127.69999999995</v>
      </c>
      <c r="BI74" s="80">
        <f t="shared" si="17"/>
        <v>7961533.1999999993</v>
      </c>
      <c r="BJ74" s="80">
        <f t="shared" si="18"/>
        <v>23853153.850000001</v>
      </c>
    </row>
    <row r="75" spans="2:63" x14ac:dyDescent="0.3">
      <c r="D75">
        <v>1406</v>
      </c>
      <c r="E75" t="s">
        <v>372</v>
      </c>
      <c r="F75" s="4">
        <v>0</v>
      </c>
      <c r="G75" s="4">
        <v>34310</v>
      </c>
      <c r="H75" s="4">
        <v>182223.8</v>
      </c>
      <c r="I75" s="4">
        <v>0</v>
      </c>
      <c r="J75" s="4">
        <v>231223.25</v>
      </c>
      <c r="K75" s="4">
        <v>175422.2</v>
      </c>
      <c r="L75" s="4">
        <v>213670.3</v>
      </c>
      <c r="M75" s="4">
        <v>3134837.8</v>
      </c>
      <c r="N75" s="4">
        <v>204874.9</v>
      </c>
      <c r="O75" s="4">
        <v>0</v>
      </c>
      <c r="P75" s="4">
        <v>493490.6</v>
      </c>
      <c r="Q75" s="4">
        <v>147414</v>
      </c>
      <c r="R75" s="4">
        <v>0</v>
      </c>
      <c r="S75" s="4">
        <v>0</v>
      </c>
      <c r="T75" s="4">
        <v>0</v>
      </c>
      <c r="U75" s="4">
        <v>92623.3</v>
      </c>
      <c r="V75" s="4">
        <v>0</v>
      </c>
      <c r="W75" s="4">
        <v>18000</v>
      </c>
      <c r="X75" s="4">
        <v>322850.25</v>
      </c>
      <c r="Y75" s="4">
        <v>48500</v>
      </c>
      <c r="Z75" s="4">
        <v>20303.400000000001</v>
      </c>
      <c r="AA75" s="4">
        <v>51506.85</v>
      </c>
      <c r="AB75" s="4">
        <v>3</v>
      </c>
      <c r="AC75" s="4">
        <v>6300</v>
      </c>
      <c r="AD75" s="4">
        <v>4000</v>
      </c>
      <c r="AE75" s="4">
        <v>474577.65</v>
      </c>
      <c r="AF75" s="4">
        <v>2</v>
      </c>
      <c r="AG75" s="4">
        <v>0</v>
      </c>
      <c r="AH75" s="4">
        <v>54528.9</v>
      </c>
      <c r="AI75" s="4">
        <v>112660.55</v>
      </c>
      <c r="AJ75" s="4">
        <v>19812.900000000001</v>
      </c>
      <c r="AK75" s="4">
        <v>0</v>
      </c>
      <c r="AL75" s="4">
        <v>44895.35</v>
      </c>
      <c r="AM75" s="4">
        <v>0</v>
      </c>
      <c r="AN75" s="4">
        <v>44064</v>
      </c>
      <c r="AO75" s="4">
        <v>2</v>
      </c>
      <c r="AP75" s="4">
        <v>83350.25</v>
      </c>
      <c r="AQ75" s="4">
        <v>0</v>
      </c>
      <c r="AR75" s="4">
        <v>85073.45</v>
      </c>
      <c r="AS75" s="4">
        <v>49821.35</v>
      </c>
      <c r="AT75" s="4">
        <v>0</v>
      </c>
      <c r="AU75" s="4">
        <v>39502</v>
      </c>
      <c r="AV75" s="4">
        <v>1</v>
      </c>
      <c r="AW75" s="4">
        <v>187342.85</v>
      </c>
      <c r="AX75" s="4">
        <v>37823.21</v>
      </c>
      <c r="AY75" s="4">
        <v>0</v>
      </c>
      <c r="AZ75" s="4">
        <v>1</v>
      </c>
      <c r="BA75" s="4">
        <v>184180</v>
      </c>
      <c r="BB75" s="4">
        <v>0</v>
      </c>
      <c r="BC75" s="4">
        <v>34926.720000000001</v>
      </c>
      <c r="BD75" s="4">
        <v>1</v>
      </c>
      <c r="BE75" s="4">
        <v>885009.66</v>
      </c>
      <c r="BF75" s="4">
        <v>3</v>
      </c>
      <c r="BG75" s="80">
        <f t="shared" si="19"/>
        <v>7719132.4899999993</v>
      </c>
      <c r="BH75" s="80">
        <f t="shared" si="16"/>
        <v>5250940.3999999994</v>
      </c>
      <c r="BI75" s="80">
        <f t="shared" si="17"/>
        <v>792195.25000000012</v>
      </c>
      <c r="BJ75" s="80">
        <f t="shared" si="18"/>
        <v>1675996.8399999999</v>
      </c>
    </row>
    <row r="76" spans="2:63" x14ac:dyDescent="0.3">
      <c r="D76">
        <v>1407</v>
      </c>
      <c r="E76" t="s">
        <v>373</v>
      </c>
      <c r="F76" s="4">
        <v>0</v>
      </c>
      <c r="G76" s="4">
        <v>4731</v>
      </c>
      <c r="H76" s="4">
        <v>130143.6</v>
      </c>
      <c r="I76" s="4">
        <v>0</v>
      </c>
      <c r="J76" s="4">
        <v>0</v>
      </c>
      <c r="K76" s="4">
        <v>4254002.91</v>
      </c>
      <c r="L76" s="4">
        <v>37125</v>
      </c>
      <c r="M76" s="4">
        <v>1687042.08</v>
      </c>
      <c r="N76" s="4">
        <v>558556.44999999995</v>
      </c>
      <c r="O76" s="4">
        <v>0</v>
      </c>
      <c r="P76" s="4">
        <v>2304321.85</v>
      </c>
      <c r="Q76" s="4">
        <v>0</v>
      </c>
      <c r="R76" s="4">
        <v>0</v>
      </c>
      <c r="S76" s="4">
        <v>0</v>
      </c>
      <c r="T76" s="4">
        <v>0</v>
      </c>
      <c r="U76" s="4">
        <v>0</v>
      </c>
      <c r="V76" s="4">
        <v>0</v>
      </c>
      <c r="W76" s="4">
        <v>0</v>
      </c>
      <c r="X76" s="4">
        <v>579855.05000000005</v>
      </c>
      <c r="Y76" s="4">
        <v>2867.4</v>
      </c>
      <c r="Z76" s="4">
        <v>6778142.5800000001</v>
      </c>
      <c r="AA76" s="4">
        <v>0</v>
      </c>
      <c r="AB76" s="4">
        <v>0</v>
      </c>
      <c r="AC76" s="4">
        <v>524901.44999999995</v>
      </c>
      <c r="AD76" s="4">
        <v>0</v>
      </c>
      <c r="AE76" s="4">
        <v>2213882.0699999998</v>
      </c>
      <c r="AF76" s="4">
        <v>0</v>
      </c>
      <c r="AG76" s="4">
        <v>0</v>
      </c>
      <c r="AH76" s="4">
        <v>28439.599999999999</v>
      </c>
      <c r="AI76" s="4">
        <v>17500.05</v>
      </c>
      <c r="AJ76" s="4">
        <v>0</v>
      </c>
      <c r="AK76" s="4">
        <v>412930.15</v>
      </c>
      <c r="AL76" s="4">
        <v>0</v>
      </c>
      <c r="AM76" s="4">
        <v>0</v>
      </c>
      <c r="AN76" s="4">
        <v>0</v>
      </c>
      <c r="AO76" s="4">
        <v>1085321.03</v>
      </c>
      <c r="AP76" s="4">
        <v>253836.1</v>
      </c>
      <c r="AQ76" s="4">
        <v>508259.65</v>
      </c>
      <c r="AR76" s="4">
        <v>66883.7</v>
      </c>
      <c r="AS76" s="4">
        <v>1406643.4</v>
      </c>
      <c r="AT76" s="4">
        <v>0</v>
      </c>
      <c r="AU76" s="4">
        <v>0</v>
      </c>
      <c r="AV76" s="4">
        <v>0</v>
      </c>
      <c r="AW76" s="4">
        <v>305934.7</v>
      </c>
      <c r="AX76" s="4">
        <v>158898.54</v>
      </c>
      <c r="AY76" s="4">
        <v>0</v>
      </c>
      <c r="AZ76" s="4">
        <v>0</v>
      </c>
      <c r="BA76" s="4">
        <v>0</v>
      </c>
      <c r="BB76" s="4">
        <v>620219.41</v>
      </c>
      <c r="BC76" s="4">
        <v>345656.91</v>
      </c>
      <c r="BD76" s="4">
        <v>0</v>
      </c>
      <c r="BE76" s="4">
        <v>-133979.17000000001</v>
      </c>
      <c r="BF76" s="4">
        <v>0</v>
      </c>
      <c r="BG76" s="80">
        <f t="shared" si="19"/>
        <v>24152115.509999998</v>
      </c>
      <c r="BH76" s="80">
        <f t="shared" si="16"/>
        <v>9555777.9400000013</v>
      </c>
      <c r="BI76" s="80">
        <f t="shared" si="17"/>
        <v>9978663.3000000007</v>
      </c>
      <c r="BJ76" s="80">
        <f t="shared" si="18"/>
        <v>4617674.2700000005</v>
      </c>
    </row>
    <row r="77" spans="2:63" x14ac:dyDescent="0.3">
      <c r="D77">
        <v>1409</v>
      </c>
      <c r="E77" t="s">
        <v>374</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5184547.75</v>
      </c>
      <c r="AU77" s="4">
        <v>0</v>
      </c>
      <c r="AV77" s="4">
        <v>0</v>
      </c>
      <c r="AW77" s="4">
        <v>0</v>
      </c>
      <c r="AX77" s="4">
        <v>0</v>
      </c>
      <c r="AY77" s="4">
        <v>0</v>
      </c>
      <c r="AZ77" s="4">
        <v>0</v>
      </c>
      <c r="BA77" s="4">
        <v>0</v>
      </c>
      <c r="BB77" s="4">
        <v>0</v>
      </c>
      <c r="BC77" s="4">
        <v>0</v>
      </c>
      <c r="BD77" s="4">
        <v>0</v>
      </c>
      <c r="BE77" s="4">
        <v>0</v>
      </c>
      <c r="BF77" s="4">
        <v>0</v>
      </c>
      <c r="BG77" s="80">
        <f t="shared" si="19"/>
        <v>5184547.75</v>
      </c>
      <c r="BH77" s="80">
        <f t="shared" si="16"/>
        <v>0</v>
      </c>
      <c r="BI77" s="80">
        <f t="shared" si="17"/>
        <v>0</v>
      </c>
      <c r="BJ77" s="80">
        <f t="shared" si="18"/>
        <v>5184547.75</v>
      </c>
    </row>
    <row r="78" spans="2:63" x14ac:dyDescent="0.3">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3">
      <c r="C79" s="69">
        <v>142</v>
      </c>
      <c r="D79" s="69"/>
      <c r="E79" s="69" t="s">
        <v>594</v>
      </c>
      <c r="F79" s="70">
        <f t="shared" ref="F79:O79" si="20">F80+F81+F82+F83</f>
        <v>0</v>
      </c>
      <c r="G79" s="70">
        <f t="shared" si="20"/>
        <v>120546.95</v>
      </c>
      <c r="H79" s="70">
        <f t="shared" si="20"/>
        <v>19211.3</v>
      </c>
      <c r="I79" s="70">
        <f t="shared" si="20"/>
        <v>54164.52</v>
      </c>
      <c r="J79" s="70">
        <f t="shared" si="20"/>
        <v>395914.45</v>
      </c>
      <c r="K79" s="70">
        <f t="shared" si="20"/>
        <v>20757.599999999999</v>
      </c>
      <c r="L79" s="70">
        <f t="shared" si="20"/>
        <v>291879.5</v>
      </c>
      <c r="M79" s="70">
        <f t="shared" si="20"/>
        <v>559482.05000000005</v>
      </c>
      <c r="N79" s="70">
        <f t="shared" si="20"/>
        <v>29796</v>
      </c>
      <c r="O79" s="70">
        <f t="shared" si="20"/>
        <v>0</v>
      </c>
      <c r="P79" s="70">
        <f>P80+P81+P82+P83</f>
        <v>269313</v>
      </c>
      <c r="Q79" s="70">
        <f t="shared" ref="Q79:BF79" si="21">Q80+Q81+Q82+Q83</f>
        <v>0</v>
      </c>
      <c r="R79" s="70">
        <f t="shared" si="21"/>
        <v>44451</v>
      </c>
      <c r="S79" s="70">
        <f t="shared" si="21"/>
        <v>0</v>
      </c>
      <c r="T79" s="70">
        <f t="shared" si="21"/>
        <v>5311</v>
      </c>
      <c r="U79" s="70">
        <f t="shared" si="21"/>
        <v>0</v>
      </c>
      <c r="V79" s="70">
        <f t="shared" si="21"/>
        <v>0</v>
      </c>
      <c r="W79" s="70">
        <f t="shared" si="21"/>
        <v>160700</v>
      </c>
      <c r="X79" s="70">
        <f t="shared" si="21"/>
        <v>404839.55</v>
      </c>
      <c r="Y79" s="70">
        <f t="shared" si="21"/>
        <v>0</v>
      </c>
      <c r="Z79" s="70">
        <f t="shared" si="21"/>
        <v>92513.35</v>
      </c>
      <c r="AA79" s="70">
        <f t="shared" si="21"/>
        <v>0</v>
      </c>
      <c r="AB79" s="70">
        <f t="shared" si="21"/>
        <v>0</v>
      </c>
      <c r="AC79" s="70">
        <f t="shared" si="21"/>
        <v>0</v>
      </c>
      <c r="AD79" s="70">
        <f t="shared" si="21"/>
        <v>108620</v>
      </c>
      <c r="AE79" s="70">
        <f t="shared" si="21"/>
        <v>0</v>
      </c>
      <c r="AF79" s="70">
        <f t="shared" si="21"/>
        <v>82940.800000000003</v>
      </c>
      <c r="AG79" s="70">
        <f t="shared" si="21"/>
        <v>160000</v>
      </c>
      <c r="AH79" s="70">
        <f t="shared" si="21"/>
        <v>114851.8</v>
      </c>
      <c r="AI79" s="70">
        <f t="shared" si="21"/>
        <v>232807.35</v>
      </c>
      <c r="AJ79" s="70">
        <f t="shared" si="21"/>
        <v>17041</v>
      </c>
      <c r="AK79" s="70">
        <f t="shared" si="21"/>
        <v>0</v>
      </c>
      <c r="AL79" s="70">
        <f t="shared" si="21"/>
        <v>437339.7</v>
      </c>
      <c r="AM79" s="70">
        <f t="shared" si="21"/>
        <v>0</v>
      </c>
      <c r="AN79" s="70">
        <f t="shared" si="21"/>
        <v>509844.6</v>
      </c>
      <c r="AO79" s="70">
        <f t="shared" si="21"/>
        <v>1</v>
      </c>
      <c r="AP79" s="70">
        <f t="shared" si="21"/>
        <v>82980.800000000003</v>
      </c>
      <c r="AQ79" s="70">
        <f t="shared" si="21"/>
        <v>329439.90000000002</v>
      </c>
      <c r="AR79" s="70">
        <f t="shared" si="21"/>
        <v>0</v>
      </c>
      <c r="AS79" s="70">
        <f t="shared" si="21"/>
        <v>289192.75</v>
      </c>
      <c r="AT79" s="70">
        <f t="shared" si="21"/>
        <v>0</v>
      </c>
      <c r="AU79" s="70">
        <f t="shared" si="21"/>
        <v>50334.3</v>
      </c>
      <c r="AV79" s="70">
        <f t="shared" si="21"/>
        <v>0</v>
      </c>
      <c r="AW79" s="70">
        <f t="shared" si="21"/>
        <v>0</v>
      </c>
      <c r="AX79" s="70">
        <f t="shared" si="21"/>
        <v>17584.38</v>
      </c>
      <c r="AY79" s="70">
        <f t="shared" si="21"/>
        <v>0</v>
      </c>
      <c r="AZ79" s="70">
        <f t="shared" si="21"/>
        <v>10500</v>
      </c>
      <c r="BA79" s="70">
        <f t="shared" si="21"/>
        <v>540238.15</v>
      </c>
      <c r="BB79" s="70">
        <f t="shared" si="21"/>
        <v>147800</v>
      </c>
      <c r="BC79" s="70">
        <f t="shared" si="21"/>
        <v>316429.44</v>
      </c>
      <c r="BD79" s="70">
        <f t="shared" si="21"/>
        <v>0</v>
      </c>
      <c r="BE79" s="70">
        <f t="shared" si="21"/>
        <v>365044.55</v>
      </c>
      <c r="BF79" s="70">
        <f t="shared" si="21"/>
        <v>1219.6500000000001</v>
      </c>
      <c r="BG79" s="70">
        <f t="shared" si="19"/>
        <v>6283090.4400000013</v>
      </c>
      <c r="BH79" s="70">
        <f t="shared" si="16"/>
        <v>2376366.92</v>
      </c>
      <c r="BI79" s="70">
        <f t="shared" si="17"/>
        <v>808774.3</v>
      </c>
      <c r="BJ79" s="70">
        <f t="shared" si="18"/>
        <v>3097949.2199999997</v>
      </c>
    </row>
    <row r="80" spans="2:63" x14ac:dyDescent="0.3">
      <c r="D80" s="79">
        <v>1420</v>
      </c>
      <c r="E80" s="79" t="s">
        <v>375</v>
      </c>
      <c r="F80" s="4">
        <v>0</v>
      </c>
      <c r="G80" s="4">
        <v>0</v>
      </c>
      <c r="H80" s="4">
        <v>0</v>
      </c>
      <c r="I80" s="4">
        <v>0</v>
      </c>
      <c r="J80" s="4">
        <v>18224</v>
      </c>
      <c r="K80" s="4">
        <v>0</v>
      </c>
      <c r="L80" s="4">
        <v>0</v>
      </c>
      <c r="M80" s="4">
        <v>46327.4</v>
      </c>
      <c r="N80" s="4">
        <v>0</v>
      </c>
      <c r="O80" s="4">
        <v>0</v>
      </c>
      <c r="P80" s="4">
        <v>29635</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82980.800000000003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177167.2</v>
      </c>
      <c r="BH80" s="80">
        <f t="shared" si="16"/>
        <v>94186.4</v>
      </c>
      <c r="BI80" s="80">
        <f t="shared" si="17"/>
        <v>0</v>
      </c>
      <c r="BJ80" s="80">
        <f t="shared" si="18"/>
        <v>82980.800000000003</v>
      </c>
    </row>
    <row r="81" spans="3:62" x14ac:dyDescent="0.3">
      <c r="D81" s="79">
        <v>1421</v>
      </c>
      <c r="E81" s="79" t="s">
        <v>376</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3">
      <c r="D82" s="79">
        <v>1427</v>
      </c>
      <c r="E82" s="79" t="s">
        <v>593</v>
      </c>
      <c r="F82" s="4">
        <v>0</v>
      </c>
      <c r="G82" s="4">
        <v>0</v>
      </c>
      <c r="H82" s="4">
        <v>0</v>
      </c>
      <c r="I82" s="4">
        <v>0</v>
      </c>
      <c r="J82" s="4">
        <v>0</v>
      </c>
      <c r="K82" s="4">
        <v>0</v>
      </c>
      <c r="L82" s="4">
        <v>0</v>
      </c>
      <c r="M82" s="4">
        <v>0</v>
      </c>
      <c r="N82" s="4">
        <v>20616</v>
      </c>
      <c r="O82" s="4">
        <v>0</v>
      </c>
      <c r="P82" s="4">
        <v>178570</v>
      </c>
      <c r="Q82" s="4">
        <v>0</v>
      </c>
      <c r="R82" s="4">
        <v>0</v>
      </c>
      <c r="S82" s="4">
        <v>0</v>
      </c>
      <c r="T82" s="4">
        <v>0</v>
      </c>
      <c r="U82" s="4">
        <v>0</v>
      </c>
      <c r="V82" s="4">
        <v>0</v>
      </c>
      <c r="W82" s="4">
        <v>0</v>
      </c>
      <c r="X82" s="4">
        <v>78654.75</v>
      </c>
      <c r="Y82" s="4">
        <v>0</v>
      </c>
      <c r="Z82" s="4">
        <v>0</v>
      </c>
      <c r="AA82" s="4">
        <v>0</v>
      </c>
      <c r="AB82" s="4">
        <v>0</v>
      </c>
      <c r="AC82" s="4">
        <v>0</v>
      </c>
      <c r="AD82" s="4">
        <v>108620</v>
      </c>
      <c r="AE82" s="4">
        <v>0</v>
      </c>
      <c r="AF82" s="4">
        <v>0</v>
      </c>
      <c r="AG82" s="4">
        <v>0</v>
      </c>
      <c r="AH82" s="4">
        <v>0</v>
      </c>
      <c r="AI82" s="4">
        <v>0</v>
      </c>
      <c r="AJ82" s="4">
        <v>0</v>
      </c>
      <c r="AK82" s="4">
        <v>0</v>
      </c>
      <c r="AL82" s="4">
        <v>0</v>
      </c>
      <c r="AM82" s="4">
        <v>0</v>
      </c>
      <c r="AN82" s="4">
        <v>0</v>
      </c>
      <c r="AO82" s="4">
        <v>0</v>
      </c>
      <c r="AP82" s="4">
        <v>0</v>
      </c>
      <c r="AQ82" s="4">
        <v>329439.90000000002</v>
      </c>
      <c r="AR82" s="4">
        <v>0</v>
      </c>
      <c r="AS82" s="4">
        <v>375</v>
      </c>
      <c r="AT82" s="4">
        <v>0</v>
      </c>
      <c r="AU82" s="4">
        <v>0</v>
      </c>
      <c r="AV82" s="4">
        <v>0</v>
      </c>
      <c r="AW82" s="4">
        <v>0</v>
      </c>
      <c r="AX82" s="4">
        <v>17584.38</v>
      </c>
      <c r="AY82" s="4">
        <v>0</v>
      </c>
      <c r="AZ82" s="4">
        <v>10500</v>
      </c>
      <c r="BA82" s="4">
        <v>0</v>
      </c>
      <c r="BB82" s="4">
        <v>0</v>
      </c>
      <c r="BC82" s="4">
        <v>262040.99</v>
      </c>
      <c r="BD82" s="4">
        <v>0</v>
      </c>
      <c r="BE82" s="4">
        <v>0</v>
      </c>
      <c r="BF82" s="4">
        <v>1219.6500000000001</v>
      </c>
      <c r="BG82" s="80">
        <f t="shared" si="19"/>
        <v>1007620.67</v>
      </c>
      <c r="BH82" s="80">
        <f t="shared" si="16"/>
        <v>277840.75</v>
      </c>
      <c r="BI82" s="80">
        <f t="shared" si="17"/>
        <v>108620</v>
      </c>
      <c r="BJ82" s="80">
        <f t="shared" si="18"/>
        <v>621159.92000000004</v>
      </c>
    </row>
    <row r="83" spans="3:62" x14ac:dyDescent="0.3">
      <c r="D83" s="79">
        <v>1429</v>
      </c>
      <c r="E83" s="79" t="s">
        <v>476</v>
      </c>
      <c r="F83" s="4">
        <v>0</v>
      </c>
      <c r="G83" s="4">
        <v>120546.95</v>
      </c>
      <c r="H83" s="4">
        <v>19211.3</v>
      </c>
      <c r="I83" s="196">
        <v>54164.52</v>
      </c>
      <c r="J83" s="4">
        <v>377690.45</v>
      </c>
      <c r="K83" s="4">
        <v>20757.599999999999</v>
      </c>
      <c r="L83" s="4">
        <v>291879.5</v>
      </c>
      <c r="M83" s="4">
        <v>513154.65</v>
      </c>
      <c r="N83" s="4">
        <v>9180</v>
      </c>
      <c r="O83" s="4">
        <v>0</v>
      </c>
      <c r="P83" s="4">
        <v>61108</v>
      </c>
      <c r="Q83" s="4">
        <v>0</v>
      </c>
      <c r="R83" s="4">
        <v>44451</v>
      </c>
      <c r="S83" s="4">
        <v>0</v>
      </c>
      <c r="T83" s="4">
        <v>5311</v>
      </c>
      <c r="U83" s="4">
        <v>0</v>
      </c>
      <c r="V83" s="4">
        <v>0</v>
      </c>
      <c r="W83" s="4">
        <v>160700</v>
      </c>
      <c r="X83" s="4">
        <v>326184.8</v>
      </c>
      <c r="Y83" s="4">
        <v>0</v>
      </c>
      <c r="Z83" s="4">
        <v>92513.35</v>
      </c>
      <c r="AA83" s="4">
        <v>0</v>
      </c>
      <c r="AB83" s="4">
        <v>0</v>
      </c>
      <c r="AC83" s="4">
        <v>0</v>
      </c>
      <c r="AD83" s="4">
        <v>0</v>
      </c>
      <c r="AE83" s="4">
        <v>0</v>
      </c>
      <c r="AF83" s="4">
        <v>82940.800000000003</v>
      </c>
      <c r="AG83" s="4">
        <v>160000</v>
      </c>
      <c r="AH83" s="4">
        <v>114851.8</v>
      </c>
      <c r="AI83" s="4">
        <v>232807.35</v>
      </c>
      <c r="AJ83" s="4">
        <v>17041</v>
      </c>
      <c r="AK83" s="4">
        <v>0</v>
      </c>
      <c r="AL83" s="4">
        <v>437339.7</v>
      </c>
      <c r="AM83" s="4">
        <v>0</v>
      </c>
      <c r="AN83" s="4">
        <v>509844.6</v>
      </c>
      <c r="AO83" s="4">
        <v>1</v>
      </c>
      <c r="AP83" s="4">
        <v>0</v>
      </c>
      <c r="AQ83" s="4">
        <v>0</v>
      </c>
      <c r="AR83" s="4">
        <v>0</v>
      </c>
      <c r="AS83" s="4">
        <v>288817.75</v>
      </c>
      <c r="AT83" s="4">
        <v>0</v>
      </c>
      <c r="AU83" s="4">
        <v>50334.3</v>
      </c>
      <c r="AV83" s="4">
        <v>0</v>
      </c>
      <c r="AW83" s="4">
        <v>0</v>
      </c>
      <c r="AX83" s="4">
        <v>0</v>
      </c>
      <c r="AY83" s="4">
        <v>0</v>
      </c>
      <c r="AZ83" s="4">
        <v>0</v>
      </c>
      <c r="BA83" s="4">
        <v>540238.15</v>
      </c>
      <c r="BB83" s="4">
        <v>147800</v>
      </c>
      <c r="BC83" s="4">
        <v>54388.45</v>
      </c>
      <c r="BD83" s="4">
        <v>0</v>
      </c>
      <c r="BE83" s="4">
        <v>365044.55</v>
      </c>
      <c r="BF83" s="4">
        <v>0</v>
      </c>
      <c r="BG83" s="80">
        <f t="shared" si="19"/>
        <v>5098302.57</v>
      </c>
      <c r="BH83" s="80">
        <f t="shared" si="16"/>
        <v>2004339.77</v>
      </c>
      <c r="BI83" s="80">
        <f t="shared" si="17"/>
        <v>700154.3</v>
      </c>
      <c r="BJ83" s="80">
        <f t="shared" si="18"/>
        <v>2393808.5</v>
      </c>
    </row>
    <row r="84" spans="3:62" x14ac:dyDescent="0.3">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3">
      <c r="C85" s="69">
        <v>144</v>
      </c>
      <c r="D85" s="69"/>
      <c r="E85" s="69" t="s">
        <v>257</v>
      </c>
      <c r="F85" s="70">
        <f>F86+F87+F88+F89+F90+F91+F92+F93+F94</f>
        <v>0</v>
      </c>
      <c r="G85" s="70">
        <f t="shared" ref="G85:BF85" si="22">G86+G87+G88+G89+G90+G91+G92+G93+G94</f>
        <v>0</v>
      </c>
      <c r="H85" s="70">
        <f t="shared" si="22"/>
        <v>0</v>
      </c>
      <c r="I85" s="70">
        <f t="shared" si="22"/>
        <v>0</v>
      </c>
      <c r="J85" s="70">
        <f t="shared" si="22"/>
        <v>0</v>
      </c>
      <c r="K85" s="70">
        <f t="shared" si="22"/>
        <v>0</v>
      </c>
      <c r="L85" s="70">
        <f t="shared" si="22"/>
        <v>57900</v>
      </c>
      <c r="M85" s="70">
        <f t="shared" si="22"/>
        <v>1065360</v>
      </c>
      <c r="N85" s="70">
        <f t="shared" si="22"/>
        <v>144000</v>
      </c>
      <c r="O85" s="70">
        <f t="shared" si="22"/>
        <v>0</v>
      </c>
      <c r="P85" s="70">
        <f t="shared" si="22"/>
        <v>89560.4</v>
      </c>
      <c r="Q85" s="70">
        <f t="shared" si="22"/>
        <v>0</v>
      </c>
      <c r="R85" s="70">
        <f t="shared" si="22"/>
        <v>0</v>
      </c>
      <c r="S85" s="70">
        <f t="shared" si="22"/>
        <v>0</v>
      </c>
      <c r="T85" s="70">
        <f t="shared" si="22"/>
        <v>0</v>
      </c>
      <c r="U85" s="70">
        <f t="shared" si="22"/>
        <v>1</v>
      </c>
      <c r="V85" s="70">
        <f t="shared" si="22"/>
        <v>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329316.59999999998</v>
      </c>
      <c r="AJ85" s="70">
        <f t="shared" si="22"/>
        <v>245181</v>
      </c>
      <c r="AK85" s="70">
        <f t="shared" si="22"/>
        <v>0</v>
      </c>
      <c r="AL85" s="70">
        <f t="shared" si="22"/>
        <v>0</v>
      </c>
      <c r="AM85" s="70">
        <f t="shared" si="22"/>
        <v>0</v>
      </c>
      <c r="AN85" s="70">
        <f t="shared" si="22"/>
        <v>134400</v>
      </c>
      <c r="AO85" s="70">
        <f t="shared" si="22"/>
        <v>0</v>
      </c>
      <c r="AP85" s="70">
        <f t="shared" si="22"/>
        <v>49600</v>
      </c>
      <c r="AQ85" s="70">
        <f t="shared" si="22"/>
        <v>33000</v>
      </c>
      <c r="AR85" s="70">
        <f t="shared" si="22"/>
        <v>54000</v>
      </c>
      <c r="AS85" s="70">
        <f t="shared" si="22"/>
        <v>0</v>
      </c>
      <c r="AT85" s="70">
        <f t="shared" si="22"/>
        <v>29400</v>
      </c>
      <c r="AU85" s="70">
        <f t="shared" si="22"/>
        <v>161000</v>
      </c>
      <c r="AV85" s="70">
        <f t="shared" si="22"/>
        <v>0</v>
      </c>
      <c r="AW85" s="70">
        <f t="shared" si="22"/>
        <v>0</v>
      </c>
      <c r="AX85" s="70">
        <f t="shared" si="22"/>
        <v>0</v>
      </c>
      <c r="AY85" s="70">
        <f t="shared" si="22"/>
        <v>0</v>
      </c>
      <c r="AZ85" s="70">
        <f t="shared" si="22"/>
        <v>0</v>
      </c>
      <c r="BA85" s="70">
        <f t="shared" si="22"/>
        <v>0</v>
      </c>
      <c r="BB85" s="70">
        <f t="shared" si="22"/>
        <v>18000</v>
      </c>
      <c r="BC85" s="70">
        <f t="shared" si="22"/>
        <v>108361</v>
      </c>
      <c r="BD85" s="70">
        <f t="shared" si="22"/>
        <v>0</v>
      </c>
      <c r="BE85" s="70">
        <f t="shared" si="22"/>
        <v>0</v>
      </c>
      <c r="BF85" s="70">
        <f t="shared" si="22"/>
        <v>22500</v>
      </c>
      <c r="BG85" s="70">
        <f t="shared" si="19"/>
        <v>2559580</v>
      </c>
      <c r="BH85" s="70">
        <f t="shared" si="16"/>
        <v>1356821.4</v>
      </c>
      <c r="BI85" s="70">
        <f t="shared" si="17"/>
        <v>592497.6</v>
      </c>
      <c r="BJ85" s="70">
        <f t="shared" si="18"/>
        <v>610261</v>
      </c>
    </row>
    <row r="86" spans="3:62" x14ac:dyDescent="0.3">
      <c r="D86">
        <v>1440</v>
      </c>
      <c r="E86" t="s">
        <v>377</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3">
      <c r="D87">
        <v>1441</v>
      </c>
      <c r="E87" t="s">
        <v>379</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3">
      <c r="D88">
        <v>1442</v>
      </c>
      <c r="E88" t="s">
        <v>378</v>
      </c>
      <c r="F88" s="4">
        <v>0</v>
      </c>
      <c r="G88" s="4">
        <v>0</v>
      </c>
      <c r="H88" s="4">
        <v>0</v>
      </c>
      <c r="I88" s="4">
        <v>0</v>
      </c>
      <c r="J88" s="4">
        <v>0</v>
      </c>
      <c r="K88" s="4">
        <v>0</v>
      </c>
      <c r="L88" s="4">
        <v>57900</v>
      </c>
      <c r="M88" s="4">
        <v>1065360</v>
      </c>
      <c r="N88" s="4">
        <v>36000</v>
      </c>
      <c r="O88" s="4">
        <v>0</v>
      </c>
      <c r="P88" s="4">
        <v>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134400</v>
      </c>
      <c r="AO88" s="4">
        <v>0</v>
      </c>
      <c r="AP88" s="4">
        <v>49600</v>
      </c>
      <c r="AQ88" s="4">
        <v>33000</v>
      </c>
      <c r="AR88" s="4">
        <v>54000</v>
      </c>
      <c r="AS88" s="4">
        <v>0</v>
      </c>
      <c r="AT88" s="4">
        <v>29400</v>
      </c>
      <c r="AU88" s="4">
        <v>60000</v>
      </c>
      <c r="AV88" s="4">
        <v>0</v>
      </c>
      <c r="AW88" s="4">
        <v>0</v>
      </c>
      <c r="AX88" s="4">
        <v>0</v>
      </c>
      <c r="AY88" s="4">
        <v>0</v>
      </c>
      <c r="AZ88" s="4">
        <v>0</v>
      </c>
      <c r="BA88" s="4">
        <v>0</v>
      </c>
      <c r="BB88" s="4">
        <v>18000</v>
      </c>
      <c r="BC88" s="4">
        <v>107200</v>
      </c>
      <c r="BD88" s="4">
        <v>0</v>
      </c>
      <c r="BE88" s="4">
        <v>0</v>
      </c>
      <c r="BF88" s="4">
        <v>22500</v>
      </c>
      <c r="BG88" s="80">
        <f t="shared" si="19"/>
        <v>1685361</v>
      </c>
      <c r="BH88" s="80">
        <f t="shared" si="16"/>
        <v>1159261</v>
      </c>
      <c r="BI88" s="80">
        <f t="shared" si="17"/>
        <v>18000</v>
      </c>
      <c r="BJ88" s="80">
        <f t="shared" si="18"/>
        <v>508100</v>
      </c>
    </row>
    <row r="89" spans="3:62" x14ac:dyDescent="0.3">
      <c r="D89">
        <v>1443</v>
      </c>
      <c r="E89" t="s">
        <v>380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3">
      <c r="D90">
        <v>1444</v>
      </c>
      <c r="E90" t="s">
        <v>381</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3">
      <c r="D91">
        <v>1445</v>
      </c>
      <c r="E91" t="s">
        <v>382</v>
      </c>
      <c r="F91" s="4">
        <v>0</v>
      </c>
      <c r="G91" s="4">
        <v>0</v>
      </c>
      <c r="H91" s="4">
        <v>0</v>
      </c>
      <c r="I91" s="4">
        <v>0</v>
      </c>
      <c r="J91" s="4">
        <v>0</v>
      </c>
      <c r="K91" s="4">
        <v>0</v>
      </c>
      <c r="L91" s="4">
        <v>0</v>
      </c>
      <c r="M91" s="4">
        <v>0</v>
      </c>
      <c r="N91" s="4">
        <v>108000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329316.59999999998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1161</v>
      </c>
      <c r="BD91" s="4">
        <v>0</v>
      </c>
      <c r="BE91" s="4">
        <v>0</v>
      </c>
      <c r="BF91" s="4">
        <v>0</v>
      </c>
      <c r="BG91" s="80">
        <f t="shared" si="19"/>
        <v>438477.6</v>
      </c>
      <c r="BH91" s="80">
        <f t="shared" si="16"/>
        <v>108000</v>
      </c>
      <c r="BI91" s="80">
        <f t="shared" si="17"/>
        <v>329316.59999999998</v>
      </c>
      <c r="BJ91" s="80">
        <f t="shared" si="18"/>
        <v>1161</v>
      </c>
    </row>
    <row r="92" spans="3:62" x14ac:dyDescent="0.3">
      <c r="D92">
        <v>1446</v>
      </c>
      <c r="E92" t="s">
        <v>383</v>
      </c>
      <c r="F92" s="4">
        <v>0</v>
      </c>
      <c r="G92" s="4">
        <v>0</v>
      </c>
      <c r="H92" s="4">
        <v>0</v>
      </c>
      <c r="I92" s="4">
        <v>0</v>
      </c>
      <c r="J92" s="4">
        <v>0</v>
      </c>
      <c r="K92" s="4">
        <v>0</v>
      </c>
      <c r="L92" s="4">
        <v>0</v>
      </c>
      <c r="M92" s="4">
        <v>0</v>
      </c>
      <c r="N92" s="4">
        <v>0</v>
      </c>
      <c r="O92" s="4">
        <v>0</v>
      </c>
      <c r="P92" s="4">
        <v>89560.4</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245181</v>
      </c>
      <c r="AK92" s="4">
        <v>0</v>
      </c>
      <c r="AL92" s="4">
        <v>0</v>
      </c>
      <c r="AM92" s="4">
        <v>0</v>
      </c>
      <c r="AN92" s="4">
        <v>0</v>
      </c>
      <c r="AO92" s="4">
        <v>0</v>
      </c>
      <c r="AP92" s="4">
        <v>0</v>
      </c>
      <c r="AQ92" s="4">
        <v>0</v>
      </c>
      <c r="AR92" s="4">
        <v>0</v>
      </c>
      <c r="AS92" s="4">
        <v>0</v>
      </c>
      <c r="AT92" s="4">
        <v>0</v>
      </c>
      <c r="AU92" s="4">
        <v>101000</v>
      </c>
      <c r="AV92" s="4">
        <v>0</v>
      </c>
      <c r="AW92" s="4">
        <v>0</v>
      </c>
      <c r="AX92" s="4">
        <v>0</v>
      </c>
      <c r="AY92" s="4">
        <v>0</v>
      </c>
      <c r="AZ92" s="4">
        <v>0</v>
      </c>
      <c r="BA92" s="4">
        <v>0</v>
      </c>
      <c r="BB92" s="4">
        <v>0</v>
      </c>
      <c r="BC92" s="4">
        <v>0</v>
      </c>
      <c r="BD92" s="4">
        <v>0</v>
      </c>
      <c r="BE92" s="4">
        <v>0</v>
      </c>
      <c r="BF92" s="4">
        <v>0</v>
      </c>
      <c r="BG92" s="80">
        <f t="shared" si="19"/>
        <v>435741.4</v>
      </c>
      <c r="BH92" s="80">
        <f t="shared" si="16"/>
        <v>89560.4</v>
      </c>
      <c r="BI92" s="80">
        <f t="shared" si="17"/>
        <v>245181</v>
      </c>
      <c r="BJ92" s="80">
        <f t="shared" si="18"/>
        <v>101000</v>
      </c>
    </row>
    <row r="93" spans="3:62" x14ac:dyDescent="0.3">
      <c r="D93">
        <v>1447</v>
      </c>
      <c r="E93" t="s">
        <v>384</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3">
      <c r="D94">
        <v>1448</v>
      </c>
      <c r="E94" t="s">
        <v>385</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3">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3">
      <c r="C96" s="69">
        <v>145</v>
      </c>
      <c r="D96" s="69"/>
      <c r="E96" s="69" t="s">
        <v>388</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0</v>
      </c>
      <c r="Q96" s="70">
        <f t="shared" si="23"/>
        <v>0</v>
      </c>
      <c r="R96" s="70">
        <f t="shared" si="23"/>
        <v>10294</v>
      </c>
      <c r="S96" s="70">
        <f t="shared" si="23"/>
        <v>0</v>
      </c>
      <c r="T96" s="70">
        <f t="shared" si="23"/>
        <v>0</v>
      </c>
      <c r="U96" s="70">
        <f t="shared" si="23"/>
        <v>0</v>
      </c>
      <c r="V96" s="70">
        <f t="shared" si="23"/>
        <v>72900</v>
      </c>
      <c r="W96" s="70">
        <f t="shared" si="23"/>
        <v>0</v>
      </c>
      <c r="X96" s="70">
        <f t="shared" si="23"/>
        <v>95000</v>
      </c>
      <c r="Y96" s="70">
        <f t="shared" si="23"/>
        <v>11</v>
      </c>
      <c r="Z96" s="70">
        <f t="shared" si="23"/>
        <v>486933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7224</v>
      </c>
      <c r="AK96" s="70">
        <f t="shared" si="23"/>
        <v>0</v>
      </c>
      <c r="AL96" s="70">
        <f t="shared" si="23"/>
        <v>0</v>
      </c>
      <c r="AM96" s="70">
        <f t="shared" si="23"/>
        <v>0</v>
      </c>
      <c r="AN96" s="70">
        <f t="shared" si="23"/>
        <v>3767</v>
      </c>
      <c r="AO96" s="70">
        <f t="shared" si="23"/>
        <v>2508</v>
      </c>
      <c r="AP96" s="70">
        <f t="shared" si="23"/>
        <v>3</v>
      </c>
      <c r="AQ96" s="70">
        <f t="shared" si="23"/>
        <v>2002</v>
      </c>
      <c r="AR96" s="70">
        <f t="shared" si="23"/>
        <v>4</v>
      </c>
      <c r="AS96" s="70">
        <f t="shared" si="23"/>
        <v>100005</v>
      </c>
      <c r="AT96" s="70">
        <f t="shared" si="23"/>
        <v>502</v>
      </c>
      <c r="AU96" s="70">
        <f t="shared" si="23"/>
        <v>4</v>
      </c>
      <c r="AV96" s="70">
        <f t="shared" si="23"/>
        <v>1003</v>
      </c>
      <c r="AW96" s="70">
        <f t="shared" si="23"/>
        <v>300000</v>
      </c>
      <c r="AX96" s="70">
        <f t="shared" si="23"/>
        <v>10000</v>
      </c>
      <c r="AY96" s="70">
        <f t="shared" si="23"/>
        <v>0</v>
      </c>
      <c r="AZ96" s="70">
        <f t="shared" si="23"/>
        <v>0</v>
      </c>
      <c r="BA96" s="70">
        <f t="shared" si="23"/>
        <v>210005</v>
      </c>
      <c r="BB96" s="70">
        <f t="shared" si="23"/>
        <v>0</v>
      </c>
      <c r="BC96" s="70">
        <f t="shared" si="23"/>
        <v>0</v>
      </c>
      <c r="BD96" s="70">
        <f t="shared" si="23"/>
        <v>0</v>
      </c>
      <c r="BE96" s="70">
        <f t="shared" si="23"/>
        <v>2490454.4900000002</v>
      </c>
      <c r="BF96" s="70">
        <f t="shared" si="23"/>
        <v>0</v>
      </c>
      <c r="BG96" s="70">
        <f t="shared" si="19"/>
        <v>4253676.3900000006</v>
      </c>
      <c r="BH96" s="70">
        <f t="shared" si="16"/>
        <v>302399</v>
      </c>
      <c r="BI96" s="70">
        <f t="shared" si="17"/>
        <v>831019.9</v>
      </c>
      <c r="BJ96" s="70">
        <f t="shared" si="18"/>
        <v>3120257.49</v>
      </c>
    </row>
    <row r="97" spans="3:62" x14ac:dyDescent="0.3">
      <c r="D97">
        <v>1450</v>
      </c>
      <c r="E97" t="s">
        <v>387</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1</v>
      </c>
      <c r="AV97" s="4">
        <v>0</v>
      </c>
      <c r="AW97" s="4">
        <v>0</v>
      </c>
      <c r="AX97" s="4">
        <v>0</v>
      </c>
      <c r="AY97" s="4">
        <v>0</v>
      </c>
      <c r="AZ97" s="4">
        <v>0</v>
      </c>
      <c r="BA97" s="4">
        <v>0</v>
      </c>
      <c r="BB97" s="4">
        <v>0</v>
      </c>
      <c r="BC97" s="4">
        <v>0</v>
      </c>
      <c r="BD97" s="4">
        <v>0</v>
      </c>
      <c r="BE97" s="4">
        <v>0</v>
      </c>
      <c r="BF97" s="4">
        <v>0</v>
      </c>
      <c r="BG97" s="80">
        <f t="shared" si="19"/>
        <v>1</v>
      </c>
      <c r="BH97" s="80">
        <f t="shared" si="16"/>
        <v>0</v>
      </c>
      <c r="BI97" s="80">
        <f t="shared" si="17"/>
        <v>0</v>
      </c>
      <c r="BJ97" s="80">
        <f t="shared" si="18"/>
        <v>1</v>
      </c>
    </row>
    <row r="98" spans="3:62" x14ac:dyDescent="0.3">
      <c r="D98">
        <v>1451</v>
      </c>
      <c r="E98" t="s">
        <v>386</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3">
      <c r="D99">
        <v>1452</v>
      </c>
      <c r="E99" t="s">
        <v>389</v>
      </c>
      <c r="F99" s="4">
        <v>0</v>
      </c>
      <c r="G99" s="4">
        <v>0</v>
      </c>
      <c r="H99" s="4">
        <v>0</v>
      </c>
      <c r="I99" s="4">
        <v>0</v>
      </c>
      <c r="J99" s="4">
        <v>0</v>
      </c>
      <c r="K99" s="4">
        <v>0</v>
      </c>
      <c r="L99" s="4">
        <v>0</v>
      </c>
      <c r="M99" s="4">
        <v>0</v>
      </c>
      <c r="N99" s="4">
        <v>75000</v>
      </c>
      <c r="O99" s="4">
        <v>0</v>
      </c>
      <c r="P99" s="4">
        <v>0</v>
      </c>
      <c r="Q99" s="4">
        <v>0</v>
      </c>
      <c r="R99" s="4">
        <v>10294</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480297</v>
      </c>
      <c r="BH99" s="80">
        <f t="shared" si="16"/>
        <v>180294</v>
      </c>
      <c r="BI99" s="80">
        <f t="shared" si="17"/>
        <v>0</v>
      </c>
      <c r="BJ99" s="80">
        <f t="shared" si="18"/>
        <v>300003</v>
      </c>
    </row>
    <row r="100" spans="3:62" x14ac:dyDescent="0.3">
      <c r="D100">
        <v>1453</v>
      </c>
      <c r="E100" t="s">
        <v>390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3">
      <c r="D101">
        <v>1454</v>
      </c>
      <c r="E101" t="s">
        <v>391</v>
      </c>
      <c r="F101" s="4">
        <v>0</v>
      </c>
      <c r="G101" s="4">
        <v>0</v>
      </c>
      <c r="H101" s="4">
        <v>0</v>
      </c>
      <c r="I101" s="4">
        <v>0</v>
      </c>
      <c r="J101" s="4">
        <v>0</v>
      </c>
      <c r="K101" s="4">
        <v>0</v>
      </c>
      <c r="L101" s="4">
        <v>0</v>
      </c>
      <c r="M101" s="4">
        <v>0</v>
      </c>
      <c r="N101" s="4">
        <v>3600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100005</v>
      </c>
      <c r="AT101" s="4">
        <v>0</v>
      </c>
      <c r="AU101" s="4">
        <v>1</v>
      </c>
      <c r="AV101" s="4">
        <v>0</v>
      </c>
      <c r="AW101" s="4">
        <v>0</v>
      </c>
      <c r="AX101" s="4">
        <v>0</v>
      </c>
      <c r="AY101" s="4">
        <v>0</v>
      </c>
      <c r="AZ101" s="4">
        <v>0</v>
      </c>
      <c r="BA101" s="4">
        <v>210000</v>
      </c>
      <c r="BB101" s="4">
        <v>0</v>
      </c>
      <c r="BC101" s="4">
        <v>0</v>
      </c>
      <c r="BD101" s="4">
        <v>0</v>
      </c>
      <c r="BE101" s="4">
        <v>300000</v>
      </c>
      <c r="BF101" s="4">
        <v>0</v>
      </c>
      <c r="BG101" s="80">
        <f t="shared" si="19"/>
        <v>613606</v>
      </c>
      <c r="BH101" s="80">
        <f t="shared" si="16"/>
        <v>3600</v>
      </c>
      <c r="BI101" s="80">
        <f t="shared" si="17"/>
        <v>0</v>
      </c>
      <c r="BJ101" s="80">
        <f t="shared" si="18"/>
        <v>610006</v>
      </c>
    </row>
    <row r="102" spans="3:62" x14ac:dyDescent="0.3">
      <c r="D102">
        <v>1455</v>
      </c>
      <c r="E102" t="s">
        <v>392</v>
      </c>
      <c r="F102" s="4">
        <v>0</v>
      </c>
      <c r="G102" s="4">
        <v>0</v>
      </c>
      <c r="H102" s="4">
        <v>0</v>
      </c>
      <c r="I102" s="4">
        <v>0</v>
      </c>
      <c r="J102" s="4">
        <v>0</v>
      </c>
      <c r="K102" s="4">
        <v>45603</v>
      </c>
      <c r="L102" s="4">
        <v>0</v>
      </c>
      <c r="M102" s="4">
        <v>2</v>
      </c>
      <c r="N102" s="4">
        <v>0</v>
      </c>
      <c r="O102" s="4">
        <v>0</v>
      </c>
      <c r="P102" s="4">
        <v>0</v>
      </c>
      <c r="Q102" s="4">
        <v>0</v>
      </c>
      <c r="R102" s="4">
        <v>0</v>
      </c>
      <c r="S102" s="4">
        <v>0</v>
      </c>
      <c r="T102" s="4">
        <v>0</v>
      </c>
      <c r="U102" s="4">
        <v>0</v>
      </c>
      <c r="V102" s="4">
        <v>72900</v>
      </c>
      <c r="W102" s="4">
        <v>0</v>
      </c>
      <c r="X102" s="4">
        <v>0</v>
      </c>
      <c r="Y102" s="4">
        <v>11</v>
      </c>
      <c r="Z102" s="4">
        <v>486933</v>
      </c>
      <c r="AA102" s="4">
        <v>0</v>
      </c>
      <c r="AB102" s="4">
        <v>0</v>
      </c>
      <c r="AC102" s="4">
        <v>0</v>
      </c>
      <c r="AD102" s="4">
        <v>5050</v>
      </c>
      <c r="AE102" s="4">
        <v>0</v>
      </c>
      <c r="AF102" s="4">
        <v>10</v>
      </c>
      <c r="AG102" s="4">
        <v>10</v>
      </c>
      <c r="AH102" s="4">
        <v>0</v>
      </c>
      <c r="AI102" s="4">
        <v>188681.9</v>
      </c>
      <c r="AJ102" s="4">
        <v>7224</v>
      </c>
      <c r="AK102" s="4">
        <v>0</v>
      </c>
      <c r="AL102" s="4">
        <v>0</v>
      </c>
      <c r="AM102" s="4">
        <v>0</v>
      </c>
      <c r="AN102" s="4">
        <v>3767</v>
      </c>
      <c r="AO102" s="4">
        <v>2508</v>
      </c>
      <c r="AP102" s="4">
        <v>0</v>
      </c>
      <c r="AQ102" s="4">
        <v>2002</v>
      </c>
      <c r="AR102" s="4">
        <v>4</v>
      </c>
      <c r="AS102" s="4">
        <v>0</v>
      </c>
      <c r="AT102" s="4">
        <v>502</v>
      </c>
      <c r="AU102" s="4">
        <v>2</v>
      </c>
      <c r="AV102" s="4">
        <v>1003</v>
      </c>
      <c r="AW102" s="4">
        <v>0</v>
      </c>
      <c r="AX102" s="4">
        <v>10000</v>
      </c>
      <c r="AY102" s="4">
        <v>0</v>
      </c>
      <c r="AZ102" s="4">
        <v>0</v>
      </c>
      <c r="BA102" s="4">
        <v>5</v>
      </c>
      <c r="BB102" s="4">
        <v>0</v>
      </c>
      <c r="BC102" s="4">
        <v>0</v>
      </c>
      <c r="BD102" s="4">
        <v>0</v>
      </c>
      <c r="BE102" s="4">
        <v>2190454.4900000002</v>
      </c>
      <c r="BF102" s="4">
        <v>0</v>
      </c>
      <c r="BG102" s="80">
        <f t="shared" si="19"/>
        <v>3016672.39</v>
      </c>
      <c r="BH102" s="80">
        <f t="shared" si="16"/>
        <v>118505</v>
      </c>
      <c r="BI102" s="80">
        <f t="shared" si="17"/>
        <v>687919.9</v>
      </c>
      <c r="BJ102" s="80">
        <f t="shared" si="18"/>
        <v>2210247.4900000002</v>
      </c>
    </row>
    <row r="103" spans="3:62" x14ac:dyDescent="0.3">
      <c r="D103">
        <v>1456</v>
      </c>
      <c r="E103" t="s">
        <v>393</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80">
        <f t="shared" si="19"/>
        <v>143100</v>
      </c>
      <c r="BH103" s="80">
        <f t="shared" si="16"/>
        <v>0</v>
      </c>
      <c r="BI103" s="80">
        <f t="shared" si="17"/>
        <v>143100</v>
      </c>
      <c r="BJ103" s="80">
        <f t="shared" si="18"/>
        <v>0</v>
      </c>
    </row>
    <row r="104" spans="3:62" x14ac:dyDescent="0.3">
      <c r="D104">
        <v>1457</v>
      </c>
      <c r="E104" t="s">
        <v>394</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3">
      <c r="D105">
        <v>1458</v>
      </c>
      <c r="E105" t="s">
        <v>395</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3">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3">
      <c r="C107" s="69">
        <v>146</v>
      </c>
      <c r="D107" s="69"/>
      <c r="E107" s="69" t="s">
        <v>406</v>
      </c>
      <c r="F107" s="70">
        <f>F108+F109+F110+F111+F112+F113+F114+F115+F116+F117</f>
        <v>0</v>
      </c>
      <c r="G107" s="70">
        <f t="shared" ref="G107:BF107" si="24">G108+G109+G110+G111+G112+G113+G114+G115+G116+G117</f>
        <v>0</v>
      </c>
      <c r="H107" s="70">
        <f t="shared" si="24"/>
        <v>0</v>
      </c>
      <c r="I107" s="70">
        <f t="shared" si="24"/>
        <v>0</v>
      </c>
      <c r="J107" s="70">
        <f t="shared" si="24"/>
        <v>0</v>
      </c>
      <c r="K107" s="70">
        <f t="shared" si="24"/>
        <v>681177.1</v>
      </c>
      <c r="L107" s="70">
        <f t="shared" si="24"/>
        <v>0</v>
      </c>
      <c r="M107" s="70">
        <f t="shared" si="24"/>
        <v>0</v>
      </c>
      <c r="N107" s="70">
        <f t="shared" si="24"/>
        <v>0</v>
      </c>
      <c r="O107" s="70">
        <f t="shared" si="24"/>
        <v>0</v>
      </c>
      <c r="P107" s="70">
        <f t="shared" si="24"/>
        <v>57250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f t="shared" si="24"/>
        <v>173600</v>
      </c>
      <c r="AC107" s="70">
        <f t="shared" si="24"/>
        <v>0</v>
      </c>
      <c r="AD107" s="70">
        <f t="shared" si="24"/>
        <v>0</v>
      </c>
      <c r="AE107" s="70">
        <f t="shared" si="24"/>
        <v>0</v>
      </c>
      <c r="AF107" s="70">
        <f t="shared" si="24"/>
        <v>0</v>
      </c>
      <c r="AG107" s="70">
        <f t="shared" si="24"/>
        <v>0</v>
      </c>
      <c r="AH107" s="70">
        <f t="shared" si="24"/>
        <v>0</v>
      </c>
      <c r="AI107" s="70">
        <f t="shared" si="24"/>
        <v>0</v>
      </c>
      <c r="AJ107" s="70">
        <f t="shared" si="24"/>
        <v>0</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48000</v>
      </c>
      <c r="BF107" s="70">
        <f t="shared" si="24"/>
        <v>0</v>
      </c>
      <c r="BG107" s="70">
        <f t="shared" si="19"/>
        <v>960028.1</v>
      </c>
      <c r="BH107" s="70">
        <f t="shared" si="16"/>
        <v>738427.1</v>
      </c>
      <c r="BI107" s="70">
        <f t="shared" si="17"/>
        <v>173600</v>
      </c>
      <c r="BJ107" s="70">
        <f t="shared" si="18"/>
        <v>48001</v>
      </c>
    </row>
    <row r="108" spans="3:62" x14ac:dyDescent="0.3">
      <c r="D108">
        <v>1460</v>
      </c>
      <c r="E108" t="s">
        <v>403</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3">
      <c r="D109">
        <v>1461</v>
      </c>
      <c r="E109" t="s">
        <v>404</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3">
      <c r="D110">
        <v>1462</v>
      </c>
      <c r="E110" t="s">
        <v>396</v>
      </c>
      <c r="F110" s="4">
        <v>0</v>
      </c>
      <c r="G110" s="4">
        <v>0</v>
      </c>
      <c r="H110" s="4">
        <v>0</v>
      </c>
      <c r="I110" s="4">
        <v>0</v>
      </c>
      <c r="J110" s="4">
        <v>0</v>
      </c>
      <c r="K110" s="4">
        <v>681177.1</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173600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0</v>
      </c>
      <c r="BF110" s="4">
        <v>0</v>
      </c>
      <c r="BG110" s="80">
        <f t="shared" si="19"/>
        <v>854778.1</v>
      </c>
      <c r="BH110" s="80">
        <f t="shared" si="16"/>
        <v>681177.1</v>
      </c>
      <c r="BI110" s="80">
        <f t="shared" si="17"/>
        <v>173600</v>
      </c>
      <c r="BJ110" s="80">
        <f t="shared" si="18"/>
        <v>1</v>
      </c>
    </row>
    <row r="111" spans="3:62" x14ac:dyDescent="0.3">
      <c r="D111">
        <v>1463</v>
      </c>
      <c r="E111" t="s">
        <v>397</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3">
      <c r="D112">
        <v>1464</v>
      </c>
      <c r="E112" t="s">
        <v>398</v>
      </c>
      <c r="F112" s="4">
        <v>0</v>
      </c>
      <c r="G112" s="4">
        <v>0</v>
      </c>
      <c r="H112" s="4">
        <v>0</v>
      </c>
      <c r="I112" s="4">
        <v>0</v>
      </c>
      <c r="J112" s="4">
        <v>0</v>
      </c>
      <c r="K112" s="4">
        <v>0</v>
      </c>
      <c r="L112" s="4">
        <v>0</v>
      </c>
      <c r="M112" s="4">
        <v>0</v>
      </c>
      <c r="N112" s="4">
        <v>0</v>
      </c>
      <c r="O112" s="4">
        <v>0</v>
      </c>
      <c r="P112" s="4">
        <v>10000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10000</v>
      </c>
      <c r="BH112" s="80">
        <f t="shared" si="16"/>
        <v>10000</v>
      </c>
      <c r="BI112" s="80">
        <f t="shared" si="17"/>
        <v>0</v>
      </c>
      <c r="BJ112" s="80">
        <f t="shared" si="18"/>
        <v>0</v>
      </c>
    </row>
    <row r="113" spans="1:62" x14ac:dyDescent="0.3">
      <c r="D113">
        <v>1465</v>
      </c>
      <c r="E113" t="s">
        <v>399</v>
      </c>
      <c r="F113" s="4">
        <v>0</v>
      </c>
      <c r="G113" s="4">
        <v>0</v>
      </c>
      <c r="H113" s="4">
        <v>0</v>
      </c>
      <c r="I113" s="4">
        <v>0</v>
      </c>
      <c r="J113" s="4">
        <v>0</v>
      </c>
      <c r="K113" s="4">
        <v>0</v>
      </c>
      <c r="L113" s="4">
        <v>0</v>
      </c>
      <c r="M113" s="4">
        <v>0</v>
      </c>
      <c r="N113" s="4">
        <v>0</v>
      </c>
      <c r="O113" s="4">
        <v>0</v>
      </c>
      <c r="P113" s="4">
        <v>47250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47250</v>
      </c>
      <c r="BH113" s="80">
        <f t="shared" si="16"/>
        <v>47250</v>
      </c>
      <c r="BI113" s="80">
        <f t="shared" si="17"/>
        <v>0</v>
      </c>
      <c r="BJ113" s="80">
        <f t="shared" si="18"/>
        <v>0</v>
      </c>
    </row>
    <row r="114" spans="1:62" x14ac:dyDescent="0.3">
      <c r="D114">
        <v>1466</v>
      </c>
      <c r="E114" t="s">
        <v>405</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48000</v>
      </c>
      <c r="BF114" s="4">
        <v>0</v>
      </c>
      <c r="BG114" s="80">
        <f t="shared" si="19"/>
        <v>48000</v>
      </c>
      <c r="BH114" s="80">
        <f t="shared" si="16"/>
        <v>0</v>
      </c>
      <c r="BI114" s="80">
        <f t="shared" si="17"/>
        <v>0</v>
      </c>
      <c r="BJ114" s="80">
        <f t="shared" si="18"/>
        <v>48000</v>
      </c>
    </row>
    <row r="115" spans="1:62" x14ac:dyDescent="0.3">
      <c r="D115">
        <v>1467</v>
      </c>
      <c r="E115" t="s">
        <v>400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3">
      <c r="D116">
        <v>1468</v>
      </c>
      <c r="E116" t="s">
        <v>401</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3">
      <c r="D117">
        <v>1469</v>
      </c>
      <c r="E117" t="s">
        <v>402</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4">
      <c r="A120" s="81">
        <v>2</v>
      </c>
      <c r="B120" s="81"/>
      <c r="C120" s="81"/>
      <c r="D120" s="81"/>
      <c r="E120" s="81" t="s">
        <v>258</v>
      </c>
      <c r="F120" s="88">
        <f>F122+F132+F142+F152+F164+F172+F183+F190+F193+F197+F200+F203+F206+F209+F212+F215</f>
        <v>13767242.959999999</v>
      </c>
      <c r="G120" s="88">
        <f t="shared" ref="G120:BF120" si="25">G122+G132+G142+G152+G164+G172+G183+G190+G193+G197+G200+G203+G206+G209+G212+G215</f>
        <v>3134013.04</v>
      </c>
      <c r="H120" s="88">
        <f t="shared" si="25"/>
        <v>7227788.7299999995</v>
      </c>
      <c r="I120" s="88">
        <f t="shared" si="25"/>
        <v>7239066.0200000005</v>
      </c>
      <c r="J120" s="88">
        <f t="shared" si="25"/>
        <v>36132344.460000001</v>
      </c>
      <c r="K120" s="88">
        <f t="shared" si="25"/>
        <v>32990102.620000001</v>
      </c>
      <c r="L120" s="88">
        <f t="shared" si="25"/>
        <v>21280661.979999997</v>
      </c>
      <c r="M120" s="88">
        <f t="shared" si="25"/>
        <v>168397106.64999995</v>
      </c>
      <c r="N120" s="88">
        <f t="shared" si="25"/>
        <v>11072422.869999999</v>
      </c>
      <c r="O120" s="88">
        <f t="shared" si="25"/>
        <v>1660064.2800000003</v>
      </c>
      <c r="P120" s="88">
        <f t="shared" si="25"/>
        <v>52507769.700000003</v>
      </c>
      <c r="Q120" s="88">
        <f t="shared" si="25"/>
        <v>5092474.78</v>
      </c>
      <c r="R120" s="88">
        <f t="shared" si="25"/>
        <v>783728.15000000014</v>
      </c>
      <c r="S120" s="88">
        <f t="shared" si="25"/>
        <v>4114146.89</v>
      </c>
      <c r="T120" s="88">
        <f t="shared" si="25"/>
        <v>5415344.3000000017</v>
      </c>
      <c r="U120" s="88">
        <f t="shared" si="25"/>
        <v>8225810.21</v>
      </c>
      <c r="V120" s="88">
        <f t="shared" si="25"/>
        <v>1843456.4200000002</v>
      </c>
      <c r="W120" s="88">
        <f t="shared" si="25"/>
        <v>5410806.0699999994</v>
      </c>
      <c r="X120" s="88">
        <f t="shared" si="25"/>
        <v>20965921.919999998</v>
      </c>
      <c r="Y120" s="88">
        <f t="shared" si="25"/>
        <v>3832692.91</v>
      </c>
      <c r="Z120" s="88">
        <f t="shared" si="25"/>
        <v>15059281.84</v>
      </c>
      <c r="AA120" s="88">
        <f t="shared" si="25"/>
        <v>30853873.280000001</v>
      </c>
      <c r="AB120" s="88">
        <f t="shared" si="25"/>
        <v>1423804.8399999999</v>
      </c>
      <c r="AC120" s="88">
        <f t="shared" si="25"/>
        <v>3071133.7</v>
      </c>
      <c r="AD120" s="88">
        <f t="shared" si="25"/>
        <v>6033718.7599999998</v>
      </c>
      <c r="AE120" s="88">
        <f t="shared" si="25"/>
        <v>9910326.6400000006</v>
      </c>
      <c r="AF120" s="88">
        <f t="shared" si="25"/>
        <v>7277254.8899999997</v>
      </c>
      <c r="AG120" s="88">
        <f t="shared" si="25"/>
        <v>9021893.5500000007</v>
      </c>
      <c r="AH120" s="88">
        <f t="shared" si="25"/>
        <v>16928536.469999999</v>
      </c>
      <c r="AI120" s="88">
        <f t="shared" si="25"/>
        <v>28813417.359999996</v>
      </c>
      <c r="AJ120" s="88">
        <f t="shared" si="25"/>
        <v>3862671.66</v>
      </c>
      <c r="AK120" s="88">
        <f t="shared" si="25"/>
        <v>3462349.74</v>
      </c>
      <c r="AL120" s="88">
        <f t="shared" si="25"/>
        <v>21449925.300000001</v>
      </c>
      <c r="AM120" s="88">
        <f t="shared" si="25"/>
        <v>16244866.620000001</v>
      </c>
      <c r="AN120" s="88">
        <f t="shared" si="25"/>
        <v>15132556.410000002</v>
      </c>
      <c r="AO120" s="88">
        <f t="shared" si="25"/>
        <v>2953726.84</v>
      </c>
      <c r="AP120" s="88">
        <f t="shared" si="25"/>
        <v>30861910.629999999</v>
      </c>
      <c r="AQ120" s="88">
        <f t="shared" si="25"/>
        <v>8168972.4600000009</v>
      </c>
      <c r="AR120" s="88">
        <f t="shared" si="25"/>
        <v>7159823.9400000004</v>
      </c>
      <c r="AS120" s="88">
        <f t="shared" si="25"/>
        <v>21077147.23</v>
      </c>
      <c r="AT120" s="88">
        <f t="shared" si="25"/>
        <v>7867083.7499999991</v>
      </c>
      <c r="AU120" s="88">
        <f t="shared" si="25"/>
        <v>10163939.720000001</v>
      </c>
      <c r="AV120" s="88">
        <f t="shared" si="25"/>
        <v>6535725.3300000001</v>
      </c>
      <c r="AW120" s="88">
        <f t="shared" si="25"/>
        <v>21685058.690000001</v>
      </c>
      <c r="AX120" s="88">
        <f t="shared" si="25"/>
        <v>8400934.6799999997</v>
      </c>
      <c r="AY120" s="88">
        <f t="shared" si="25"/>
        <v>1547921.4500000002</v>
      </c>
      <c r="AZ120" s="88">
        <f t="shared" si="25"/>
        <v>3940327.4</v>
      </c>
      <c r="BA120" s="88">
        <f t="shared" si="25"/>
        <v>24181079.010000002</v>
      </c>
      <c r="BB120" s="88">
        <f t="shared" si="25"/>
        <v>4933281.78</v>
      </c>
      <c r="BC120" s="88">
        <f t="shared" si="25"/>
        <v>14600426.539999999</v>
      </c>
      <c r="BD120" s="88">
        <f t="shared" si="25"/>
        <v>1512817.22</v>
      </c>
      <c r="BE120" s="88">
        <f t="shared" si="25"/>
        <v>80438240.210000008</v>
      </c>
      <c r="BF120" s="88">
        <f t="shared" si="25"/>
        <v>6103718.5499999998</v>
      </c>
      <c r="BG120" s="82">
        <f t="shared" si="19"/>
        <v>861770711.44999981</v>
      </c>
      <c r="BH120" s="88">
        <f t="shared" si="16"/>
        <v>407260272.04999983</v>
      </c>
      <c r="BI120" s="88">
        <f t="shared" si="17"/>
        <v>139550955.64000002</v>
      </c>
      <c r="BJ120" s="88">
        <f t="shared" si="18"/>
        <v>314959483.76000005</v>
      </c>
    </row>
    <row r="121" spans="1:62" x14ac:dyDescent="0.3">
      <c r="A121" s="7"/>
      <c r="B121" s="85">
        <v>20</v>
      </c>
      <c r="C121" s="85"/>
      <c r="D121" s="85"/>
      <c r="E121" s="85" t="s">
        <v>259</v>
      </c>
      <c r="F121" s="86">
        <f>F122+F132+F142+F152+F164+F172+F183</f>
        <v>9136260.5199999996</v>
      </c>
      <c r="G121" s="86">
        <f t="shared" ref="G121:BF121" si="26">G122+G132+G142+G152+G164+G172+G183</f>
        <v>2523210.25</v>
      </c>
      <c r="H121" s="86">
        <f t="shared" si="26"/>
        <v>6461558.5199999996</v>
      </c>
      <c r="I121" s="86">
        <f t="shared" si="26"/>
        <v>4936358.18</v>
      </c>
      <c r="J121" s="86">
        <f t="shared" si="26"/>
        <v>26343468.57</v>
      </c>
      <c r="K121" s="86">
        <f t="shared" si="26"/>
        <v>25837679.66</v>
      </c>
      <c r="L121" s="86">
        <f t="shared" si="26"/>
        <v>11484688.109999999</v>
      </c>
      <c r="M121" s="86">
        <f t="shared" si="26"/>
        <v>139191397.21999997</v>
      </c>
      <c r="N121" s="86">
        <f t="shared" si="26"/>
        <v>7307071.8300000001</v>
      </c>
      <c r="O121" s="86">
        <f t="shared" si="26"/>
        <v>862038.84000000008</v>
      </c>
      <c r="P121" s="86">
        <f t="shared" si="26"/>
        <v>46214165.719999999</v>
      </c>
      <c r="Q121" s="86">
        <f t="shared" si="26"/>
        <v>3674228.8800000004</v>
      </c>
      <c r="R121" s="86">
        <f t="shared" si="26"/>
        <v>585366.75</v>
      </c>
      <c r="S121" s="86">
        <f t="shared" si="26"/>
        <v>3329882.66</v>
      </c>
      <c r="T121" s="86">
        <f t="shared" si="26"/>
        <v>4328768.28</v>
      </c>
      <c r="U121" s="86">
        <f t="shared" si="26"/>
        <v>5783474.6900000004</v>
      </c>
      <c r="V121" s="86">
        <f t="shared" si="26"/>
        <v>1064577.6300000001</v>
      </c>
      <c r="W121" s="86">
        <f t="shared" si="26"/>
        <v>4351613.58</v>
      </c>
      <c r="X121" s="86">
        <f t="shared" si="26"/>
        <v>16521169.08</v>
      </c>
      <c r="Y121" s="86">
        <f t="shared" si="26"/>
        <v>701823.61</v>
      </c>
      <c r="Z121" s="86">
        <f t="shared" si="26"/>
        <v>12393883.23</v>
      </c>
      <c r="AA121" s="86">
        <f t="shared" si="26"/>
        <v>13352559.84</v>
      </c>
      <c r="AB121" s="86">
        <f t="shared" si="26"/>
        <v>650530.85</v>
      </c>
      <c r="AC121" s="86">
        <f t="shared" si="26"/>
        <v>1324155.57</v>
      </c>
      <c r="AD121" s="86">
        <f t="shared" si="26"/>
        <v>3949290.9899999998</v>
      </c>
      <c r="AE121" s="86">
        <f t="shared" si="26"/>
        <v>8603148.8800000008</v>
      </c>
      <c r="AF121" s="86">
        <f t="shared" si="26"/>
        <v>4184157.13</v>
      </c>
      <c r="AG121" s="86">
        <f t="shared" si="26"/>
        <v>1835141.4</v>
      </c>
      <c r="AH121" s="86">
        <f t="shared" si="26"/>
        <v>8867147.3900000006</v>
      </c>
      <c r="AI121" s="86">
        <f t="shared" si="26"/>
        <v>21041584.219999999</v>
      </c>
      <c r="AJ121" s="86">
        <f t="shared" si="26"/>
        <v>1776842.86</v>
      </c>
      <c r="AK121" s="86">
        <f t="shared" si="26"/>
        <v>1181704</v>
      </c>
      <c r="AL121" s="86">
        <f t="shared" si="26"/>
        <v>17629904.52</v>
      </c>
      <c r="AM121" s="86">
        <f t="shared" si="26"/>
        <v>10327486.98</v>
      </c>
      <c r="AN121" s="86">
        <f t="shared" si="26"/>
        <v>11723916.060000002</v>
      </c>
      <c r="AO121" s="86">
        <f t="shared" si="26"/>
        <v>2118226.58</v>
      </c>
      <c r="AP121" s="86">
        <f t="shared" si="26"/>
        <v>11108782.970000001</v>
      </c>
      <c r="AQ121" s="86">
        <f t="shared" si="26"/>
        <v>5278048.49</v>
      </c>
      <c r="AR121" s="86">
        <f t="shared" si="26"/>
        <v>4581585.83</v>
      </c>
      <c r="AS121" s="86">
        <f t="shared" si="26"/>
        <v>10511435.380000001</v>
      </c>
      <c r="AT121" s="86">
        <f t="shared" si="26"/>
        <v>5932741.29</v>
      </c>
      <c r="AU121" s="86">
        <f t="shared" si="26"/>
        <v>8541645.5500000007</v>
      </c>
      <c r="AV121" s="86">
        <f t="shared" si="26"/>
        <v>2009618.6500000001</v>
      </c>
      <c r="AW121" s="86">
        <f t="shared" si="26"/>
        <v>14597972.57</v>
      </c>
      <c r="AX121" s="86">
        <f t="shared" si="26"/>
        <v>6019600.25</v>
      </c>
      <c r="AY121" s="86">
        <f t="shared" si="26"/>
        <v>982153.85</v>
      </c>
      <c r="AZ121" s="86">
        <f t="shared" si="26"/>
        <v>2330422.44</v>
      </c>
      <c r="BA121" s="86">
        <f t="shared" si="26"/>
        <v>21035834.379999999</v>
      </c>
      <c r="BB121" s="86">
        <f t="shared" si="26"/>
        <v>1750180.59</v>
      </c>
      <c r="BC121" s="86">
        <f t="shared" si="26"/>
        <v>10648246.140000001</v>
      </c>
      <c r="BD121" s="86">
        <f t="shared" si="26"/>
        <v>295678.96000000002</v>
      </c>
      <c r="BE121" s="86">
        <f t="shared" si="26"/>
        <v>69383333.870000005</v>
      </c>
      <c r="BF121" s="86">
        <f t="shared" si="26"/>
        <v>4724519.8</v>
      </c>
      <c r="BG121" s="86">
        <f t="shared" si="19"/>
        <v>621330284.08999991</v>
      </c>
      <c r="BH121" s="86">
        <f t="shared" si="16"/>
        <v>319936978.96999991</v>
      </c>
      <c r="BI121" s="86">
        <f t="shared" si="17"/>
        <v>79861969.969999999</v>
      </c>
      <c r="BJ121" s="86">
        <f t="shared" si="18"/>
        <v>221531335.15000001</v>
      </c>
    </row>
    <row r="122" spans="1:62" x14ac:dyDescent="0.3">
      <c r="C122" s="83">
        <v>200</v>
      </c>
      <c r="D122" s="83"/>
      <c r="E122" s="83" t="s">
        <v>260</v>
      </c>
      <c r="F122" s="84">
        <f>F123+F124+F125+F126+F127+F128+F129+F130</f>
        <v>3771.65</v>
      </c>
      <c r="G122" s="84">
        <f t="shared" ref="G122:BF122" si="27">G123+G124+G125+G126+G127+G128+G129+G130</f>
        <v>44599</v>
      </c>
      <c r="H122" s="84">
        <f t="shared" si="27"/>
        <v>112759.55</v>
      </c>
      <c r="I122" s="84">
        <f t="shared" si="27"/>
        <v>235227.35</v>
      </c>
      <c r="J122" s="84">
        <f t="shared" si="27"/>
        <v>600201.06999999995</v>
      </c>
      <c r="K122" s="84">
        <f t="shared" si="27"/>
        <v>1247071.52</v>
      </c>
      <c r="L122" s="84">
        <f t="shared" si="27"/>
        <v>201552.2</v>
      </c>
      <c r="M122" s="84">
        <f t="shared" si="27"/>
        <v>9604614.6600000001</v>
      </c>
      <c r="N122" s="84">
        <f t="shared" si="27"/>
        <v>409615.93</v>
      </c>
      <c r="O122" s="84">
        <f t="shared" si="27"/>
        <v>0</v>
      </c>
      <c r="P122" s="84">
        <f t="shared" si="27"/>
        <v>1453277.2199999997</v>
      </c>
      <c r="Q122" s="84">
        <f t="shared" si="27"/>
        <v>97190.07</v>
      </c>
      <c r="R122" s="84">
        <f t="shared" si="27"/>
        <v>25537.75</v>
      </c>
      <c r="S122" s="84">
        <f t="shared" si="27"/>
        <v>266808.40999999997</v>
      </c>
      <c r="T122" s="84">
        <f t="shared" si="27"/>
        <v>563608.91</v>
      </c>
      <c r="U122" s="84">
        <f t="shared" si="27"/>
        <v>394276.37</v>
      </c>
      <c r="V122" s="84">
        <f t="shared" si="27"/>
        <v>213190.62</v>
      </c>
      <c r="W122" s="84">
        <f t="shared" si="27"/>
        <v>221716.44999999998</v>
      </c>
      <c r="X122" s="84">
        <f t="shared" si="27"/>
        <v>2071297.1199999999</v>
      </c>
      <c r="Y122" s="84">
        <f t="shared" si="27"/>
        <v>0</v>
      </c>
      <c r="Z122" s="84">
        <f t="shared" si="27"/>
        <v>8866789.9800000004</v>
      </c>
      <c r="AA122" s="84">
        <f t="shared" si="27"/>
        <v>3389024.96</v>
      </c>
      <c r="AB122" s="84">
        <f t="shared" si="27"/>
        <v>33957.25</v>
      </c>
      <c r="AC122" s="84">
        <f t="shared" si="27"/>
        <v>31444.129999999997</v>
      </c>
      <c r="AD122" s="84">
        <f t="shared" si="27"/>
        <v>287157.11</v>
      </c>
      <c r="AE122" s="84">
        <f t="shared" si="27"/>
        <v>667667.15</v>
      </c>
      <c r="AF122" s="84">
        <f t="shared" si="27"/>
        <v>0</v>
      </c>
      <c r="AG122" s="84">
        <f t="shared" si="27"/>
        <v>163650.84999999998</v>
      </c>
      <c r="AH122" s="84">
        <f t="shared" si="27"/>
        <v>1264494.6400000001</v>
      </c>
      <c r="AI122" s="84">
        <f t="shared" si="27"/>
        <v>283596.94999999995</v>
      </c>
      <c r="AJ122" s="84">
        <f t="shared" si="27"/>
        <v>613599.80000000005</v>
      </c>
      <c r="AK122" s="84">
        <f t="shared" si="27"/>
        <v>43246.05</v>
      </c>
      <c r="AL122" s="84">
        <f t="shared" si="27"/>
        <v>341959.9</v>
      </c>
      <c r="AM122" s="84">
        <f t="shared" si="27"/>
        <v>16414.79</v>
      </c>
      <c r="AN122" s="84">
        <f t="shared" si="27"/>
        <v>228127.4</v>
      </c>
      <c r="AO122" s="84">
        <f t="shared" si="27"/>
        <v>30726.94</v>
      </c>
      <c r="AP122" s="84">
        <f t="shared" si="27"/>
        <v>1175364.1000000001</v>
      </c>
      <c r="AQ122" s="84">
        <f t="shared" si="27"/>
        <v>422314.19</v>
      </c>
      <c r="AR122" s="84">
        <f t="shared" si="27"/>
        <v>135767.88</v>
      </c>
      <c r="AS122" s="84">
        <f t="shared" si="27"/>
        <v>322954.8</v>
      </c>
      <c r="AT122" s="84">
        <f t="shared" si="27"/>
        <v>362403.69</v>
      </c>
      <c r="AU122" s="84">
        <f t="shared" si="27"/>
        <v>315891.65999999997</v>
      </c>
      <c r="AV122" s="84">
        <f t="shared" si="27"/>
        <v>47182.1</v>
      </c>
      <c r="AW122" s="84">
        <f t="shared" si="27"/>
        <v>526840.46</v>
      </c>
      <c r="AX122" s="84">
        <f t="shared" si="27"/>
        <v>125306.3</v>
      </c>
      <c r="AY122" s="84">
        <f t="shared" si="27"/>
        <v>18759.349999999999</v>
      </c>
      <c r="AZ122" s="84">
        <f t="shared" si="27"/>
        <v>158646.04999999999</v>
      </c>
      <c r="BA122" s="84">
        <f t="shared" si="27"/>
        <v>1392297.75</v>
      </c>
      <c r="BB122" s="84">
        <f t="shared" si="27"/>
        <v>34063.440000000002</v>
      </c>
      <c r="BC122" s="84">
        <f t="shared" si="27"/>
        <v>1010318.05</v>
      </c>
      <c r="BD122" s="84">
        <f t="shared" si="27"/>
        <v>57543.880000000005</v>
      </c>
      <c r="BE122" s="84">
        <f t="shared" si="27"/>
        <v>2286095.0300000003</v>
      </c>
      <c r="BF122" s="84">
        <f t="shared" si="27"/>
        <v>403308.85</v>
      </c>
      <c r="BG122" s="84">
        <f t="shared" si="19"/>
        <v>42823231.329999983</v>
      </c>
      <c r="BH122" s="84">
        <f t="shared" si="16"/>
        <v>17766315.849999998</v>
      </c>
      <c r="BI122" s="84">
        <f t="shared" si="17"/>
        <v>15644628.870000003</v>
      </c>
      <c r="BJ122" s="84">
        <f t="shared" si="18"/>
        <v>9412286.6099999994</v>
      </c>
    </row>
    <row r="123" spans="1:62" x14ac:dyDescent="0.3">
      <c r="D123">
        <v>2000</v>
      </c>
      <c r="E123" t="s">
        <v>407</v>
      </c>
      <c r="F123" s="4">
        <v>0</v>
      </c>
      <c r="G123" s="4">
        <v>42675.35</v>
      </c>
      <c r="H123" s="4">
        <v>112369.55</v>
      </c>
      <c r="I123" s="4">
        <v>141826.45000000001</v>
      </c>
      <c r="J123" s="4">
        <v>600201.06999999995</v>
      </c>
      <c r="K123" s="4">
        <v>711932.23</v>
      </c>
      <c r="L123" s="4">
        <v>191915.1</v>
      </c>
      <c r="M123" s="4">
        <v>7284458.7800000003</v>
      </c>
      <c r="N123" s="4">
        <v>408815.93</v>
      </c>
      <c r="O123" s="4">
        <v>0</v>
      </c>
      <c r="P123" s="4">
        <v>1354982.15</v>
      </c>
      <c r="Q123" s="4">
        <v>0.05</v>
      </c>
      <c r="R123" s="4">
        <v>537.75</v>
      </c>
      <c r="S123" s="4">
        <v>266808.40999999997</v>
      </c>
      <c r="T123" s="4">
        <v>65.349999999999994</v>
      </c>
      <c r="U123" s="4">
        <v>394276.37</v>
      </c>
      <c r="V123" s="4">
        <v>68172.5</v>
      </c>
      <c r="W123" s="4">
        <v>147146.04999999999</v>
      </c>
      <c r="X123" s="4">
        <v>1171705.45</v>
      </c>
      <c r="Y123" s="4">
        <v>0</v>
      </c>
      <c r="Z123" s="4">
        <v>239364.65</v>
      </c>
      <c r="AA123" s="4">
        <v>1425943.76</v>
      </c>
      <c r="AB123" s="4">
        <v>33957.25</v>
      </c>
      <c r="AC123" s="4">
        <v>17721.849999999999</v>
      </c>
      <c r="AD123" s="4">
        <v>72925.11</v>
      </c>
      <c r="AE123" s="4">
        <v>624350.5</v>
      </c>
      <c r="AF123" s="4">
        <v>0</v>
      </c>
      <c r="AG123" s="4">
        <v>89073.2</v>
      </c>
      <c r="AH123" s="4">
        <v>1185117.5900000001</v>
      </c>
      <c r="AI123" s="4">
        <v>279812.59999999998</v>
      </c>
      <c r="AJ123" s="4">
        <v>0</v>
      </c>
      <c r="AK123" s="4">
        <v>14802.25</v>
      </c>
      <c r="AL123" s="4">
        <v>329770.90000000002</v>
      </c>
      <c r="AM123" s="4">
        <v>16414.79</v>
      </c>
      <c r="AN123" s="4">
        <v>226267.4</v>
      </c>
      <c r="AO123" s="4">
        <v>30726.94</v>
      </c>
      <c r="AP123" s="4">
        <v>1174464.1000000001</v>
      </c>
      <c r="AQ123" s="4">
        <v>160388.95000000001</v>
      </c>
      <c r="AR123" s="4">
        <v>135767.88</v>
      </c>
      <c r="AS123" s="4">
        <v>320325.25</v>
      </c>
      <c r="AT123" s="4">
        <v>362403.69</v>
      </c>
      <c r="AU123" s="4">
        <v>211070.65</v>
      </c>
      <c r="AV123" s="4">
        <v>47182.1</v>
      </c>
      <c r="AW123" s="4">
        <v>568205.85</v>
      </c>
      <c r="AX123" s="4">
        <v>125306.3</v>
      </c>
      <c r="AY123" s="4">
        <v>18759.349999999999</v>
      </c>
      <c r="AZ123" s="4">
        <v>158646.04999999999</v>
      </c>
      <c r="BA123" s="4">
        <v>132342.70000000001</v>
      </c>
      <c r="BB123" s="4">
        <v>34063.440000000002</v>
      </c>
      <c r="BC123" s="4">
        <v>255255.45</v>
      </c>
      <c r="BD123" s="4">
        <v>30543.88</v>
      </c>
      <c r="BE123" s="4">
        <v>2221516.14</v>
      </c>
      <c r="BF123" s="4">
        <v>89314.75</v>
      </c>
      <c r="BG123" s="80">
        <f t="shared" si="19"/>
        <v>23529693.860000003</v>
      </c>
      <c r="BH123" s="80">
        <f t="shared" si="16"/>
        <v>12897888.540000001</v>
      </c>
      <c r="BI123" s="80">
        <f t="shared" si="17"/>
        <v>3983068.7600000002</v>
      </c>
      <c r="BJ123" s="80">
        <f t="shared" si="18"/>
        <v>6648736.5600000005</v>
      </c>
    </row>
    <row r="124" spans="1:62" x14ac:dyDescent="0.3">
      <c r="D124">
        <v>2001</v>
      </c>
      <c r="E124" t="s">
        <v>408</v>
      </c>
      <c r="F124" s="4">
        <v>7300.55</v>
      </c>
      <c r="G124" s="4">
        <v>523.65</v>
      </c>
      <c r="H124" s="4">
        <v>0</v>
      </c>
      <c r="I124" s="4">
        <v>-599.1</v>
      </c>
      <c r="J124" s="4">
        <v>0</v>
      </c>
      <c r="K124" s="4">
        <v>14068.45</v>
      </c>
      <c r="L124" s="4">
        <v>9637.1</v>
      </c>
      <c r="M124" s="4">
        <v>-166983.51</v>
      </c>
      <c r="N124" s="4">
        <v>0</v>
      </c>
      <c r="O124" s="4">
        <v>0</v>
      </c>
      <c r="P124" s="4">
        <v>66428.47</v>
      </c>
      <c r="Q124" s="4">
        <v>0</v>
      </c>
      <c r="R124" s="4">
        <v>0</v>
      </c>
      <c r="S124" s="4">
        <v>0</v>
      </c>
      <c r="T124" s="4">
        <v>513751.76</v>
      </c>
      <c r="U124" s="4">
        <v>0</v>
      </c>
      <c r="V124" s="4">
        <v>144218.12</v>
      </c>
      <c r="W124" s="4">
        <v>0</v>
      </c>
      <c r="X124" s="4">
        <v>28919.75</v>
      </c>
      <c r="Y124" s="4">
        <v>0</v>
      </c>
      <c r="Z124" s="4">
        <v>91576.8</v>
      </c>
      <c r="AA124" s="4">
        <v>1650.7</v>
      </c>
      <c r="AB124" s="4">
        <v>0</v>
      </c>
      <c r="AC124" s="4">
        <v>13622.28</v>
      </c>
      <c r="AD124" s="4">
        <v>178167.8</v>
      </c>
      <c r="AE124" s="4">
        <v>-192.2</v>
      </c>
      <c r="AF124" s="4">
        <v>0</v>
      </c>
      <c r="AG124" s="4">
        <v>32360.95</v>
      </c>
      <c r="AH124" s="4">
        <v>76257.05</v>
      </c>
      <c r="AI124" s="4">
        <v>0</v>
      </c>
      <c r="AJ124" s="4">
        <v>613599.80000000005</v>
      </c>
      <c r="AK124" s="4">
        <v>27023.8</v>
      </c>
      <c r="AL124" s="4">
        <v>0</v>
      </c>
      <c r="AM124" s="4">
        <v>0</v>
      </c>
      <c r="AN124" s="4">
        <v>0</v>
      </c>
      <c r="AO124" s="4">
        <v>0</v>
      </c>
      <c r="AP124" s="4">
        <v>0</v>
      </c>
      <c r="AQ124" s="4">
        <v>261925.24</v>
      </c>
      <c r="AR124" s="4">
        <v>0</v>
      </c>
      <c r="AS124" s="4">
        <v>0</v>
      </c>
      <c r="AT124" s="4">
        <v>0</v>
      </c>
      <c r="AU124" s="4">
        <v>1694</v>
      </c>
      <c r="AV124" s="4">
        <v>0</v>
      </c>
      <c r="AW124" s="4">
        <v>-30948.9</v>
      </c>
      <c r="AX124" s="4">
        <v>0</v>
      </c>
      <c r="AY124" s="4">
        <v>0</v>
      </c>
      <c r="AZ124" s="4">
        <v>0</v>
      </c>
      <c r="BA124" s="4">
        <v>1259411.7</v>
      </c>
      <c r="BB124" s="4">
        <v>0</v>
      </c>
      <c r="BC124" s="4">
        <v>-50</v>
      </c>
      <c r="BD124" s="4">
        <v>27000</v>
      </c>
      <c r="BE124" s="4">
        <v>1547.75</v>
      </c>
      <c r="BF124" s="4">
        <v>0</v>
      </c>
      <c r="BG124" s="80">
        <f t="shared" si="19"/>
        <v>3171912.0100000002</v>
      </c>
      <c r="BH124" s="80">
        <f t="shared" si="16"/>
        <v>617265.24</v>
      </c>
      <c r="BI124" s="80">
        <f t="shared" si="17"/>
        <v>1034066.98</v>
      </c>
      <c r="BJ124" s="80">
        <f t="shared" si="18"/>
        <v>1520579.79</v>
      </c>
    </row>
    <row r="125" spans="1:62" x14ac:dyDescent="0.3">
      <c r="D125">
        <v>2002</v>
      </c>
      <c r="E125" t="s">
        <v>409</v>
      </c>
      <c r="F125" s="4">
        <v>-3528.9</v>
      </c>
      <c r="G125" s="4">
        <v>0</v>
      </c>
      <c r="H125" s="4">
        <v>390</v>
      </c>
      <c r="I125" s="4">
        <v>0</v>
      </c>
      <c r="J125" s="4">
        <v>0</v>
      </c>
      <c r="K125" s="4">
        <v>59525.84</v>
      </c>
      <c r="L125" s="4">
        <v>0</v>
      </c>
      <c r="M125" s="4">
        <v>92661.04</v>
      </c>
      <c r="N125" s="4">
        <v>0</v>
      </c>
      <c r="O125" s="4">
        <v>0</v>
      </c>
      <c r="P125" s="4">
        <v>-231.1</v>
      </c>
      <c r="Q125" s="4">
        <v>0</v>
      </c>
      <c r="R125" s="4">
        <v>0</v>
      </c>
      <c r="S125" s="4">
        <v>0</v>
      </c>
      <c r="T125" s="4">
        <v>9490.9</v>
      </c>
      <c r="U125" s="4">
        <v>0</v>
      </c>
      <c r="V125" s="4">
        <v>0</v>
      </c>
      <c r="W125" s="4">
        <v>48130.400000000001</v>
      </c>
      <c r="X125" s="4">
        <v>0</v>
      </c>
      <c r="Y125" s="4">
        <v>0</v>
      </c>
      <c r="Z125" s="4">
        <v>1800.27</v>
      </c>
      <c r="AA125" s="4">
        <v>1961430.5</v>
      </c>
      <c r="AB125" s="4">
        <v>0</v>
      </c>
      <c r="AC125" s="4">
        <v>0</v>
      </c>
      <c r="AD125" s="4">
        <v>296.95</v>
      </c>
      <c r="AE125" s="4">
        <v>43508.85</v>
      </c>
      <c r="AF125" s="4">
        <v>0</v>
      </c>
      <c r="AG125" s="4">
        <v>0</v>
      </c>
      <c r="AH125" s="4">
        <v>0</v>
      </c>
      <c r="AI125" s="4">
        <v>0</v>
      </c>
      <c r="AJ125" s="4">
        <v>0</v>
      </c>
      <c r="AK125" s="4">
        <v>0</v>
      </c>
      <c r="AL125" s="4">
        <v>12189</v>
      </c>
      <c r="AM125" s="4">
        <v>0</v>
      </c>
      <c r="AN125" s="4">
        <v>0</v>
      </c>
      <c r="AO125" s="4">
        <v>0</v>
      </c>
      <c r="AP125" s="4">
        <v>0</v>
      </c>
      <c r="AQ125" s="4">
        <v>0</v>
      </c>
      <c r="AR125" s="4">
        <v>0</v>
      </c>
      <c r="AS125" s="4">
        <v>2629.55</v>
      </c>
      <c r="AT125" s="4">
        <v>0</v>
      </c>
      <c r="AU125" s="4">
        <v>0</v>
      </c>
      <c r="AV125" s="4">
        <v>0</v>
      </c>
      <c r="AW125" s="4">
        <v>-737.59</v>
      </c>
      <c r="AX125" s="4">
        <v>0</v>
      </c>
      <c r="AY125" s="4">
        <v>0</v>
      </c>
      <c r="AZ125" s="4">
        <v>0</v>
      </c>
      <c r="BA125" s="4">
        <v>543.35</v>
      </c>
      <c r="BB125" s="4">
        <v>0</v>
      </c>
      <c r="BC125" s="4">
        <v>755112.6</v>
      </c>
      <c r="BD125" s="4">
        <v>0</v>
      </c>
      <c r="BE125" s="4">
        <v>0</v>
      </c>
      <c r="BF125" s="4">
        <v>10011.950000000001</v>
      </c>
      <c r="BG125" s="80">
        <f t="shared" si="19"/>
        <v>2993223.6100000008</v>
      </c>
      <c r="BH125" s="80">
        <f t="shared" si="16"/>
        <v>206438.17999999996</v>
      </c>
      <c r="BI125" s="80">
        <f t="shared" si="17"/>
        <v>2007036.57</v>
      </c>
      <c r="BJ125" s="80">
        <f t="shared" si="18"/>
        <v>779748.86</v>
      </c>
    </row>
    <row r="126" spans="1:62" x14ac:dyDescent="0.3">
      <c r="D126">
        <v>2003</v>
      </c>
      <c r="E126" t="s">
        <v>410</v>
      </c>
      <c r="F126" s="4">
        <v>0</v>
      </c>
      <c r="G126" s="4">
        <v>0</v>
      </c>
      <c r="H126" s="4">
        <v>0</v>
      </c>
      <c r="I126" s="4">
        <v>0</v>
      </c>
      <c r="J126" s="4">
        <v>0</v>
      </c>
      <c r="K126" s="4">
        <v>0</v>
      </c>
      <c r="L126" s="4">
        <v>0</v>
      </c>
      <c r="M126" s="4">
        <v>0</v>
      </c>
      <c r="N126" s="4">
        <v>0</v>
      </c>
      <c r="O126" s="4">
        <v>0</v>
      </c>
      <c r="P126" s="4">
        <v>22400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22500</v>
      </c>
      <c r="BH126" s="80">
        <f t="shared" si="16"/>
        <v>22400</v>
      </c>
      <c r="BI126" s="80">
        <f t="shared" si="17"/>
        <v>100</v>
      </c>
      <c r="BJ126" s="80">
        <f t="shared" si="18"/>
        <v>0</v>
      </c>
    </row>
    <row r="127" spans="1:62" x14ac:dyDescent="0.3">
      <c r="D127">
        <v>2004</v>
      </c>
      <c r="E127" t="s">
        <v>411</v>
      </c>
      <c r="F127" s="4">
        <v>0</v>
      </c>
      <c r="G127" s="4">
        <v>0</v>
      </c>
      <c r="H127" s="4">
        <v>0</v>
      </c>
      <c r="I127" s="4">
        <v>0</v>
      </c>
      <c r="J127" s="4">
        <v>0</v>
      </c>
      <c r="K127" s="4">
        <v>450000</v>
      </c>
      <c r="L127" s="4">
        <v>0</v>
      </c>
      <c r="M127" s="4">
        <v>0</v>
      </c>
      <c r="N127" s="4">
        <v>0</v>
      </c>
      <c r="O127" s="4">
        <v>0</v>
      </c>
      <c r="P127" s="4">
        <v>0</v>
      </c>
      <c r="Q127" s="4">
        <v>0</v>
      </c>
      <c r="R127" s="4">
        <v>0</v>
      </c>
      <c r="S127" s="4">
        <v>0</v>
      </c>
      <c r="T127" s="4">
        <v>0</v>
      </c>
      <c r="U127" s="4">
        <v>0</v>
      </c>
      <c r="V127" s="4">
        <v>0</v>
      </c>
      <c r="W127" s="4">
        <v>26380</v>
      </c>
      <c r="X127" s="4">
        <v>2603.15</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103552</v>
      </c>
      <c r="BG127" s="80">
        <f t="shared" si="19"/>
        <v>582535.15</v>
      </c>
      <c r="BH127" s="80">
        <f t="shared" si="16"/>
        <v>478983.15</v>
      </c>
      <c r="BI127" s="80">
        <f t="shared" si="17"/>
        <v>0</v>
      </c>
      <c r="BJ127" s="80">
        <f t="shared" si="18"/>
        <v>103552</v>
      </c>
    </row>
    <row r="128" spans="1:62" x14ac:dyDescent="0.3">
      <c r="D128">
        <v>2005</v>
      </c>
      <c r="E128" t="s">
        <v>332</v>
      </c>
      <c r="F128" s="4">
        <v>0</v>
      </c>
      <c r="G128" s="4">
        <v>0</v>
      </c>
      <c r="H128" s="4">
        <v>0</v>
      </c>
      <c r="I128" s="4">
        <v>94000</v>
      </c>
      <c r="J128" s="4">
        <v>0</v>
      </c>
      <c r="K128" s="4">
        <v>0</v>
      </c>
      <c r="L128" s="4">
        <v>0</v>
      </c>
      <c r="M128" s="4">
        <v>2369614.2999999998</v>
      </c>
      <c r="N128" s="4">
        <v>0</v>
      </c>
      <c r="O128" s="4">
        <v>0</v>
      </c>
      <c r="P128" s="4">
        <v>0</v>
      </c>
      <c r="Q128" s="4">
        <v>97190.02</v>
      </c>
      <c r="R128" s="4">
        <v>25000</v>
      </c>
      <c r="S128" s="4">
        <v>0</v>
      </c>
      <c r="T128" s="4">
        <v>40300.9</v>
      </c>
      <c r="U128" s="4">
        <v>0</v>
      </c>
      <c r="V128" s="4">
        <v>0</v>
      </c>
      <c r="W128" s="4">
        <v>0</v>
      </c>
      <c r="X128" s="4">
        <v>866468.77</v>
      </c>
      <c r="Y128" s="4">
        <v>0</v>
      </c>
      <c r="Z128" s="4">
        <v>0</v>
      </c>
      <c r="AA128" s="4">
        <v>0</v>
      </c>
      <c r="AB128" s="4">
        <v>0</v>
      </c>
      <c r="AC128" s="4">
        <v>0</v>
      </c>
      <c r="AD128" s="4">
        <v>35407.25</v>
      </c>
      <c r="AE128" s="4">
        <v>0</v>
      </c>
      <c r="AF128" s="4">
        <v>0</v>
      </c>
      <c r="AG128" s="4">
        <v>42216.7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60621.14</v>
      </c>
      <c r="BF128" s="4">
        <v>200430.15</v>
      </c>
      <c r="BG128" s="80">
        <f t="shared" si="19"/>
        <v>3920798.34</v>
      </c>
      <c r="BH128" s="80">
        <f t="shared" si="16"/>
        <v>3492573.9899999998</v>
      </c>
      <c r="BI128" s="80">
        <f t="shared" si="17"/>
        <v>77623.95</v>
      </c>
      <c r="BJ128" s="80">
        <f t="shared" si="18"/>
        <v>350600.4</v>
      </c>
    </row>
    <row r="129" spans="3:62" x14ac:dyDescent="0.3">
      <c r="D129">
        <v>2006</v>
      </c>
      <c r="E129" t="s">
        <v>456</v>
      </c>
      <c r="F129" s="4">
        <v>0</v>
      </c>
      <c r="G129" s="4">
        <v>1400</v>
      </c>
      <c r="H129" s="4">
        <v>0</v>
      </c>
      <c r="I129" s="4">
        <v>0</v>
      </c>
      <c r="J129" s="4">
        <v>0</v>
      </c>
      <c r="K129" s="4">
        <v>11545</v>
      </c>
      <c r="L129" s="4">
        <v>0</v>
      </c>
      <c r="M129" s="4">
        <v>24864.05</v>
      </c>
      <c r="N129" s="4">
        <v>800</v>
      </c>
      <c r="O129" s="4">
        <v>0</v>
      </c>
      <c r="P129" s="4">
        <v>9697.7000000000007</v>
      </c>
      <c r="Q129" s="4">
        <v>0</v>
      </c>
      <c r="R129" s="4">
        <v>0</v>
      </c>
      <c r="S129" s="4">
        <v>0</v>
      </c>
      <c r="T129" s="4">
        <v>0</v>
      </c>
      <c r="U129" s="4">
        <v>0</v>
      </c>
      <c r="V129" s="4">
        <v>800</v>
      </c>
      <c r="W129" s="4">
        <v>60</v>
      </c>
      <c r="X129" s="4">
        <v>1600</v>
      </c>
      <c r="Y129" s="4">
        <v>0</v>
      </c>
      <c r="Z129" s="4">
        <v>8534048.2599999998</v>
      </c>
      <c r="AA129" s="4">
        <v>0</v>
      </c>
      <c r="AB129" s="4">
        <v>0</v>
      </c>
      <c r="AC129" s="4">
        <v>0</v>
      </c>
      <c r="AD129" s="4">
        <v>360</v>
      </c>
      <c r="AE129" s="4">
        <v>0</v>
      </c>
      <c r="AF129" s="4">
        <v>0</v>
      </c>
      <c r="AG129" s="4">
        <v>0</v>
      </c>
      <c r="AH129" s="4">
        <v>3120</v>
      </c>
      <c r="AI129" s="4">
        <v>0</v>
      </c>
      <c r="AJ129" s="4">
        <v>0</v>
      </c>
      <c r="AK129" s="4">
        <v>1420</v>
      </c>
      <c r="AL129" s="4">
        <v>0</v>
      </c>
      <c r="AM129" s="4">
        <v>0</v>
      </c>
      <c r="AN129" s="4">
        <v>1860</v>
      </c>
      <c r="AO129" s="4">
        <v>0</v>
      </c>
      <c r="AP129" s="4">
        <v>900</v>
      </c>
      <c r="AQ129" s="4">
        <v>0</v>
      </c>
      <c r="AR129" s="4">
        <v>0</v>
      </c>
      <c r="AS129" s="4">
        <v>0</v>
      </c>
      <c r="AT129" s="4">
        <v>0</v>
      </c>
      <c r="AU129" s="4">
        <v>-1</v>
      </c>
      <c r="AV129" s="4">
        <v>0</v>
      </c>
      <c r="AW129" s="4">
        <v>3900</v>
      </c>
      <c r="AX129" s="4">
        <v>0</v>
      </c>
      <c r="AY129" s="4">
        <v>0</v>
      </c>
      <c r="AZ129" s="4">
        <v>0</v>
      </c>
      <c r="BA129" s="4">
        <v>0</v>
      </c>
      <c r="BB129" s="4">
        <v>0</v>
      </c>
      <c r="BC129" s="4">
        <v>0</v>
      </c>
      <c r="BD129" s="4">
        <v>0</v>
      </c>
      <c r="BE129" s="4">
        <v>2410</v>
      </c>
      <c r="BF129" s="4">
        <v>0</v>
      </c>
      <c r="BG129" s="80">
        <f t="shared" si="19"/>
        <v>8598784.0099999998</v>
      </c>
      <c r="BH129" s="80">
        <f t="shared" si="16"/>
        <v>50766.75</v>
      </c>
      <c r="BI129" s="80">
        <f t="shared" si="17"/>
        <v>8538948.2599999998</v>
      </c>
      <c r="BJ129" s="80">
        <f t="shared" si="18"/>
        <v>9069</v>
      </c>
    </row>
    <row r="130" spans="3:62" x14ac:dyDescent="0.3">
      <c r="D130">
        <v>2009</v>
      </c>
      <c r="E130" t="s">
        <v>413</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3784.35</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v>0</v>
      </c>
      <c r="BG130" s="80">
        <f t="shared" si="19"/>
        <v>3784.35</v>
      </c>
      <c r="BH130" s="80">
        <f t="shared" si="16"/>
        <v>0</v>
      </c>
      <c r="BI130" s="80">
        <f t="shared" si="17"/>
        <v>3784.35</v>
      </c>
      <c r="BJ130" s="80">
        <f t="shared" si="18"/>
        <v>0</v>
      </c>
    </row>
    <row r="131" spans="3:62" x14ac:dyDescent="0.3">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3">
      <c r="C132" s="83">
        <v>201</v>
      </c>
      <c r="D132" s="83"/>
      <c r="E132" s="83" t="s">
        <v>261</v>
      </c>
      <c r="F132" s="84">
        <f>F133+F134+F135+F136+F137+F138+F139+F140</f>
        <v>3909040.7600000002</v>
      </c>
      <c r="G132" s="84">
        <f t="shared" ref="G132:BF132" si="28">G133+G134+G135+G136+G137+G138+G139+G140</f>
        <v>112700</v>
      </c>
      <c r="H132" s="84">
        <f t="shared" si="28"/>
        <v>180090.75</v>
      </c>
      <c r="I132" s="84">
        <f t="shared" si="28"/>
        <v>352998.32999999996</v>
      </c>
      <c r="J132" s="84">
        <f t="shared" si="28"/>
        <v>4511771.7</v>
      </c>
      <c r="K132" s="84">
        <f t="shared" si="28"/>
        <v>5916914</v>
      </c>
      <c r="L132" s="84">
        <f t="shared" si="28"/>
        <v>0</v>
      </c>
      <c r="M132" s="84">
        <f t="shared" si="28"/>
        <v>49004578.5</v>
      </c>
      <c r="N132" s="84">
        <f t="shared" si="28"/>
        <v>267000</v>
      </c>
      <c r="O132" s="84">
        <f t="shared" si="28"/>
        <v>0</v>
      </c>
      <c r="P132" s="84">
        <f t="shared" si="28"/>
        <v>12857311.639999999</v>
      </c>
      <c r="Q132" s="84">
        <f t="shared" si="28"/>
        <v>1264473.8700000001</v>
      </c>
      <c r="R132" s="84">
        <f t="shared" si="28"/>
        <v>125256.5</v>
      </c>
      <c r="S132" s="84">
        <f t="shared" si="28"/>
        <v>0</v>
      </c>
      <c r="T132" s="84">
        <f t="shared" si="28"/>
        <v>2512156.62</v>
      </c>
      <c r="U132" s="84">
        <f t="shared" si="28"/>
        <v>0</v>
      </c>
      <c r="V132" s="84">
        <f t="shared" si="28"/>
        <v>160308.08000000002</v>
      </c>
      <c r="W132" s="84">
        <f t="shared" si="28"/>
        <v>1963055.37</v>
      </c>
      <c r="X132" s="84">
        <f t="shared" si="28"/>
        <v>-76048.84</v>
      </c>
      <c r="Y132" s="84">
        <f t="shared" si="28"/>
        <v>63507.4</v>
      </c>
      <c r="Z132" s="84">
        <f t="shared" si="28"/>
        <v>0</v>
      </c>
      <c r="AA132" s="84">
        <f t="shared" si="28"/>
        <v>0</v>
      </c>
      <c r="AB132" s="84">
        <f t="shared" si="28"/>
        <v>0</v>
      </c>
      <c r="AC132" s="84">
        <f t="shared" si="28"/>
        <v>0</v>
      </c>
      <c r="AD132" s="84">
        <f t="shared" si="28"/>
        <v>795091.5</v>
      </c>
      <c r="AE132" s="84">
        <f t="shared" si="28"/>
        <v>87760.01</v>
      </c>
      <c r="AF132" s="84">
        <f t="shared" si="28"/>
        <v>195428.94</v>
      </c>
      <c r="AG132" s="84">
        <f t="shared" si="28"/>
        <v>484090.64999999997</v>
      </c>
      <c r="AH132" s="84">
        <f t="shared" si="28"/>
        <v>1436720.75</v>
      </c>
      <c r="AI132" s="84">
        <f t="shared" si="28"/>
        <v>7465503.8499999996</v>
      </c>
      <c r="AJ132" s="84">
        <f t="shared" si="28"/>
        <v>64804.639999999999</v>
      </c>
      <c r="AK132" s="84">
        <f t="shared" si="28"/>
        <v>148300</v>
      </c>
      <c r="AL132" s="84">
        <f t="shared" si="28"/>
        <v>0</v>
      </c>
      <c r="AM132" s="84">
        <f t="shared" si="28"/>
        <v>1134925.8399999999</v>
      </c>
      <c r="AN132" s="84">
        <f t="shared" si="28"/>
        <v>438479.73</v>
      </c>
      <c r="AO132" s="84">
        <f t="shared" si="28"/>
        <v>0</v>
      </c>
      <c r="AP132" s="84">
        <f t="shared" si="28"/>
        <v>1000000</v>
      </c>
      <c r="AQ132" s="84">
        <f t="shared" si="28"/>
        <v>50050</v>
      </c>
      <c r="AR132" s="84">
        <f t="shared" si="28"/>
        <v>334240</v>
      </c>
      <c r="AS132" s="84">
        <f t="shared" si="28"/>
        <v>524000</v>
      </c>
      <c r="AT132" s="84">
        <f t="shared" si="28"/>
        <v>333359.06</v>
      </c>
      <c r="AU132" s="84">
        <f t="shared" si="28"/>
        <v>276059</v>
      </c>
      <c r="AV132" s="84">
        <f t="shared" si="28"/>
        <v>19300</v>
      </c>
      <c r="AW132" s="84">
        <f t="shared" si="28"/>
        <v>0</v>
      </c>
      <c r="AX132" s="84">
        <f t="shared" si="28"/>
        <v>1227600</v>
      </c>
      <c r="AY132" s="84">
        <f t="shared" si="28"/>
        <v>0</v>
      </c>
      <c r="AZ132" s="84">
        <f t="shared" si="28"/>
        <v>235243.64</v>
      </c>
      <c r="BA132" s="84">
        <f t="shared" si="28"/>
        <v>530829.82999999996</v>
      </c>
      <c r="BB132" s="84">
        <f t="shared" si="28"/>
        <v>772673.41</v>
      </c>
      <c r="BC132" s="84">
        <f t="shared" si="28"/>
        <v>988442.09</v>
      </c>
      <c r="BD132" s="84">
        <f t="shared" si="28"/>
        <v>0</v>
      </c>
      <c r="BE132" s="84">
        <f t="shared" si="28"/>
        <v>10110840.08</v>
      </c>
      <c r="BF132" s="84">
        <f t="shared" si="28"/>
        <v>150426</v>
      </c>
      <c r="BG132" s="84">
        <f t="shared" si="19"/>
        <v>111929283.70000002</v>
      </c>
      <c r="BH132" s="84">
        <f t="shared" si="16"/>
        <v>83061607.280000001</v>
      </c>
      <c r="BI132" s="84">
        <f t="shared" si="17"/>
        <v>10741207.74</v>
      </c>
      <c r="BJ132" s="84">
        <f t="shared" si="18"/>
        <v>18126468.68</v>
      </c>
    </row>
    <row r="133" spans="3:62" x14ac:dyDescent="0.3">
      <c r="D133">
        <v>2010</v>
      </c>
      <c r="E133" t="s">
        <v>414</v>
      </c>
      <c r="F133" s="4">
        <v>3848998.77</v>
      </c>
      <c r="G133" s="4">
        <v>0</v>
      </c>
      <c r="H133" s="4">
        <v>40690.75</v>
      </c>
      <c r="I133" s="4">
        <v>189292.9</v>
      </c>
      <c r="J133" s="4">
        <v>4511771.7</v>
      </c>
      <c r="K133" s="4">
        <v>5832364</v>
      </c>
      <c r="L133" s="4">
        <v>0</v>
      </c>
      <c r="M133" s="4">
        <v>0</v>
      </c>
      <c r="N133" s="4">
        <v>0</v>
      </c>
      <c r="O133" s="4">
        <v>0</v>
      </c>
      <c r="P133" s="4">
        <v>0</v>
      </c>
      <c r="Q133" s="4">
        <v>1264511.07</v>
      </c>
      <c r="R133" s="4">
        <v>125256.5</v>
      </c>
      <c r="S133" s="4">
        <v>0</v>
      </c>
      <c r="T133" s="4">
        <v>2512156.62</v>
      </c>
      <c r="U133" s="4">
        <v>0</v>
      </c>
      <c r="V133" s="4">
        <v>100208.08</v>
      </c>
      <c r="W133" s="4">
        <v>1829150.37</v>
      </c>
      <c r="X133" s="4">
        <v>-76048.84</v>
      </c>
      <c r="Y133" s="4">
        <v>35907.4</v>
      </c>
      <c r="Z133" s="4">
        <v>0</v>
      </c>
      <c r="AA133" s="4">
        <v>0</v>
      </c>
      <c r="AB133" s="4">
        <v>0</v>
      </c>
      <c r="AC133" s="4">
        <v>0</v>
      </c>
      <c r="AD133" s="4">
        <v>728551.5</v>
      </c>
      <c r="AE133" s="4">
        <v>85426.11</v>
      </c>
      <c r="AF133" s="4">
        <v>86028.94</v>
      </c>
      <c r="AG133" s="4">
        <v>442411.55</v>
      </c>
      <c r="AH133" s="4">
        <v>1436720.75</v>
      </c>
      <c r="AI133" s="4">
        <v>0</v>
      </c>
      <c r="AJ133" s="4">
        <v>0</v>
      </c>
      <c r="AK133" s="4">
        <v>0</v>
      </c>
      <c r="AL133" s="4">
        <v>0</v>
      </c>
      <c r="AM133" s="4">
        <v>832625.84</v>
      </c>
      <c r="AN133" s="4">
        <v>151389.73000000001</v>
      </c>
      <c r="AO133" s="4">
        <v>0</v>
      </c>
      <c r="AP133" s="4">
        <v>1000000</v>
      </c>
      <c r="AQ133" s="4">
        <v>0</v>
      </c>
      <c r="AR133" s="4">
        <v>0</v>
      </c>
      <c r="AS133" s="4">
        <v>524000</v>
      </c>
      <c r="AT133" s="4">
        <v>96529.06</v>
      </c>
      <c r="AU133" s="4">
        <v>0</v>
      </c>
      <c r="AV133" s="4">
        <v>0</v>
      </c>
      <c r="AW133" s="4">
        <v>0</v>
      </c>
      <c r="AX133" s="4">
        <v>0</v>
      </c>
      <c r="AY133" s="4">
        <v>0</v>
      </c>
      <c r="AZ133" s="4">
        <v>235243.64</v>
      </c>
      <c r="BA133" s="4">
        <v>224096.03</v>
      </c>
      <c r="BB133" s="4">
        <v>772673.41</v>
      </c>
      <c r="BC133" s="4">
        <v>725682.09</v>
      </c>
      <c r="BD133" s="4">
        <v>0</v>
      </c>
      <c r="BE133" s="4">
        <v>0.08</v>
      </c>
      <c r="BF133" s="4">
        <v>1341</v>
      </c>
      <c r="BG133" s="80">
        <f t="shared" si="19"/>
        <v>27556979.050000001</v>
      </c>
      <c r="BH133" s="80">
        <f t="shared" si="16"/>
        <v>20178351.920000002</v>
      </c>
      <c r="BI133" s="80">
        <f t="shared" si="17"/>
        <v>2815046.25</v>
      </c>
      <c r="BJ133" s="80">
        <f t="shared" si="18"/>
        <v>4563580.88</v>
      </c>
    </row>
    <row r="134" spans="3:62" x14ac:dyDescent="0.3">
      <c r="D134">
        <v>2011</v>
      </c>
      <c r="E134" t="s">
        <v>415</v>
      </c>
      <c r="F134" s="4">
        <v>0</v>
      </c>
      <c r="G134" s="4">
        <v>0</v>
      </c>
      <c r="H134" s="4">
        <v>0</v>
      </c>
      <c r="I134" s="4">
        <v>163705.43</v>
      </c>
      <c r="J134" s="4">
        <v>0</v>
      </c>
      <c r="K134" s="4">
        <v>0</v>
      </c>
      <c r="L134" s="4">
        <v>0</v>
      </c>
      <c r="M134" s="4">
        <v>2655.5</v>
      </c>
      <c r="N134" s="4">
        <v>0</v>
      </c>
      <c r="O134" s="4">
        <v>0</v>
      </c>
      <c r="P134" s="4">
        <v>9000000</v>
      </c>
      <c r="Q134" s="4">
        <v>-37.200000000000003</v>
      </c>
      <c r="R134" s="4">
        <v>0</v>
      </c>
      <c r="S134" s="4">
        <v>0</v>
      </c>
      <c r="T134" s="4">
        <v>0</v>
      </c>
      <c r="U134" s="4">
        <v>0</v>
      </c>
      <c r="V134" s="4">
        <v>0</v>
      </c>
      <c r="W134" s="4">
        <v>0</v>
      </c>
      <c r="X134" s="4">
        <v>0</v>
      </c>
      <c r="Y134" s="4">
        <v>0</v>
      </c>
      <c r="Z134" s="4">
        <v>0</v>
      </c>
      <c r="AA134" s="4">
        <v>0</v>
      </c>
      <c r="AB134" s="4">
        <v>0</v>
      </c>
      <c r="AC134" s="4">
        <v>0</v>
      </c>
      <c r="AD134" s="4">
        <v>0</v>
      </c>
      <c r="AE134" s="4">
        <v>0</v>
      </c>
      <c r="AF134" s="4">
        <v>0</v>
      </c>
      <c r="AG134" s="4">
        <v>17479.099999999999</v>
      </c>
      <c r="AH134" s="4">
        <v>0</v>
      </c>
      <c r="AI134" s="4">
        <v>0</v>
      </c>
      <c r="AJ134" s="4">
        <v>897.64</v>
      </c>
      <c r="AK134" s="4">
        <v>0</v>
      </c>
      <c r="AL134" s="4">
        <v>0</v>
      </c>
      <c r="AM134" s="4">
        <v>0</v>
      </c>
      <c r="AN134" s="4">
        <v>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9204700.4700000007</v>
      </c>
      <c r="BH134" s="80">
        <f t="shared" si="16"/>
        <v>9166323.7300000004</v>
      </c>
      <c r="BI134" s="80">
        <f t="shared" si="17"/>
        <v>18376.739999999998</v>
      </c>
      <c r="BJ134" s="80">
        <f t="shared" si="18"/>
        <v>20000</v>
      </c>
    </row>
    <row r="135" spans="3:62" x14ac:dyDescent="0.3">
      <c r="D135">
        <v>2012</v>
      </c>
      <c r="E135" t="s">
        <v>416</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3">
      <c r="D136">
        <v>2013</v>
      </c>
      <c r="E136" t="s">
        <v>417</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2333.9</v>
      </c>
      <c r="AF136" s="4">
        <v>0</v>
      </c>
      <c r="AG136" s="4">
        <v>24200</v>
      </c>
      <c r="AH136" s="4">
        <v>0</v>
      </c>
      <c r="AI136" s="4">
        <v>0</v>
      </c>
      <c r="AJ136" s="4">
        <v>42640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69173.899999999994</v>
      </c>
      <c r="BH136" s="80">
        <f t="shared" si="29"/>
        <v>0</v>
      </c>
      <c r="BI136" s="80">
        <f t="shared" si="30"/>
        <v>69173.899999999994</v>
      </c>
      <c r="BJ136" s="80">
        <f t="shared" si="31"/>
        <v>0</v>
      </c>
    </row>
    <row r="137" spans="3:62" x14ac:dyDescent="0.3">
      <c r="D137">
        <v>2014</v>
      </c>
      <c r="E137" t="s">
        <v>419</v>
      </c>
      <c r="F137" s="4">
        <v>60041.99</v>
      </c>
      <c r="G137" s="4">
        <v>112700</v>
      </c>
      <c r="H137" s="4">
        <v>139400</v>
      </c>
      <c r="I137" s="4">
        <v>0</v>
      </c>
      <c r="J137" s="4">
        <v>0</v>
      </c>
      <c r="K137" s="4">
        <v>84550</v>
      </c>
      <c r="L137" s="4">
        <v>0</v>
      </c>
      <c r="M137" s="4">
        <v>49001923</v>
      </c>
      <c r="N137" s="4">
        <v>267000</v>
      </c>
      <c r="O137" s="4">
        <v>0</v>
      </c>
      <c r="P137" s="4">
        <v>3666328.2</v>
      </c>
      <c r="Q137" s="4">
        <v>0</v>
      </c>
      <c r="R137" s="4">
        <v>0</v>
      </c>
      <c r="S137" s="4">
        <v>0</v>
      </c>
      <c r="T137" s="4">
        <v>0</v>
      </c>
      <c r="U137" s="4">
        <v>0</v>
      </c>
      <c r="V137" s="4">
        <v>60100</v>
      </c>
      <c r="W137" s="4">
        <v>133905</v>
      </c>
      <c r="X137" s="4">
        <v>0</v>
      </c>
      <c r="Y137" s="4">
        <v>27600</v>
      </c>
      <c r="Z137" s="4">
        <v>0</v>
      </c>
      <c r="AA137" s="4">
        <v>0</v>
      </c>
      <c r="AB137" s="4">
        <v>0</v>
      </c>
      <c r="AC137" s="4">
        <v>0</v>
      </c>
      <c r="AD137" s="4">
        <v>66540</v>
      </c>
      <c r="AE137" s="4">
        <v>0</v>
      </c>
      <c r="AF137" s="4">
        <v>109400</v>
      </c>
      <c r="AG137" s="4">
        <v>0</v>
      </c>
      <c r="AH137" s="4">
        <v>0</v>
      </c>
      <c r="AI137" s="4">
        <v>7465503.8499999996</v>
      </c>
      <c r="AJ137" s="4">
        <v>21267</v>
      </c>
      <c r="AK137" s="4">
        <v>148300</v>
      </c>
      <c r="AL137" s="4">
        <v>0</v>
      </c>
      <c r="AM137" s="4">
        <v>302300</v>
      </c>
      <c r="AN137" s="4">
        <v>267090</v>
      </c>
      <c r="AO137" s="4">
        <v>0</v>
      </c>
      <c r="AP137" s="4">
        <v>0</v>
      </c>
      <c r="AQ137" s="4">
        <v>50050</v>
      </c>
      <c r="AR137" s="4">
        <v>334240</v>
      </c>
      <c r="AS137" s="4">
        <v>0</v>
      </c>
      <c r="AT137" s="4">
        <v>236830</v>
      </c>
      <c r="AU137" s="4">
        <v>276059</v>
      </c>
      <c r="AV137" s="4">
        <v>19300</v>
      </c>
      <c r="AW137" s="4">
        <v>0</v>
      </c>
      <c r="AX137" s="4">
        <v>1227600</v>
      </c>
      <c r="AY137" s="4">
        <v>0</v>
      </c>
      <c r="AZ137" s="4">
        <v>0</v>
      </c>
      <c r="BA137" s="4">
        <v>0</v>
      </c>
      <c r="BB137" s="4">
        <v>0</v>
      </c>
      <c r="BC137" s="4">
        <v>262760</v>
      </c>
      <c r="BD137" s="4">
        <v>0</v>
      </c>
      <c r="BE137" s="4">
        <v>10110840</v>
      </c>
      <c r="BF137" s="4">
        <v>149085</v>
      </c>
      <c r="BG137" s="80">
        <f t="shared" si="32"/>
        <v>74600713.040000007</v>
      </c>
      <c r="BH137" s="80">
        <f t="shared" si="29"/>
        <v>53525948.190000005</v>
      </c>
      <c r="BI137" s="80">
        <f t="shared" si="30"/>
        <v>7838610.8499999996</v>
      </c>
      <c r="BJ137" s="80">
        <f t="shared" si="31"/>
        <v>13236154</v>
      </c>
    </row>
    <row r="138" spans="3:62" x14ac:dyDescent="0.3">
      <c r="D138">
        <v>2015</v>
      </c>
      <c r="E138" t="s">
        <v>418</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3">
      <c r="D139">
        <v>2016</v>
      </c>
      <c r="E139" t="s">
        <v>276</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3">
      <c r="D140">
        <v>2019</v>
      </c>
      <c r="E140" t="s">
        <v>420</v>
      </c>
      <c r="F140" s="4">
        <v>0</v>
      </c>
      <c r="G140" s="4">
        <v>0</v>
      </c>
      <c r="H140" s="4">
        <v>0</v>
      </c>
      <c r="I140" s="4">
        <v>0</v>
      </c>
      <c r="J140" s="4">
        <v>0</v>
      </c>
      <c r="K140" s="4">
        <v>0</v>
      </c>
      <c r="L140" s="4">
        <v>0</v>
      </c>
      <c r="M140" s="4">
        <v>0</v>
      </c>
      <c r="N140" s="4">
        <v>0</v>
      </c>
      <c r="O140" s="4">
        <v>0</v>
      </c>
      <c r="P140" s="4">
        <v>190983.44</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306733.8</v>
      </c>
      <c r="BB140" s="4">
        <v>0</v>
      </c>
      <c r="BC140" s="4">
        <v>0</v>
      </c>
      <c r="BD140" s="4">
        <v>0</v>
      </c>
      <c r="BE140" s="4">
        <v>0</v>
      </c>
      <c r="BF140" s="4">
        <v>0</v>
      </c>
      <c r="BG140" s="80">
        <f t="shared" si="32"/>
        <v>497717.24</v>
      </c>
      <c r="BH140" s="80">
        <f t="shared" si="29"/>
        <v>190983.44</v>
      </c>
      <c r="BI140" s="80">
        <f t="shared" si="30"/>
        <v>0</v>
      </c>
      <c r="BJ140" s="80">
        <f t="shared" si="31"/>
        <v>306733.8</v>
      </c>
    </row>
    <row r="141" spans="3:62" x14ac:dyDescent="0.3">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3">
      <c r="C142" s="83">
        <v>204</v>
      </c>
      <c r="D142" s="83"/>
      <c r="E142" s="83" t="s">
        <v>262</v>
      </c>
      <c r="F142" s="84">
        <f>F143+F144+F145+F146+F147+F148+F149+F150</f>
        <v>268600.05000000005</v>
      </c>
      <c r="G142" s="84">
        <f t="shared" ref="G142:BF142" si="33">G143+G144+G145+G146+G147+G148+G149+G150</f>
        <v>35408.400000000001</v>
      </c>
      <c r="H142" s="84">
        <f t="shared" si="33"/>
        <v>809668.22</v>
      </c>
      <c r="I142" s="84">
        <f t="shared" si="33"/>
        <v>280963.07</v>
      </c>
      <c r="J142" s="84">
        <f t="shared" si="33"/>
        <v>621074.5</v>
      </c>
      <c r="K142" s="84">
        <f t="shared" si="33"/>
        <v>146429.33000000002</v>
      </c>
      <c r="L142" s="84">
        <f t="shared" si="33"/>
        <v>521605.15</v>
      </c>
      <c r="M142" s="84">
        <f t="shared" si="33"/>
        <v>4205594.0599999996</v>
      </c>
      <c r="N142" s="84">
        <f t="shared" si="33"/>
        <v>184878.6</v>
      </c>
      <c r="O142" s="84">
        <f t="shared" si="33"/>
        <v>36321.94</v>
      </c>
      <c r="P142" s="84">
        <f t="shared" si="33"/>
        <v>102766.56</v>
      </c>
      <c r="Q142" s="84">
        <f t="shared" si="33"/>
        <v>496682.2</v>
      </c>
      <c r="R142" s="84">
        <f t="shared" si="33"/>
        <v>48972.5</v>
      </c>
      <c r="S142" s="84">
        <f t="shared" si="33"/>
        <v>2100</v>
      </c>
      <c r="T142" s="84">
        <f t="shared" si="33"/>
        <v>85964.800000000017</v>
      </c>
      <c r="U142" s="84">
        <f t="shared" si="33"/>
        <v>115366.32</v>
      </c>
      <c r="V142" s="84">
        <f t="shared" si="33"/>
        <v>70796.150000000009</v>
      </c>
      <c r="W142" s="84">
        <f t="shared" si="33"/>
        <v>200674.49000000002</v>
      </c>
      <c r="X142" s="84">
        <f t="shared" si="33"/>
        <v>360967.57</v>
      </c>
      <c r="Y142" s="84">
        <f t="shared" si="33"/>
        <v>74252.210000000006</v>
      </c>
      <c r="Z142" s="84">
        <f t="shared" si="33"/>
        <v>148965.85</v>
      </c>
      <c r="AA142" s="84">
        <f t="shared" si="33"/>
        <v>1234334.8800000001</v>
      </c>
      <c r="AB142" s="84">
        <f t="shared" si="33"/>
        <v>6383.6</v>
      </c>
      <c r="AC142" s="84">
        <f t="shared" si="33"/>
        <v>71712.850000000006</v>
      </c>
      <c r="AD142" s="84">
        <f t="shared" si="33"/>
        <v>94933.2</v>
      </c>
      <c r="AE142" s="84">
        <f t="shared" si="33"/>
        <v>23239.440000000002</v>
      </c>
      <c r="AF142" s="84">
        <f t="shared" si="33"/>
        <v>226502.03</v>
      </c>
      <c r="AG142" s="84">
        <f t="shared" si="33"/>
        <v>577907.5</v>
      </c>
      <c r="AH142" s="84">
        <f t="shared" si="33"/>
        <v>309309.25</v>
      </c>
      <c r="AI142" s="84">
        <f t="shared" si="33"/>
        <v>494605.9</v>
      </c>
      <c r="AJ142" s="84">
        <f t="shared" si="33"/>
        <v>144395.35</v>
      </c>
      <c r="AK142" s="84">
        <f t="shared" si="33"/>
        <v>18247.95</v>
      </c>
      <c r="AL142" s="84">
        <f t="shared" si="33"/>
        <v>0</v>
      </c>
      <c r="AM142" s="84">
        <f t="shared" si="33"/>
        <v>634996.35</v>
      </c>
      <c r="AN142" s="84">
        <f t="shared" si="33"/>
        <v>119516.25</v>
      </c>
      <c r="AO142" s="84">
        <f t="shared" si="33"/>
        <v>29696.75</v>
      </c>
      <c r="AP142" s="84">
        <f t="shared" si="33"/>
        <v>212893.87</v>
      </c>
      <c r="AQ142" s="84">
        <f t="shared" si="33"/>
        <v>69455.25</v>
      </c>
      <c r="AR142" s="84">
        <f t="shared" si="33"/>
        <v>90503.1</v>
      </c>
      <c r="AS142" s="84">
        <f t="shared" si="33"/>
        <v>236360.95</v>
      </c>
      <c r="AT142" s="84">
        <f t="shared" si="33"/>
        <v>148985.44999999998</v>
      </c>
      <c r="AU142" s="84">
        <f t="shared" si="33"/>
        <v>234546.2</v>
      </c>
      <c r="AV142" s="84">
        <f t="shared" si="33"/>
        <v>97145.25</v>
      </c>
      <c r="AW142" s="84">
        <f t="shared" si="33"/>
        <v>545730.90999999992</v>
      </c>
      <c r="AX142" s="84">
        <f t="shared" si="33"/>
        <v>159037.5</v>
      </c>
      <c r="AY142" s="84">
        <f t="shared" si="33"/>
        <v>10000</v>
      </c>
      <c r="AZ142" s="84">
        <f t="shared" si="33"/>
        <v>84974.060000000012</v>
      </c>
      <c r="BA142" s="84">
        <f t="shared" si="33"/>
        <v>378423.3</v>
      </c>
      <c r="BB142" s="84">
        <f t="shared" si="33"/>
        <v>72163.740000000005</v>
      </c>
      <c r="BC142" s="84">
        <f t="shared" si="33"/>
        <v>146420.75</v>
      </c>
      <c r="BD142" s="84">
        <f t="shared" si="33"/>
        <v>89389.38</v>
      </c>
      <c r="BE142" s="84">
        <f t="shared" si="33"/>
        <v>1087832.7</v>
      </c>
      <c r="BF142" s="84">
        <f t="shared" si="33"/>
        <v>296463</v>
      </c>
      <c r="BG142" s="84">
        <f t="shared" si="32"/>
        <v>16764158.679999996</v>
      </c>
      <c r="BH142" s="84">
        <f t="shared" si="29"/>
        <v>8594833.9100000001</v>
      </c>
      <c r="BI142" s="84">
        <f t="shared" si="30"/>
        <v>3424790.0100000007</v>
      </c>
      <c r="BJ142" s="84">
        <f t="shared" si="31"/>
        <v>4744534.76</v>
      </c>
    </row>
    <row r="143" spans="3:62" x14ac:dyDescent="0.3">
      <c r="D143">
        <v>2040</v>
      </c>
      <c r="E143" t="s">
        <v>61</v>
      </c>
      <c r="F143" s="4">
        <v>0</v>
      </c>
      <c r="G143" s="4">
        <v>0</v>
      </c>
      <c r="H143" s="4">
        <v>0</v>
      </c>
      <c r="I143" s="4">
        <v>0</v>
      </c>
      <c r="J143" s="4">
        <v>2146.15</v>
      </c>
      <c r="K143" s="4">
        <v>7363</v>
      </c>
      <c r="L143" s="4">
        <v>0</v>
      </c>
      <c r="M143" s="4">
        <v>0</v>
      </c>
      <c r="N143" s="4">
        <v>0</v>
      </c>
      <c r="O143" s="4">
        <v>0</v>
      </c>
      <c r="P143" s="4">
        <v>0</v>
      </c>
      <c r="Q143" s="4">
        <v>0</v>
      </c>
      <c r="R143" s="4">
        <v>30</v>
      </c>
      <c r="S143" s="4">
        <v>0</v>
      </c>
      <c r="T143" s="4">
        <v>2756.8</v>
      </c>
      <c r="U143" s="4">
        <v>0</v>
      </c>
      <c r="V143" s="4">
        <v>3273.55</v>
      </c>
      <c r="W143" s="4">
        <v>0</v>
      </c>
      <c r="X143" s="4">
        <v>29731.25</v>
      </c>
      <c r="Y143" s="4">
        <v>1047.5999999999999</v>
      </c>
      <c r="Z143" s="4">
        <v>0</v>
      </c>
      <c r="AA143" s="4">
        <v>32006.6</v>
      </c>
      <c r="AB143" s="4">
        <v>0</v>
      </c>
      <c r="AC143" s="4">
        <v>0</v>
      </c>
      <c r="AD143" s="4">
        <v>0</v>
      </c>
      <c r="AE143" s="4">
        <v>0</v>
      </c>
      <c r="AF143" s="4">
        <v>0</v>
      </c>
      <c r="AG143" s="4">
        <v>0</v>
      </c>
      <c r="AH143" s="4">
        <v>0</v>
      </c>
      <c r="AI143" s="4">
        <v>3885.95</v>
      </c>
      <c r="AJ143" s="4">
        <v>0</v>
      </c>
      <c r="AK143" s="4">
        <v>0</v>
      </c>
      <c r="AL143" s="4">
        <v>0</v>
      </c>
      <c r="AM143" s="4">
        <v>0</v>
      </c>
      <c r="AN143" s="4">
        <v>-1879.05</v>
      </c>
      <c r="AO143" s="4">
        <v>0</v>
      </c>
      <c r="AP143" s="4">
        <v>1131.5</v>
      </c>
      <c r="AQ143" s="4">
        <v>0</v>
      </c>
      <c r="AR143" s="4">
        <v>0</v>
      </c>
      <c r="AS143" s="4">
        <v>0</v>
      </c>
      <c r="AT143" s="4">
        <v>0</v>
      </c>
      <c r="AU143" s="4">
        <v>500</v>
      </c>
      <c r="AV143" s="4">
        <v>0</v>
      </c>
      <c r="AW143" s="4">
        <v>0</v>
      </c>
      <c r="AX143" s="4">
        <v>0</v>
      </c>
      <c r="AY143" s="4">
        <v>0</v>
      </c>
      <c r="AZ143" s="4">
        <v>0</v>
      </c>
      <c r="BA143" s="4">
        <v>0</v>
      </c>
      <c r="BB143" s="4">
        <v>0</v>
      </c>
      <c r="BC143" s="4">
        <v>12070.75</v>
      </c>
      <c r="BD143" s="4">
        <v>0</v>
      </c>
      <c r="BE143" s="4">
        <v>512728</v>
      </c>
      <c r="BF143" s="4">
        <v>0</v>
      </c>
      <c r="BG143" s="80">
        <f t="shared" si="32"/>
        <v>606792.1</v>
      </c>
      <c r="BH143" s="80">
        <f t="shared" si="29"/>
        <v>45300.75</v>
      </c>
      <c r="BI143" s="80">
        <f t="shared" si="30"/>
        <v>36940.149999999994</v>
      </c>
      <c r="BJ143" s="80">
        <f t="shared" si="31"/>
        <v>524551.19999999995</v>
      </c>
    </row>
    <row r="144" spans="3:62" x14ac:dyDescent="0.3">
      <c r="D144">
        <v>2041</v>
      </c>
      <c r="E144" t="s">
        <v>284</v>
      </c>
      <c r="F144" s="4">
        <v>192964.2</v>
      </c>
      <c r="G144" s="4">
        <v>0</v>
      </c>
      <c r="H144" s="4">
        <v>53924.1</v>
      </c>
      <c r="I144" s="4">
        <v>280963.07</v>
      </c>
      <c r="J144" s="4">
        <v>0</v>
      </c>
      <c r="K144" s="4">
        <v>60265.3</v>
      </c>
      <c r="L144" s="4">
        <v>292253.8</v>
      </c>
      <c r="M144" s="4">
        <v>1399127.03</v>
      </c>
      <c r="N144" s="4">
        <v>900</v>
      </c>
      <c r="O144" s="4">
        <v>36321.94</v>
      </c>
      <c r="P144" s="4">
        <v>60756</v>
      </c>
      <c r="Q144" s="4">
        <v>496682.2</v>
      </c>
      <c r="R144" s="4">
        <v>48090.05</v>
      </c>
      <c r="S144" s="4">
        <v>2100</v>
      </c>
      <c r="T144" s="4">
        <v>62584.25</v>
      </c>
      <c r="U144" s="4">
        <v>115366.32</v>
      </c>
      <c r="V144" s="4">
        <v>22981.5</v>
      </c>
      <c r="W144" s="4">
        <v>21693.759999999998</v>
      </c>
      <c r="X144" s="4">
        <v>76019.72</v>
      </c>
      <c r="Y144" s="4">
        <v>16779.25</v>
      </c>
      <c r="Z144" s="4">
        <v>148965.85</v>
      </c>
      <c r="AA144" s="4">
        <v>1202328.28</v>
      </c>
      <c r="AB144" s="4">
        <v>0</v>
      </c>
      <c r="AC144" s="4">
        <v>1940.1</v>
      </c>
      <c r="AD144" s="4">
        <v>94933.2</v>
      </c>
      <c r="AE144" s="4">
        <v>13004.57</v>
      </c>
      <c r="AF144" s="4">
        <v>225692.99</v>
      </c>
      <c r="AG144" s="4">
        <v>577907.5</v>
      </c>
      <c r="AH144" s="4">
        <v>309309.25</v>
      </c>
      <c r="AI144" s="4">
        <v>28557.05</v>
      </c>
      <c r="AJ144" s="4">
        <v>144395.35</v>
      </c>
      <c r="AK144" s="4">
        <v>100</v>
      </c>
      <c r="AL144" s="4">
        <v>0</v>
      </c>
      <c r="AM144" s="4">
        <v>634996.35</v>
      </c>
      <c r="AN144" s="4">
        <v>121395.3</v>
      </c>
      <c r="AO144" s="4">
        <v>16267</v>
      </c>
      <c r="AP144" s="4">
        <v>211762.37</v>
      </c>
      <c r="AQ144" s="4">
        <v>28064</v>
      </c>
      <c r="AR144" s="4">
        <v>90503.1</v>
      </c>
      <c r="AS144" s="4">
        <v>212955.35</v>
      </c>
      <c r="AT144" s="4">
        <v>140319.54999999999</v>
      </c>
      <c r="AU144" s="4">
        <v>9396.1</v>
      </c>
      <c r="AV144" s="4">
        <v>14926</v>
      </c>
      <c r="AW144" s="4">
        <v>460244.41</v>
      </c>
      <c r="AX144" s="4">
        <v>159037.5</v>
      </c>
      <c r="AY144" s="4">
        <v>10000</v>
      </c>
      <c r="AZ144" s="4">
        <v>79133.210000000006</v>
      </c>
      <c r="BA144" s="4">
        <v>378423.3</v>
      </c>
      <c r="BB144" s="4">
        <v>3342.39</v>
      </c>
      <c r="BC144" s="4">
        <v>0</v>
      </c>
      <c r="BD144" s="4">
        <v>89389.38</v>
      </c>
      <c r="BE144" s="4">
        <v>281134.84999999998</v>
      </c>
      <c r="BF144" s="4">
        <v>71826.45</v>
      </c>
      <c r="BG144" s="80">
        <f t="shared" si="32"/>
        <v>9000023.2399999984</v>
      </c>
      <c r="BH144" s="80">
        <f t="shared" si="29"/>
        <v>3222993.2399999998</v>
      </c>
      <c r="BI144" s="80">
        <f t="shared" si="30"/>
        <v>2763913.39</v>
      </c>
      <c r="BJ144" s="80">
        <f t="shared" si="31"/>
        <v>3013116.6100000003</v>
      </c>
    </row>
    <row r="145" spans="3:62" x14ac:dyDescent="0.3">
      <c r="D145">
        <v>2042</v>
      </c>
      <c r="E145" t="s">
        <v>340</v>
      </c>
      <c r="F145" s="4">
        <v>75635.850000000006</v>
      </c>
      <c r="G145" s="4">
        <v>34108.400000000001</v>
      </c>
      <c r="H145" s="4">
        <v>141460.25</v>
      </c>
      <c r="I145" s="4">
        <v>0</v>
      </c>
      <c r="J145" s="4">
        <v>189585.75</v>
      </c>
      <c r="K145" s="4">
        <v>59402.9</v>
      </c>
      <c r="L145" s="4">
        <v>199433.55</v>
      </c>
      <c r="M145" s="4">
        <v>2806467.03</v>
      </c>
      <c r="N145" s="4">
        <v>183978.6</v>
      </c>
      <c r="O145" s="4">
        <v>0</v>
      </c>
      <c r="P145" s="4">
        <v>0</v>
      </c>
      <c r="Q145" s="4">
        <v>0</v>
      </c>
      <c r="R145" s="4">
        <v>0</v>
      </c>
      <c r="S145" s="4">
        <v>0</v>
      </c>
      <c r="T145" s="4">
        <v>0</v>
      </c>
      <c r="U145" s="4">
        <v>0</v>
      </c>
      <c r="V145" s="4">
        <v>0</v>
      </c>
      <c r="W145" s="4">
        <v>4486.25</v>
      </c>
      <c r="X145" s="4">
        <v>0</v>
      </c>
      <c r="Y145" s="4">
        <v>11738.6</v>
      </c>
      <c r="Z145" s="4">
        <v>0</v>
      </c>
      <c r="AA145" s="4">
        <v>0</v>
      </c>
      <c r="AB145" s="4">
        <v>6383.6</v>
      </c>
      <c r="AC145" s="4">
        <v>7455.3</v>
      </c>
      <c r="AD145" s="4">
        <v>0</v>
      </c>
      <c r="AE145" s="4">
        <v>0</v>
      </c>
      <c r="AF145" s="4">
        <v>0</v>
      </c>
      <c r="AG145" s="4">
        <v>0</v>
      </c>
      <c r="AH145" s="4">
        <v>0</v>
      </c>
      <c r="AI145" s="4">
        <v>271283.09999999998</v>
      </c>
      <c r="AJ145" s="4">
        <v>0</v>
      </c>
      <c r="AK145" s="4">
        <v>0</v>
      </c>
      <c r="AL145" s="4">
        <v>0</v>
      </c>
      <c r="AM145" s="4">
        <v>0</v>
      </c>
      <c r="AN145" s="4">
        <v>0</v>
      </c>
      <c r="AO145" s="4">
        <v>13429.75</v>
      </c>
      <c r="AP145" s="4">
        <v>0</v>
      </c>
      <c r="AQ145" s="4">
        <v>33751.75</v>
      </c>
      <c r="AR145" s="4">
        <v>0</v>
      </c>
      <c r="AS145" s="4">
        <v>0</v>
      </c>
      <c r="AT145" s="4">
        <v>0</v>
      </c>
      <c r="AU145" s="4">
        <v>206106</v>
      </c>
      <c r="AV145" s="4">
        <v>82219.25</v>
      </c>
      <c r="AW145" s="4">
        <v>85137</v>
      </c>
      <c r="AX145" s="4">
        <v>0</v>
      </c>
      <c r="AY145" s="4">
        <v>0</v>
      </c>
      <c r="AZ145" s="4">
        <v>0</v>
      </c>
      <c r="BA145" s="4">
        <v>0</v>
      </c>
      <c r="BB145" s="4">
        <v>68821.350000000006</v>
      </c>
      <c r="BC145" s="4">
        <v>0</v>
      </c>
      <c r="BD145" s="4">
        <v>0</v>
      </c>
      <c r="BE145" s="4">
        <v>0</v>
      </c>
      <c r="BF145" s="4">
        <v>0</v>
      </c>
      <c r="BG145" s="80">
        <f t="shared" si="32"/>
        <v>4480884.2799999993</v>
      </c>
      <c r="BH145" s="80">
        <f t="shared" si="29"/>
        <v>3694558.5799999996</v>
      </c>
      <c r="BI145" s="80">
        <f t="shared" si="30"/>
        <v>296860.59999999998</v>
      </c>
      <c r="BJ145" s="80">
        <f t="shared" si="31"/>
        <v>489465.1</v>
      </c>
    </row>
    <row r="146" spans="3:62" x14ac:dyDescent="0.3">
      <c r="D146">
        <v>2043</v>
      </c>
      <c r="E146" t="s">
        <v>341</v>
      </c>
      <c r="F146" s="4">
        <v>0</v>
      </c>
      <c r="G146" s="4">
        <v>0</v>
      </c>
      <c r="H146" s="4">
        <v>194551.32</v>
      </c>
      <c r="I146" s="4">
        <v>0</v>
      </c>
      <c r="J146" s="4">
        <v>300235.5</v>
      </c>
      <c r="K146" s="4">
        <v>0</v>
      </c>
      <c r="L146" s="4">
        <v>28707.65</v>
      </c>
      <c r="M146" s="4">
        <v>0</v>
      </c>
      <c r="N146" s="4">
        <v>0</v>
      </c>
      <c r="O146" s="4">
        <v>0</v>
      </c>
      <c r="P146" s="4">
        <v>42047.81</v>
      </c>
      <c r="Q146" s="4">
        <v>0</v>
      </c>
      <c r="R146" s="4">
        <v>852.45</v>
      </c>
      <c r="S146" s="4">
        <v>0</v>
      </c>
      <c r="T146" s="4">
        <v>19251.150000000001</v>
      </c>
      <c r="U146" s="4">
        <v>0</v>
      </c>
      <c r="V146" s="4">
        <v>40962.800000000003</v>
      </c>
      <c r="W146" s="4">
        <v>174494.48</v>
      </c>
      <c r="X146" s="4">
        <v>255216.6</v>
      </c>
      <c r="Y146" s="4">
        <v>42358.3</v>
      </c>
      <c r="Z146" s="4">
        <v>0</v>
      </c>
      <c r="AA146" s="4">
        <v>0</v>
      </c>
      <c r="AB146" s="4">
        <v>0</v>
      </c>
      <c r="AC146" s="4">
        <v>52901.35</v>
      </c>
      <c r="AD146" s="4">
        <v>0</v>
      </c>
      <c r="AE146" s="4">
        <v>0</v>
      </c>
      <c r="AF146" s="4">
        <v>0</v>
      </c>
      <c r="AG146" s="4">
        <v>0</v>
      </c>
      <c r="AH146" s="4">
        <v>0</v>
      </c>
      <c r="AI146" s="4">
        <v>130250.9</v>
      </c>
      <c r="AJ146" s="4">
        <v>0</v>
      </c>
      <c r="AK146" s="4">
        <v>0</v>
      </c>
      <c r="AL146" s="4">
        <v>0</v>
      </c>
      <c r="AM146" s="4">
        <v>0</v>
      </c>
      <c r="AN146" s="4">
        <v>0</v>
      </c>
      <c r="AO146" s="4">
        <v>0</v>
      </c>
      <c r="AP146" s="4">
        <v>0</v>
      </c>
      <c r="AQ146" s="4">
        <v>0</v>
      </c>
      <c r="AR146" s="4">
        <v>0</v>
      </c>
      <c r="AS146" s="4">
        <v>0</v>
      </c>
      <c r="AT146" s="4">
        <v>0</v>
      </c>
      <c r="AU146" s="4">
        <v>18544.099999999999</v>
      </c>
      <c r="AV146" s="4">
        <v>0</v>
      </c>
      <c r="AW146" s="4">
        <v>0</v>
      </c>
      <c r="AX146" s="4">
        <v>0</v>
      </c>
      <c r="AY146" s="4">
        <v>0</v>
      </c>
      <c r="AZ146" s="4">
        <v>0</v>
      </c>
      <c r="BA146" s="4">
        <v>0</v>
      </c>
      <c r="BB146" s="4">
        <v>0</v>
      </c>
      <c r="BC146" s="4">
        <v>131000</v>
      </c>
      <c r="BD146" s="4">
        <v>0</v>
      </c>
      <c r="BE146" s="4">
        <v>0</v>
      </c>
      <c r="BF146" s="4">
        <v>224636.55</v>
      </c>
      <c r="BG146" s="80">
        <f t="shared" si="32"/>
        <v>1656010.9600000002</v>
      </c>
      <c r="BH146" s="80">
        <f t="shared" si="29"/>
        <v>1056319.76</v>
      </c>
      <c r="BI146" s="80">
        <f t="shared" si="30"/>
        <v>225510.55</v>
      </c>
      <c r="BJ146" s="80">
        <f t="shared" si="31"/>
        <v>374180.65</v>
      </c>
    </row>
    <row r="147" spans="3:62" x14ac:dyDescent="0.3">
      <c r="D147">
        <v>2044</v>
      </c>
      <c r="E147" t="s">
        <v>421</v>
      </c>
      <c r="F147" s="4">
        <v>0</v>
      </c>
      <c r="G147" s="4">
        <v>1300</v>
      </c>
      <c r="H147" s="4">
        <v>0</v>
      </c>
      <c r="I147" s="4">
        <v>0</v>
      </c>
      <c r="J147" s="4">
        <v>129107.1</v>
      </c>
      <c r="K147" s="4">
        <v>5398.13</v>
      </c>
      <c r="L147" s="4">
        <v>0</v>
      </c>
      <c r="M147" s="4">
        <v>0</v>
      </c>
      <c r="N147" s="4">
        <v>0</v>
      </c>
      <c r="O147" s="4">
        <v>0</v>
      </c>
      <c r="P147" s="4">
        <v>0</v>
      </c>
      <c r="Q147" s="4">
        <v>0</v>
      </c>
      <c r="R147" s="4">
        <v>0</v>
      </c>
      <c r="S147" s="4">
        <v>0</v>
      </c>
      <c r="T147" s="4">
        <v>0</v>
      </c>
      <c r="U147" s="4">
        <v>0</v>
      </c>
      <c r="V147" s="4">
        <v>3578.3</v>
      </c>
      <c r="W147" s="4">
        <v>0</v>
      </c>
      <c r="X147" s="4">
        <v>0</v>
      </c>
      <c r="Y147" s="4">
        <v>2328.46</v>
      </c>
      <c r="Z147" s="4">
        <v>0</v>
      </c>
      <c r="AA147" s="4">
        <v>0</v>
      </c>
      <c r="AB147" s="4">
        <v>0</v>
      </c>
      <c r="AC147" s="4">
        <v>1733.6</v>
      </c>
      <c r="AD147" s="4">
        <v>0</v>
      </c>
      <c r="AE147" s="4">
        <v>0</v>
      </c>
      <c r="AF147" s="4">
        <v>809.04</v>
      </c>
      <c r="AG147" s="4">
        <v>0</v>
      </c>
      <c r="AH147" s="4">
        <v>0</v>
      </c>
      <c r="AI147" s="4">
        <v>21943.4</v>
      </c>
      <c r="AJ147" s="4">
        <v>0</v>
      </c>
      <c r="AK147" s="4">
        <v>1909.05</v>
      </c>
      <c r="AL147" s="4">
        <v>0</v>
      </c>
      <c r="AM147" s="4">
        <v>0</v>
      </c>
      <c r="AN147" s="4">
        <v>0</v>
      </c>
      <c r="AO147" s="4">
        <v>0</v>
      </c>
      <c r="AP147" s="4">
        <v>0</v>
      </c>
      <c r="AQ147" s="4">
        <v>7639.5</v>
      </c>
      <c r="AR147" s="4">
        <v>0</v>
      </c>
      <c r="AS147" s="4">
        <v>0</v>
      </c>
      <c r="AT147" s="4">
        <v>8665.9</v>
      </c>
      <c r="AU147" s="4">
        <v>0</v>
      </c>
      <c r="AV147" s="4">
        <v>0</v>
      </c>
      <c r="AW147" s="4">
        <v>349.5</v>
      </c>
      <c r="AX147" s="4">
        <v>0</v>
      </c>
      <c r="AY147" s="4">
        <v>0</v>
      </c>
      <c r="AZ147" s="4">
        <v>5840.85</v>
      </c>
      <c r="BA147" s="4">
        <v>0</v>
      </c>
      <c r="BB147" s="4">
        <v>0</v>
      </c>
      <c r="BC147" s="4">
        <v>3350</v>
      </c>
      <c r="BD147" s="4">
        <v>0</v>
      </c>
      <c r="BE147" s="4">
        <v>261969.85</v>
      </c>
      <c r="BF147" s="4">
        <v>0</v>
      </c>
      <c r="BG147" s="80">
        <f t="shared" si="32"/>
        <v>455922.68</v>
      </c>
      <c r="BH147" s="80">
        <f t="shared" si="29"/>
        <v>139383.53</v>
      </c>
      <c r="BI147" s="80">
        <f t="shared" si="30"/>
        <v>28723.55</v>
      </c>
      <c r="BJ147" s="80">
        <f t="shared" si="31"/>
        <v>287815.59999999998</v>
      </c>
    </row>
    <row r="148" spans="3:62" x14ac:dyDescent="0.3">
      <c r="D148">
        <v>2045</v>
      </c>
      <c r="E148" t="s">
        <v>343</v>
      </c>
      <c r="F148" s="4">
        <v>0</v>
      </c>
      <c r="G148" s="4">
        <v>0</v>
      </c>
      <c r="H148" s="4">
        <v>0</v>
      </c>
      <c r="I148" s="4">
        <v>0</v>
      </c>
      <c r="J148" s="4">
        <v>0</v>
      </c>
      <c r="K148" s="4">
        <v>0</v>
      </c>
      <c r="L148" s="4">
        <v>0</v>
      </c>
      <c r="M148" s="4">
        <v>0</v>
      </c>
      <c r="N148" s="4">
        <v>0</v>
      </c>
      <c r="O148" s="4">
        <v>0</v>
      </c>
      <c r="P148" s="4">
        <v>-37.25</v>
      </c>
      <c r="Q148" s="4">
        <v>0</v>
      </c>
      <c r="R148" s="4">
        <v>0</v>
      </c>
      <c r="S148" s="4">
        <v>0</v>
      </c>
      <c r="T148" s="4">
        <v>1372.6</v>
      </c>
      <c r="U148" s="4">
        <v>0</v>
      </c>
      <c r="V148" s="4">
        <v>0</v>
      </c>
      <c r="W148" s="4">
        <v>0</v>
      </c>
      <c r="X148" s="4">
        <v>0</v>
      </c>
      <c r="Y148" s="4">
        <v>0</v>
      </c>
      <c r="Z148" s="4">
        <v>0</v>
      </c>
      <c r="AA148" s="4">
        <v>0</v>
      </c>
      <c r="AB148" s="4">
        <v>0</v>
      </c>
      <c r="AC148" s="4">
        <v>7682.5</v>
      </c>
      <c r="AD148" s="4">
        <v>0</v>
      </c>
      <c r="AE148" s="4">
        <v>10234.870000000001</v>
      </c>
      <c r="AF148" s="4">
        <v>0</v>
      </c>
      <c r="AG148" s="4">
        <v>0</v>
      </c>
      <c r="AH148" s="4">
        <v>0</v>
      </c>
      <c r="AI148" s="4">
        <v>38685.5</v>
      </c>
      <c r="AJ148" s="4">
        <v>0</v>
      </c>
      <c r="AK148" s="4">
        <v>16238.9</v>
      </c>
      <c r="AL148" s="4">
        <v>0</v>
      </c>
      <c r="AM148" s="4">
        <v>0</v>
      </c>
      <c r="AN148" s="4">
        <v>0</v>
      </c>
      <c r="AO148" s="4">
        <v>0</v>
      </c>
      <c r="AP148" s="4">
        <v>0</v>
      </c>
      <c r="AQ148" s="4">
        <v>0</v>
      </c>
      <c r="AR148" s="4">
        <v>0</v>
      </c>
      <c r="AS148" s="4">
        <v>12215.6</v>
      </c>
      <c r="AT148" s="4">
        <v>0</v>
      </c>
      <c r="AU148" s="4">
        <v>0</v>
      </c>
      <c r="AV148" s="4">
        <v>0</v>
      </c>
      <c r="AW148" s="4">
        <v>0</v>
      </c>
      <c r="AX148" s="4">
        <v>0</v>
      </c>
      <c r="AY148" s="4">
        <v>0</v>
      </c>
      <c r="AZ148" s="4">
        <v>0</v>
      </c>
      <c r="BA148" s="4">
        <v>0</v>
      </c>
      <c r="BB148" s="4">
        <v>0</v>
      </c>
      <c r="BC148" s="4">
        <v>0</v>
      </c>
      <c r="BD148" s="4">
        <v>0</v>
      </c>
      <c r="BE148" s="4">
        <v>0</v>
      </c>
      <c r="BF148" s="4">
        <v>0</v>
      </c>
      <c r="BG148" s="80">
        <f t="shared" si="32"/>
        <v>86392.72</v>
      </c>
      <c r="BH148" s="80">
        <f t="shared" si="29"/>
        <v>1335.35</v>
      </c>
      <c r="BI148" s="80">
        <f t="shared" si="30"/>
        <v>72841.77</v>
      </c>
      <c r="BJ148" s="80">
        <f t="shared" si="31"/>
        <v>12215.6</v>
      </c>
    </row>
    <row r="149" spans="3:62" x14ac:dyDescent="0.3">
      <c r="D149">
        <v>2046</v>
      </c>
      <c r="E149" t="s">
        <v>422</v>
      </c>
      <c r="F149" s="4">
        <v>0</v>
      </c>
      <c r="G149" s="4">
        <v>0</v>
      </c>
      <c r="H149" s="4">
        <v>419732.55</v>
      </c>
      <c r="I149" s="4">
        <v>0</v>
      </c>
      <c r="J149" s="4">
        <v>0</v>
      </c>
      <c r="K149" s="4">
        <v>14000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32000</v>
      </c>
      <c r="BF149" s="4">
        <v>0</v>
      </c>
      <c r="BG149" s="80">
        <f t="shared" si="32"/>
        <v>465732.55</v>
      </c>
      <c r="BH149" s="80">
        <f t="shared" si="29"/>
        <v>433732.55</v>
      </c>
      <c r="BI149" s="80">
        <f t="shared" si="30"/>
        <v>0</v>
      </c>
      <c r="BJ149" s="80">
        <f t="shared" si="31"/>
        <v>32000</v>
      </c>
    </row>
    <row r="150" spans="3:62" x14ac:dyDescent="0.3">
      <c r="D150">
        <v>2049</v>
      </c>
      <c r="E150" t="s">
        <v>423</v>
      </c>
      <c r="F150" s="4">
        <v>0</v>
      </c>
      <c r="G150" s="4">
        <v>0</v>
      </c>
      <c r="H150" s="4">
        <v>0</v>
      </c>
      <c r="I150" s="4">
        <v>0</v>
      </c>
      <c r="J150" s="4">
        <v>0</v>
      </c>
      <c r="K150" s="4">
        <v>0</v>
      </c>
      <c r="L150" s="4">
        <v>1210.1500000000001</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11190</v>
      </c>
      <c r="AT150" s="4">
        <v>0</v>
      </c>
      <c r="AU150" s="4">
        <v>0</v>
      </c>
      <c r="AV150" s="4">
        <v>0</v>
      </c>
      <c r="AW150" s="4">
        <v>0</v>
      </c>
      <c r="AX150" s="4">
        <v>0</v>
      </c>
      <c r="AY150" s="4">
        <v>0</v>
      </c>
      <c r="AZ150" s="4">
        <v>0</v>
      </c>
      <c r="BA150" s="4">
        <v>0</v>
      </c>
      <c r="BB150" s="4">
        <v>0</v>
      </c>
      <c r="BC150" s="4">
        <v>0</v>
      </c>
      <c r="BD150" s="4">
        <v>0</v>
      </c>
      <c r="BE150" s="4">
        <v>0</v>
      </c>
      <c r="BF150" s="4">
        <v>0</v>
      </c>
      <c r="BG150" s="80">
        <f t="shared" si="32"/>
        <v>12400.15</v>
      </c>
      <c r="BH150" s="80">
        <f t="shared" si="29"/>
        <v>1210.1500000000001</v>
      </c>
      <c r="BI150" s="80">
        <f t="shared" si="30"/>
        <v>0</v>
      </c>
      <c r="BJ150" s="80">
        <f t="shared" si="31"/>
        <v>11190</v>
      </c>
    </row>
    <row r="151" spans="3:62" x14ac:dyDescent="0.3">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3">
      <c r="C152" s="83">
        <v>205</v>
      </c>
      <c r="D152" s="83"/>
      <c r="E152" s="83" t="s">
        <v>263</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-172</v>
      </c>
      <c r="V152" s="84">
        <f t="shared" si="34"/>
        <v>7500</v>
      </c>
      <c r="W152" s="84">
        <f t="shared" si="34"/>
        <v>0</v>
      </c>
      <c r="X152" s="84">
        <f t="shared" si="34"/>
        <v>146094</v>
      </c>
      <c r="Y152" s="84">
        <f t="shared" si="34"/>
        <v>0</v>
      </c>
      <c r="Z152" s="84">
        <f t="shared" si="34"/>
        <v>1.1000000000000001</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63968</v>
      </c>
      <c r="AJ152" s="84">
        <f t="shared" si="34"/>
        <v>0</v>
      </c>
      <c r="AK152" s="84">
        <f t="shared" si="34"/>
        <v>0</v>
      </c>
      <c r="AL152" s="84">
        <f t="shared" si="34"/>
        <v>35000</v>
      </c>
      <c r="AM152" s="84">
        <f t="shared" si="34"/>
        <v>0</v>
      </c>
      <c r="AN152" s="84">
        <f t="shared" si="34"/>
        <v>79613.25</v>
      </c>
      <c r="AO152" s="84">
        <f t="shared" si="34"/>
        <v>0</v>
      </c>
      <c r="AP152" s="84">
        <f t="shared" si="34"/>
        <v>0</v>
      </c>
      <c r="AQ152" s="84">
        <f t="shared" si="34"/>
        <v>0</v>
      </c>
      <c r="AR152" s="84">
        <f t="shared" si="34"/>
        <v>0</v>
      </c>
      <c r="AS152" s="84">
        <f t="shared" si="34"/>
        <v>0</v>
      </c>
      <c r="AT152" s="84">
        <f t="shared" si="34"/>
        <v>0</v>
      </c>
      <c r="AU152" s="84">
        <f t="shared" si="34"/>
        <v>100000</v>
      </c>
      <c r="AV152" s="84">
        <f t="shared" si="34"/>
        <v>0</v>
      </c>
      <c r="AW152" s="84">
        <f t="shared" si="34"/>
        <v>167626.20000000001</v>
      </c>
      <c r="AX152" s="84">
        <f t="shared" si="34"/>
        <v>21082.1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1170286.3500000001</v>
      </c>
      <c r="BH152" s="84">
        <f t="shared" si="29"/>
        <v>702995.7</v>
      </c>
      <c r="BI152" s="84">
        <f t="shared" si="30"/>
        <v>63969.1</v>
      </c>
      <c r="BJ152" s="84">
        <f t="shared" si="31"/>
        <v>403321.55</v>
      </c>
    </row>
    <row r="153" spans="3:62" x14ac:dyDescent="0.3">
      <c r="D153">
        <v>2050</v>
      </c>
      <c r="E153" t="s">
        <v>424</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-172</v>
      </c>
      <c r="V153" s="4">
        <v>2500</v>
      </c>
      <c r="W153" s="4">
        <v>0</v>
      </c>
      <c r="X153" s="4">
        <v>143094</v>
      </c>
      <c r="Y153" s="4">
        <v>0</v>
      </c>
      <c r="Z153" s="4">
        <v>1.1000000000000001</v>
      </c>
      <c r="AA153" s="4">
        <v>0</v>
      </c>
      <c r="AB153" s="4">
        <v>0</v>
      </c>
      <c r="AC153" s="4">
        <v>0</v>
      </c>
      <c r="AD153" s="4">
        <v>0</v>
      </c>
      <c r="AE153" s="4">
        <v>0</v>
      </c>
      <c r="AF153" s="4">
        <v>0</v>
      </c>
      <c r="AG153" s="4">
        <v>0</v>
      </c>
      <c r="AH153" s="4">
        <v>0</v>
      </c>
      <c r="AI153" s="4">
        <v>50000</v>
      </c>
      <c r="AJ153" s="4">
        <v>0</v>
      </c>
      <c r="AK153" s="4">
        <v>0</v>
      </c>
      <c r="AL153" s="4">
        <v>35000</v>
      </c>
      <c r="AM153" s="4">
        <v>0</v>
      </c>
      <c r="AN153" s="4">
        <v>0</v>
      </c>
      <c r="AO153" s="4">
        <v>0</v>
      </c>
      <c r="AP153" s="4">
        <v>0</v>
      </c>
      <c r="AQ153" s="4">
        <v>0</v>
      </c>
      <c r="AR153" s="4">
        <v>0</v>
      </c>
      <c r="AS153" s="4">
        <v>0</v>
      </c>
      <c r="AT153" s="4">
        <v>0</v>
      </c>
      <c r="AU153" s="4">
        <v>0</v>
      </c>
      <c r="AV153" s="4">
        <v>0</v>
      </c>
      <c r="AW153" s="4">
        <v>0</v>
      </c>
      <c r="AX153" s="4">
        <v>21082.1</v>
      </c>
      <c r="AY153" s="4">
        <v>0</v>
      </c>
      <c r="AZ153" s="4">
        <v>0</v>
      </c>
      <c r="BA153" s="4">
        <v>0</v>
      </c>
      <c r="BB153" s="4">
        <v>0</v>
      </c>
      <c r="BC153" s="4">
        <v>0</v>
      </c>
      <c r="BD153" s="4">
        <v>0</v>
      </c>
      <c r="BE153" s="4">
        <v>0</v>
      </c>
      <c r="BF153" s="4">
        <v>0</v>
      </c>
      <c r="BG153" s="80">
        <f t="shared" si="32"/>
        <v>796505.2</v>
      </c>
      <c r="BH153" s="80">
        <f t="shared" si="29"/>
        <v>690422</v>
      </c>
      <c r="BI153" s="80">
        <f t="shared" si="30"/>
        <v>50001.1</v>
      </c>
      <c r="BJ153" s="80">
        <f t="shared" si="31"/>
        <v>56082.1</v>
      </c>
    </row>
    <row r="154" spans="3:62" x14ac:dyDescent="0.3">
      <c r="D154">
        <v>2051</v>
      </c>
      <c r="E154" t="s">
        <v>425</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3">
      <c r="D155">
        <v>2052</v>
      </c>
      <c r="E155" t="s">
        <v>426</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v>0</v>
      </c>
      <c r="BG155" s="80">
        <f t="shared" si="32"/>
        <v>5000</v>
      </c>
      <c r="BH155" s="80">
        <f t="shared" si="29"/>
        <v>5000</v>
      </c>
      <c r="BI155" s="80">
        <f t="shared" si="30"/>
        <v>0</v>
      </c>
      <c r="BJ155" s="80">
        <f t="shared" si="31"/>
        <v>0</v>
      </c>
    </row>
    <row r="156" spans="3:62" x14ac:dyDescent="0.3">
      <c r="D156">
        <v>2053</v>
      </c>
      <c r="E156" t="s">
        <v>430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90763.32</v>
      </c>
      <c r="BH156" s="80">
        <f t="shared" si="29"/>
        <v>0</v>
      </c>
      <c r="BI156" s="80">
        <f t="shared" si="30"/>
        <v>0</v>
      </c>
      <c r="BJ156" s="80">
        <f t="shared" si="31"/>
        <v>90763.32</v>
      </c>
    </row>
    <row r="157" spans="3:62" x14ac:dyDescent="0.3">
      <c r="D157">
        <v>2054</v>
      </c>
      <c r="E157" t="s">
        <v>428</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3">
      <c r="D158">
        <v>2055</v>
      </c>
      <c r="E158" t="s">
        <v>427</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100000</v>
      </c>
      <c r="AV158" s="4">
        <v>0</v>
      </c>
      <c r="AW158" s="4">
        <v>76862.880000000005</v>
      </c>
      <c r="AX158" s="4">
        <v>0</v>
      </c>
      <c r="AY158" s="4">
        <v>0</v>
      </c>
      <c r="AZ158" s="4">
        <v>0</v>
      </c>
      <c r="BA158" s="4">
        <v>0</v>
      </c>
      <c r="BB158" s="4">
        <v>0</v>
      </c>
      <c r="BC158" s="4">
        <v>0</v>
      </c>
      <c r="BD158" s="4">
        <v>0</v>
      </c>
      <c r="BE158" s="4">
        <v>0</v>
      </c>
      <c r="BF158" s="4">
        <v>0</v>
      </c>
      <c r="BG158" s="80">
        <f t="shared" si="32"/>
        <v>176862.88</v>
      </c>
      <c r="BH158" s="80">
        <f t="shared" si="29"/>
        <v>0</v>
      </c>
      <c r="BI158" s="80">
        <f t="shared" si="30"/>
        <v>0</v>
      </c>
      <c r="BJ158" s="80">
        <f t="shared" si="31"/>
        <v>176862.88</v>
      </c>
    </row>
    <row r="159" spans="3:62" x14ac:dyDescent="0.3">
      <c r="D159">
        <v>2056</v>
      </c>
      <c r="E159" t="s">
        <v>429</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3">
      <c r="D160">
        <v>2057</v>
      </c>
      <c r="E160" t="s">
        <v>431</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13968</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13968</v>
      </c>
      <c r="BH160" s="80">
        <f t="shared" si="29"/>
        <v>0</v>
      </c>
      <c r="BI160" s="80">
        <f t="shared" si="30"/>
        <v>13968</v>
      </c>
      <c r="BJ160" s="80">
        <f t="shared" si="31"/>
        <v>0</v>
      </c>
    </row>
    <row r="161" spans="3:62" x14ac:dyDescent="0.3">
      <c r="D161">
        <v>2058</v>
      </c>
      <c r="E161" t="s">
        <v>432</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v>0</v>
      </c>
      <c r="BG161" s="80">
        <f t="shared" si="32"/>
        <v>0</v>
      </c>
      <c r="BH161" s="80">
        <f t="shared" si="29"/>
        <v>0</v>
      </c>
      <c r="BI161" s="80">
        <f t="shared" si="30"/>
        <v>0</v>
      </c>
      <c r="BJ161" s="80">
        <f t="shared" si="31"/>
        <v>0</v>
      </c>
    </row>
    <row r="162" spans="3:62" x14ac:dyDescent="0.3">
      <c r="D162">
        <v>2059</v>
      </c>
      <c r="E162" t="s">
        <v>433</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79613.25</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86691.35</v>
      </c>
      <c r="BH162" s="80">
        <f t="shared" si="29"/>
        <v>7078.1</v>
      </c>
      <c r="BI162" s="80">
        <f t="shared" si="30"/>
        <v>0</v>
      </c>
      <c r="BJ162" s="80">
        <f t="shared" si="31"/>
        <v>79613.25</v>
      </c>
    </row>
    <row r="163" spans="3:62" x14ac:dyDescent="0.3">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3">
      <c r="C164" s="83">
        <v>206</v>
      </c>
      <c r="D164" s="83"/>
      <c r="E164" s="83" t="s">
        <v>264</v>
      </c>
      <c r="F164" s="84">
        <f>F165+F166+F167+F168+F169+F170</f>
        <v>4874949.96</v>
      </c>
      <c r="G164" s="84">
        <f t="shared" ref="G164:BF164" si="35">G165+G166+G167+G168+G169+G170</f>
        <v>2330502.85</v>
      </c>
      <c r="H164" s="84">
        <f t="shared" si="35"/>
        <v>5359040</v>
      </c>
      <c r="I164" s="84">
        <f t="shared" si="35"/>
        <v>3992448.21</v>
      </c>
      <c r="J164" s="84">
        <f t="shared" si="35"/>
        <v>20219956.25</v>
      </c>
      <c r="K164" s="84">
        <f t="shared" si="35"/>
        <v>16975600</v>
      </c>
      <c r="L164" s="84">
        <f t="shared" si="35"/>
        <v>10391906.689999999</v>
      </c>
      <c r="M164" s="84">
        <f t="shared" si="35"/>
        <v>74043576.549999997</v>
      </c>
      <c r="N164" s="84">
        <f t="shared" si="35"/>
        <v>6416829.75</v>
      </c>
      <c r="O164" s="84">
        <f t="shared" si="35"/>
        <v>825716.9</v>
      </c>
      <c r="P164" s="84">
        <f t="shared" si="35"/>
        <v>30426335.699999999</v>
      </c>
      <c r="Q164" s="84">
        <f t="shared" si="35"/>
        <v>1797463.35</v>
      </c>
      <c r="R164" s="84">
        <f t="shared" si="35"/>
        <v>385600</v>
      </c>
      <c r="S164" s="84">
        <f t="shared" si="35"/>
        <v>3046722.25</v>
      </c>
      <c r="T164" s="84">
        <f t="shared" si="35"/>
        <v>1129011</v>
      </c>
      <c r="U164" s="84">
        <f t="shared" si="35"/>
        <v>5103900</v>
      </c>
      <c r="V164" s="84">
        <f t="shared" si="35"/>
        <v>564750</v>
      </c>
      <c r="W164" s="84">
        <f t="shared" si="35"/>
        <v>1959468.1</v>
      </c>
      <c r="X164" s="84">
        <f t="shared" si="35"/>
        <v>13434310</v>
      </c>
      <c r="Y164" s="84">
        <f t="shared" si="35"/>
        <v>504064</v>
      </c>
      <c r="Z164" s="84">
        <f t="shared" si="35"/>
        <v>3210200</v>
      </c>
      <c r="AA164" s="84">
        <f t="shared" si="35"/>
        <v>4729200</v>
      </c>
      <c r="AB164" s="84">
        <f t="shared" si="35"/>
        <v>610190</v>
      </c>
      <c r="AC164" s="84">
        <f t="shared" si="35"/>
        <v>1200000</v>
      </c>
      <c r="AD164" s="84">
        <f t="shared" si="35"/>
        <v>2672245</v>
      </c>
      <c r="AE164" s="84">
        <f t="shared" si="35"/>
        <v>7824482.2800000003</v>
      </c>
      <c r="AF164" s="84">
        <f t="shared" si="35"/>
        <v>3642000</v>
      </c>
      <c r="AG164" s="84">
        <f t="shared" si="35"/>
        <v>515000</v>
      </c>
      <c r="AH164" s="84">
        <f t="shared" si="35"/>
        <v>5331400</v>
      </c>
      <c r="AI164" s="84">
        <f t="shared" si="35"/>
        <v>11523397.299999999</v>
      </c>
      <c r="AJ164" s="84">
        <f t="shared" si="35"/>
        <v>912417.62</v>
      </c>
      <c r="AK164" s="84">
        <f t="shared" si="35"/>
        <v>971910</v>
      </c>
      <c r="AL164" s="84">
        <f t="shared" si="35"/>
        <v>17252944.620000001</v>
      </c>
      <c r="AM164" s="84">
        <f t="shared" si="35"/>
        <v>8541150</v>
      </c>
      <c r="AN164" s="84">
        <f t="shared" si="35"/>
        <v>10805793.380000001</v>
      </c>
      <c r="AO164" s="84">
        <f t="shared" si="35"/>
        <v>1600000</v>
      </c>
      <c r="AP164" s="84">
        <f t="shared" si="35"/>
        <v>8720525</v>
      </c>
      <c r="AQ164" s="84">
        <f t="shared" si="35"/>
        <v>4736229.05</v>
      </c>
      <c r="AR164" s="84">
        <f t="shared" si="35"/>
        <v>3968985</v>
      </c>
      <c r="AS164" s="84">
        <f t="shared" si="35"/>
        <v>9226404.7300000004</v>
      </c>
      <c r="AT164" s="84">
        <f t="shared" si="35"/>
        <v>5073767.0999999996</v>
      </c>
      <c r="AU164" s="84">
        <f t="shared" si="35"/>
        <v>7532739.1200000001</v>
      </c>
      <c r="AV164" s="84">
        <f t="shared" si="35"/>
        <v>1825965</v>
      </c>
      <c r="AW164" s="84">
        <f t="shared" si="35"/>
        <v>13357775</v>
      </c>
      <c r="AX164" s="84">
        <f t="shared" si="35"/>
        <v>4368892</v>
      </c>
      <c r="AY164" s="84">
        <f t="shared" si="35"/>
        <v>676480</v>
      </c>
      <c r="AZ164" s="84">
        <f t="shared" si="35"/>
        <v>1825900</v>
      </c>
      <c r="BA164" s="84">
        <f t="shared" si="35"/>
        <v>18661404.399999999</v>
      </c>
      <c r="BB164" s="84">
        <f t="shared" si="35"/>
        <v>871280</v>
      </c>
      <c r="BC164" s="84">
        <f t="shared" si="35"/>
        <v>8226220</v>
      </c>
      <c r="BD164" s="84">
        <f t="shared" si="35"/>
        <v>148745.70000000001</v>
      </c>
      <c r="BE164" s="84">
        <f t="shared" si="35"/>
        <v>54697562</v>
      </c>
      <c r="BF164" s="84">
        <f t="shared" si="35"/>
        <v>3874321.95</v>
      </c>
      <c r="BG164" s="84">
        <f t="shared" si="32"/>
        <v>432917677.81</v>
      </c>
      <c r="BH164" s="84">
        <f t="shared" si="29"/>
        <v>203278087.55999997</v>
      </c>
      <c r="BI164" s="84">
        <f t="shared" si="30"/>
        <v>43646506.199999996</v>
      </c>
      <c r="BJ164" s="84">
        <f t="shared" si="31"/>
        <v>185993084.05000001</v>
      </c>
    </row>
    <row r="165" spans="3:62" x14ac:dyDescent="0.3">
      <c r="D165">
        <v>2060</v>
      </c>
      <c r="E165" t="s">
        <v>434</v>
      </c>
      <c r="F165" s="4">
        <v>0</v>
      </c>
      <c r="G165" s="4">
        <v>610000</v>
      </c>
      <c r="H165" s="4">
        <v>5344400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2681105</v>
      </c>
      <c r="AE165" s="4">
        <v>0</v>
      </c>
      <c r="AF165" s="4">
        <v>0</v>
      </c>
      <c r="AG165" s="4">
        <v>0</v>
      </c>
      <c r="AH165" s="4">
        <v>0</v>
      </c>
      <c r="AI165" s="4">
        <v>17864300.149999999</v>
      </c>
      <c r="AJ165" s="4">
        <v>517361.9</v>
      </c>
      <c r="AK165" s="4">
        <v>0</v>
      </c>
      <c r="AL165" s="4">
        <v>0</v>
      </c>
      <c r="AM165" s="4">
        <v>7732000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34749167.049999997</v>
      </c>
      <c r="BH165" s="80">
        <f t="shared" si="29"/>
        <v>5954400</v>
      </c>
      <c r="BI165" s="80">
        <f t="shared" si="30"/>
        <v>21062767.049999997</v>
      </c>
      <c r="BJ165" s="80">
        <f t="shared" si="31"/>
        <v>7732000</v>
      </c>
    </row>
    <row r="166" spans="3:62" x14ac:dyDescent="0.3">
      <c r="D166">
        <v>2062</v>
      </c>
      <c r="E166" t="s">
        <v>435</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3">
      <c r="D167">
        <v>2063</v>
      </c>
      <c r="E167" t="s">
        <v>436</v>
      </c>
      <c r="F167" s="4">
        <v>0</v>
      </c>
      <c r="G167" s="4">
        <v>1643902.85</v>
      </c>
      <c r="H167" s="4">
        <v>14640</v>
      </c>
      <c r="I167" s="4">
        <v>0</v>
      </c>
      <c r="J167" s="4">
        <v>20219956.25</v>
      </c>
      <c r="K167" s="4">
        <v>16243000</v>
      </c>
      <c r="L167" s="4">
        <v>9428928.1999999993</v>
      </c>
      <c r="M167" s="4">
        <v>525950</v>
      </c>
      <c r="N167" s="4">
        <v>6289029.75</v>
      </c>
      <c r="O167" s="4">
        <v>0</v>
      </c>
      <c r="P167" s="4">
        <v>0</v>
      </c>
      <c r="Q167" s="4">
        <v>0</v>
      </c>
      <c r="R167" s="4">
        <v>0</v>
      </c>
      <c r="S167" s="4">
        <v>2752472.25</v>
      </c>
      <c r="T167" s="4">
        <v>0</v>
      </c>
      <c r="U167" s="4">
        <v>5103900</v>
      </c>
      <c r="V167" s="4">
        <v>10200</v>
      </c>
      <c r="W167" s="4">
        <v>238870</v>
      </c>
      <c r="X167" s="4">
        <v>12548525</v>
      </c>
      <c r="Y167" s="4">
        <v>504064</v>
      </c>
      <c r="Z167" s="4">
        <v>3210200</v>
      </c>
      <c r="AA167" s="4">
        <v>3527000</v>
      </c>
      <c r="AB167" s="4">
        <v>610190</v>
      </c>
      <c r="AC167" s="4">
        <v>1200000</v>
      </c>
      <c r="AD167" s="4">
        <v>57680</v>
      </c>
      <c r="AE167" s="4">
        <v>7629357.2800000003</v>
      </c>
      <c r="AF167" s="4">
        <v>3751400</v>
      </c>
      <c r="AG167" s="4">
        <v>0</v>
      </c>
      <c r="AH167" s="4">
        <v>5331400</v>
      </c>
      <c r="AI167" s="4">
        <v>-6340902.8499999996</v>
      </c>
      <c r="AJ167" s="4">
        <v>458962.72</v>
      </c>
      <c r="AK167" s="4">
        <v>971910</v>
      </c>
      <c r="AL167" s="4">
        <v>17007004.620000001</v>
      </c>
      <c r="AM167" s="4">
        <v>809150</v>
      </c>
      <c r="AN167" s="4">
        <v>10535953.380000001</v>
      </c>
      <c r="AO167" s="4">
        <v>1600000</v>
      </c>
      <c r="AP167" s="4">
        <v>8720525</v>
      </c>
      <c r="AQ167" s="4">
        <v>4584850</v>
      </c>
      <c r="AR167" s="4">
        <v>4303225</v>
      </c>
      <c r="AS167" s="4">
        <v>8952644.7300000004</v>
      </c>
      <c r="AT167" s="4">
        <v>5099837.0999999996</v>
      </c>
      <c r="AU167" s="4">
        <v>7734450.6200000001</v>
      </c>
      <c r="AV167" s="4">
        <v>1825965</v>
      </c>
      <c r="AW167" s="4">
        <v>13136175</v>
      </c>
      <c r="AX167" s="4">
        <v>55680</v>
      </c>
      <c r="AY167" s="4">
        <v>676480</v>
      </c>
      <c r="AZ167" s="4">
        <v>1794400</v>
      </c>
      <c r="BA167" s="4">
        <v>28400</v>
      </c>
      <c r="BB167" s="4">
        <v>859880</v>
      </c>
      <c r="BC167" s="4">
        <v>8313880</v>
      </c>
      <c r="BD167" s="4">
        <v>148745.70000000001</v>
      </c>
      <c r="BE167" s="4">
        <v>64047800</v>
      </c>
      <c r="BF167" s="4">
        <v>3874321.95</v>
      </c>
      <c r="BG167" s="80">
        <f t="shared" si="32"/>
        <v>260040003.54999995</v>
      </c>
      <c r="BH167" s="80">
        <f t="shared" si="29"/>
        <v>75019374.299999997</v>
      </c>
      <c r="BI167" s="80">
        <f t="shared" si="30"/>
        <v>20911261.149999999</v>
      </c>
      <c r="BJ167" s="80">
        <f t="shared" si="31"/>
        <v>164109368.09999999</v>
      </c>
    </row>
    <row r="168" spans="3:62" x14ac:dyDescent="0.3">
      <c r="D168">
        <v>2064</v>
      </c>
      <c r="E168" t="s">
        <v>457</v>
      </c>
      <c r="F168" s="4">
        <v>4874949.96</v>
      </c>
      <c r="G168" s="4">
        <v>76600</v>
      </c>
      <c r="H168" s="4">
        <v>0</v>
      </c>
      <c r="I168" s="4">
        <v>3992448.21</v>
      </c>
      <c r="J168" s="4">
        <v>0</v>
      </c>
      <c r="K168" s="4">
        <v>732600</v>
      </c>
      <c r="L168" s="4">
        <v>962978.49</v>
      </c>
      <c r="M168" s="4">
        <v>72841626.549999997</v>
      </c>
      <c r="N168" s="4">
        <v>127800</v>
      </c>
      <c r="O168" s="4">
        <v>825716.9</v>
      </c>
      <c r="P168" s="4">
        <v>30426335.699999999</v>
      </c>
      <c r="Q168" s="4">
        <v>1797463.35</v>
      </c>
      <c r="R168" s="4">
        <v>385600</v>
      </c>
      <c r="S168" s="4">
        <v>294250</v>
      </c>
      <c r="T168" s="4">
        <v>1129011</v>
      </c>
      <c r="U168" s="4">
        <v>0</v>
      </c>
      <c r="V168" s="4">
        <v>0</v>
      </c>
      <c r="W168" s="4">
        <v>1720598.1</v>
      </c>
      <c r="X168" s="4">
        <v>885785</v>
      </c>
      <c r="Y168" s="4">
        <v>0</v>
      </c>
      <c r="Z168" s="4">
        <v>0</v>
      </c>
      <c r="AA168" s="4">
        <v>1202200</v>
      </c>
      <c r="AB168" s="4">
        <v>0</v>
      </c>
      <c r="AC168" s="4">
        <v>0</v>
      </c>
      <c r="AD168" s="4">
        <v>0</v>
      </c>
      <c r="AE168" s="4">
        <v>195125</v>
      </c>
      <c r="AF168" s="4">
        <v>0</v>
      </c>
      <c r="AG168" s="4">
        <v>515000</v>
      </c>
      <c r="AH168" s="4">
        <v>0</v>
      </c>
      <c r="AI168" s="4">
        <v>0</v>
      </c>
      <c r="AJ168" s="4">
        <v>0</v>
      </c>
      <c r="AK168" s="4">
        <v>0</v>
      </c>
      <c r="AL168" s="4">
        <v>138940</v>
      </c>
      <c r="AM168" s="4">
        <v>0</v>
      </c>
      <c r="AN168" s="4">
        <v>269840</v>
      </c>
      <c r="AO168" s="4">
        <v>0</v>
      </c>
      <c r="AP168" s="4">
        <v>0</v>
      </c>
      <c r="AQ168" s="4">
        <v>151379.04999999999</v>
      </c>
      <c r="AR168" s="4">
        <v>0</v>
      </c>
      <c r="AS168" s="4">
        <v>273760</v>
      </c>
      <c r="AT168" s="4">
        <v>-26070</v>
      </c>
      <c r="AU168" s="4">
        <v>74347.5</v>
      </c>
      <c r="AV168" s="4">
        <v>0</v>
      </c>
      <c r="AW168" s="4">
        <v>221600</v>
      </c>
      <c r="AX168" s="4">
        <v>5540812</v>
      </c>
      <c r="AY168" s="4">
        <v>0</v>
      </c>
      <c r="AZ168" s="4">
        <v>31500</v>
      </c>
      <c r="BA168" s="4">
        <v>18939738.199999999</v>
      </c>
      <c r="BB168" s="4">
        <v>11400</v>
      </c>
      <c r="BC168" s="4">
        <v>175100</v>
      </c>
      <c r="BD168" s="4">
        <v>0</v>
      </c>
      <c r="BE168" s="4">
        <v>-9350238</v>
      </c>
      <c r="BF168" s="4">
        <v>0</v>
      </c>
      <c r="BG168" s="80">
        <f t="shared" si="32"/>
        <v>139438197.00999999</v>
      </c>
      <c r="BH168" s="80">
        <f t="shared" si="29"/>
        <v>121073763.25999999</v>
      </c>
      <c r="BI168" s="80">
        <f t="shared" si="30"/>
        <v>1912325</v>
      </c>
      <c r="BJ168" s="80">
        <f t="shared" si="31"/>
        <v>16452108.75</v>
      </c>
    </row>
    <row r="169" spans="3:62" x14ac:dyDescent="0.3">
      <c r="D169">
        <v>2067</v>
      </c>
      <c r="E169" t="s">
        <v>438</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0</v>
      </c>
      <c r="BD169" s="4">
        <v>0</v>
      </c>
      <c r="BE169" s="4">
        <v>0</v>
      </c>
      <c r="BF169" s="4">
        <v>0</v>
      </c>
      <c r="BG169" s="80">
        <f t="shared" si="32"/>
        <v>0</v>
      </c>
      <c r="BH169" s="80">
        <f t="shared" si="29"/>
        <v>0</v>
      </c>
      <c r="BI169" s="80">
        <f t="shared" si="30"/>
        <v>0</v>
      </c>
      <c r="BJ169" s="80">
        <f t="shared" si="31"/>
        <v>0</v>
      </c>
    </row>
    <row r="170" spans="3:62" x14ac:dyDescent="0.3">
      <c r="D170">
        <v>2069</v>
      </c>
      <c r="E170" t="s">
        <v>439</v>
      </c>
      <c r="F170" s="4">
        <v>0</v>
      </c>
      <c r="G170" s="4">
        <v>0</v>
      </c>
      <c r="H170" s="4">
        <v>0</v>
      </c>
      <c r="I170" s="4">
        <v>0</v>
      </c>
      <c r="J170" s="4">
        <v>0</v>
      </c>
      <c r="K170" s="4">
        <v>0</v>
      </c>
      <c r="L170" s="4">
        <v>0</v>
      </c>
      <c r="M170" s="4">
        <v>676000</v>
      </c>
      <c r="N170" s="4">
        <v>0</v>
      </c>
      <c r="O170" s="4">
        <v>0</v>
      </c>
      <c r="P170" s="4">
        <v>0</v>
      </c>
      <c r="Q170" s="4">
        <v>0</v>
      </c>
      <c r="R170" s="4">
        <v>0</v>
      </c>
      <c r="S170" s="4">
        <v>0</v>
      </c>
      <c r="T170" s="4">
        <v>0</v>
      </c>
      <c r="U170" s="4">
        <v>0</v>
      </c>
      <c r="V170" s="4">
        <v>554550</v>
      </c>
      <c r="W170" s="4">
        <v>0</v>
      </c>
      <c r="X170" s="4">
        <v>0</v>
      </c>
      <c r="Y170" s="4">
        <v>0</v>
      </c>
      <c r="Z170" s="4">
        <v>0</v>
      </c>
      <c r="AA170" s="4">
        <v>0</v>
      </c>
      <c r="AB170" s="4">
        <v>0</v>
      </c>
      <c r="AC170" s="4">
        <v>0</v>
      </c>
      <c r="AD170" s="4">
        <v>-66540</v>
      </c>
      <c r="AE170" s="4">
        <v>0</v>
      </c>
      <c r="AF170" s="4">
        <v>-109400</v>
      </c>
      <c r="AG170" s="4">
        <v>0</v>
      </c>
      <c r="AH170" s="4">
        <v>0</v>
      </c>
      <c r="AI170" s="4">
        <v>0</v>
      </c>
      <c r="AJ170" s="4">
        <v>-63907</v>
      </c>
      <c r="AK170" s="4">
        <v>0</v>
      </c>
      <c r="AL170" s="4">
        <v>107000</v>
      </c>
      <c r="AM170" s="4">
        <v>0</v>
      </c>
      <c r="AN170" s="4">
        <v>0</v>
      </c>
      <c r="AO170" s="4">
        <v>0</v>
      </c>
      <c r="AP170" s="4">
        <v>0</v>
      </c>
      <c r="AQ170" s="4">
        <v>0</v>
      </c>
      <c r="AR170" s="4">
        <v>-334240</v>
      </c>
      <c r="AS170" s="4">
        <v>0</v>
      </c>
      <c r="AT170" s="4">
        <v>0</v>
      </c>
      <c r="AU170" s="4">
        <v>-276059</v>
      </c>
      <c r="AV170" s="4">
        <v>0</v>
      </c>
      <c r="AW170" s="4">
        <v>0</v>
      </c>
      <c r="AX170" s="4">
        <v>-1227600</v>
      </c>
      <c r="AY170" s="4">
        <v>0</v>
      </c>
      <c r="AZ170" s="4">
        <v>0</v>
      </c>
      <c r="BA170" s="4">
        <v>-306733.8</v>
      </c>
      <c r="BB170" s="4">
        <v>0</v>
      </c>
      <c r="BC170" s="4">
        <v>-262760</v>
      </c>
      <c r="BD170" s="4">
        <v>0</v>
      </c>
      <c r="BE170" s="4">
        <v>0</v>
      </c>
      <c r="BF170" s="4">
        <v>0</v>
      </c>
      <c r="BG170" s="80">
        <f t="shared" si="32"/>
        <v>-1309689.8</v>
      </c>
      <c r="BH170" s="80">
        <f t="shared" si="29"/>
        <v>1230550</v>
      </c>
      <c r="BI170" s="80">
        <f t="shared" si="30"/>
        <v>-239847</v>
      </c>
      <c r="BJ170" s="80">
        <f t="shared" si="31"/>
        <v>-2300392.7999999998</v>
      </c>
    </row>
    <row r="171" spans="3:62" x14ac:dyDescent="0.3">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3">
      <c r="C172" s="83">
        <v>208</v>
      </c>
      <c r="D172" s="83"/>
      <c r="E172" s="83" t="s">
        <v>265</v>
      </c>
      <c r="F172" s="84">
        <f>F173+F174+F175+F176+F177+F178+F179+F180+F181</f>
        <v>0</v>
      </c>
      <c r="G172" s="84">
        <f t="shared" ref="G172:BF172" si="36">G173+G174+G175+G176+G177+G178+G179+G180+G181</f>
        <v>0</v>
      </c>
      <c r="H172" s="84">
        <f t="shared" si="36"/>
        <v>0</v>
      </c>
      <c r="I172" s="84">
        <f t="shared" si="36"/>
        <v>0</v>
      </c>
      <c r="J172" s="84">
        <f t="shared" si="36"/>
        <v>130830.3</v>
      </c>
      <c r="K172" s="84">
        <f t="shared" si="36"/>
        <v>537675.36</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60000</v>
      </c>
      <c r="Z172" s="84">
        <f t="shared" si="36"/>
        <v>0</v>
      </c>
      <c r="AA172" s="84">
        <f t="shared" si="36"/>
        <v>4000000</v>
      </c>
      <c r="AB172" s="84">
        <f t="shared" si="36"/>
        <v>0</v>
      </c>
      <c r="AC172" s="84">
        <f t="shared" si="36"/>
        <v>0</v>
      </c>
      <c r="AD172" s="84">
        <f t="shared" si="36"/>
        <v>0</v>
      </c>
      <c r="AE172" s="84">
        <f t="shared" si="36"/>
        <v>0</v>
      </c>
      <c r="AF172" s="84">
        <f t="shared" si="36"/>
        <v>46655</v>
      </c>
      <c r="AG172" s="84">
        <f t="shared" si="36"/>
        <v>0</v>
      </c>
      <c r="AH172" s="84">
        <f t="shared" si="36"/>
        <v>0</v>
      </c>
      <c r="AI172" s="84">
        <f t="shared" si="36"/>
        <v>355882.9</v>
      </c>
      <c r="AJ172" s="84">
        <f t="shared" si="36"/>
        <v>0</v>
      </c>
      <c r="AK172" s="84">
        <f t="shared" si="36"/>
        <v>0</v>
      </c>
      <c r="AL172" s="84">
        <f t="shared" si="36"/>
        <v>0</v>
      </c>
      <c r="AM172" s="84">
        <f t="shared" si="36"/>
        <v>0</v>
      </c>
      <c r="AN172" s="84">
        <f t="shared" si="36"/>
        <v>0</v>
      </c>
      <c r="AO172" s="84">
        <f t="shared" si="36"/>
        <v>457802.89</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121926.85</v>
      </c>
      <c r="AZ172" s="84">
        <f t="shared" si="36"/>
        <v>0</v>
      </c>
      <c r="BA172" s="84">
        <f t="shared" si="36"/>
        <v>0</v>
      </c>
      <c r="BB172" s="84">
        <f t="shared" si="36"/>
        <v>0</v>
      </c>
      <c r="BC172" s="84">
        <f t="shared" si="36"/>
        <v>268475.45</v>
      </c>
      <c r="BD172" s="84">
        <f t="shared" si="36"/>
        <v>0</v>
      </c>
      <c r="BE172" s="84">
        <f t="shared" si="36"/>
        <v>0</v>
      </c>
      <c r="BF172" s="84">
        <f t="shared" si="36"/>
        <v>0</v>
      </c>
      <c r="BG172" s="84">
        <f t="shared" si="32"/>
        <v>6467363.7199999997</v>
      </c>
      <c r="BH172" s="84">
        <f t="shared" si="29"/>
        <v>1156620.6300000001</v>
      </c>
      <c r="BI172" s="84">
        <f t="shared" si="30"/>
        <v>4462537.9000000004</v>
      </c>
      <c r="BJ172" s="84">
        <f t="shared" si="31"/>
        <v>848205.19</v>
      </c>
    </row>
    <row r="173" spans="3:62" x14ac:dyDescent="0.3">
      <c r="D173">
        <v>2081</v>
      </c>
      <c r="E173" t="s">
        <v>440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3">
      <c r="D174">
        <v>2082</v>
      </c>
      <c r="E174" t="s">
        <v>441</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3">
      <c r="D175">
        <v>2083</v>
      </c>
      <c r="E175" t="s">
        <v>442</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3">
      <c r="D176">
        <v>2084</v>
      </c>
      <c r="E176" t="s">
        <v>443</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3">
      <c r="D177">
        <v>2085</v>
      </c>
      <c r="E177" t="s">
        <v>445</v>
      </c>
      <c r="F177" s="4">
        <v>0</v>
      </c>
      <c r="G177" s="4">
        <v>0</v>
      </c>
      <c r="H177" s="4">
        <v>0</v>
      </c>
      <c r="I177" s="4">
        <v>0</v>
      </c>
      <c r="J177" s="4">
        <v>0</v>
      </c>
      <c r="K177" s="4">
        <v>537675.36</v>
      </c>
      <c r="L177" s="4">
        <v>0</v>
      </c>
      <c r="M177" s="4">
        <v>0</v>
      </c>
      <c r="N177" s="4">
        <v>0</v>
      </c>
      <c r="O177" s="4">
        <v>0</v>
      </c>
      <c r="P177" s="4">
        <v>477423.5</v>
      </c>
      <c r="Q177" s="4">
        <v>0</v>
      </c>
      <c r="R177" s="4">
        <v>0</v>
      </c>
      <c r="S177" s="4">
        <v>0</v>
      </c>
      <c r="T177" s="4">
        <v>0</v>
      </c>
      <c r="U177" s="4">
        <v>0</v>
      </c>
      <c r="V177" s="4">
        <v>0</v>
      </c>
      <c r="W177" s="4">
        <v>0</v>
      </c>
      <c r="X177" s="4">
        <v>0</v>
      </c>
      <c r="Y177" s="4">
        <v>60000</v>
      </c>
      <c r="Z177" s="4">
        <v>0</v>
      </c>
      <c r="AA177" s="4">
        <v>0</v>
      </c>
      <c r="AB177" s="4">
        <v>0</v>
      </c>
      <c r="AC177" s="4">
        <v>0</v>
      </c>
      <c r="AD177" s="4">
        <v>0</v>
      </c>
      <c r="AE177" s="4">
        <v>0</v>
      </c>
      <c r="AF177" s="4">
        <v>46655</v>
      </c>
      <c r="AG177" s="4">
        <v>0</v>
      </c>
      <c r="AH177" s="4">
        <v>0</v>
      </c>
      <c r="AI177" s="4">
        <v>355882.9</v>
      </c>
      <c r="AJ177" s="4">
        <v>0</v>
      </c>
      <c r="AK177" s="4">
        <v>0</v>
      </c>
      <c r="AL177" s="4">
        <v>0</v>
      </c>
      <c r="AM177" s="4">
        <v>0</v>
      </c>
      <c r="AN177" s="4">
        <v>0</v>
      </c>
      <c r="AO177" s="4">
        <v>457802.89</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1989366.5</v>
      </c>
      <c r="BH177" s="80">
        <f t="shared" si="29"/>
        <v>1015098.86</v>
      </c>
      <c r="BI177" s="80">
        <f t="shared" si="30"/>
        <v>462537.9</v>
      </c>
      <c r="BJ177" s="80">
        <f t="shared" si="31"/>
        <v>511729.74</v>
      </c>
    </row>
    <row r="178" spans="2:62" x14ac:dyDescent="0.3">
      <c r="D178">
        <v>2086</v>
      </c>
      <c r="E178" t="s">
        <v>444</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3">
      <c r="D179">
        <v>2087</v>
      </c>
      <c r="E179" t="s">
        <v>446</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3">
      <c r="D180">
        <v>2088</v>
      </c>
      <c r="E180" t="s">
        <v>447</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3">
      <c r="D181">
        <v>2089</v>
      </c>
      <c r="E181" t="s">
        <v>448</v>
      </c>
      <c r="F181" s="4">
        <v>0</v>
      </c>
      <c r="G181" s="4">
        <v>0</v>
      </c>
      <c r="H181" s="4">
        <v>0</v>
      </c>
      <c r="I181" s="4">
        <v>0</v>
      </c>
      <c r="J181" s="4">
        <v>130830.3</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4000000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68000</v>
      </c>
      <c r="AZ181" s="4">
        <v>0</v>
      </c>
      <c r="BA181" s="4">
        <v>0</v>
      </c>
      <c r="BB181" s="4">
        <v>0</v>
      </c>
      <c r="BC181" s="4">
        <v>268475.45</v>
      </c>
      <c r="BD181" s="4">
        <v>0</v>
      </c>
      <c r="BE181" s="4">
        <v>0</v>
      </c>
      <c r="BF181" s="4">
        <v>0</v>
      </c>
      <c r="BG181" s="80">
        <f t="shared" si="32"/>
        <v>4467305.75</v>
      </c>
      <c r="BH181" s="80">
        <f t="shared" si="29"/>
        <v>130830.3</v>
      </c>
      <c r="BI181" s="80">
        <f t="shared" si="30"/>
        <v>4000000</v>
      </c>
      <c r="BJ181" s="80">
        <f t="shared" si="31"/>
        <v>336475.45</v>
      </c>
    </row>
    <row r="182" spans="2:62" x14ac:dyDescent="0.3">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3">
      <c r="C183" s="83">
        <v>209</v>
      </c>
      <c r="D183" s="83"/>
      <c r="E183" s="83" t="s">
        <v>266</v>
      </c>
      <c r="F183" s="84">
        <f>F184+F185+F186+F187</f>
        <v>79898.100000000006</v>
      </c>
      <c r="G183" s="84">
        <f t="shared" ref="G183:BF183" si="37">G184+G185+G186+G187</f>
        <v>0</v>
      </c>
      <c r="H183" s="84">
        <f t="shared" si="37"/>
        <v>0</v>
      </c>
      <c r="I183" s="84">
        <f t="shared" si="37"/>
        <v>74721.22</v>
      </c>
      <c r="J183" s="84">
        <f t="shared" si="37"/>
        <v>259634.75</v>
      </c>
      <c r="K183" s="84">
        <f t="shared" si="37"/>
        <v>1013989.45</v>
      </c>
      <c r="L183" s="84">
        <f t="shared" si="37"/>
        <v>349624.07</v>
      </c>
      <c r="M183" s="84">
        <f t="shared" si="37"/>
        <v>1913033.45</v>
      </c>
      <c r="N183" s="84">
        <f t="shared" si="37"/>
        <v>28747.55</v>
      </c>
      <c r="O183" s="84">
        <f t="shared" si="37"/>
        <v>0</v>
      </c>
      <c r="P183" s="84">
        <f t="shared" si="37"/>
        <v>787477.4</v>
      </c>
      <c r="Q183" s="84">
        <f t="shared" si="37"/>
        <v>18419.39</v>
      </c>
      <c r="R183" s="84">
        <f t="shared" si="37"/>
        <v>0</v>
      </c>
      <c r="S183" s="84">
        <f t="shared" si="37"/>
        <v>14252</v>
      </c>
      <c r="T183" s="84">
        <f t="shared" si="37"/>
        <v>38026.949999999997</v>
      </c>
      <c r="U183" s="84">
        <f t="shared" si="37"/>
        <v>170104</v>
      </c>
      <c r="V183" s="84">
        <f t="shared" si="37"/>
        <v>37341.31</v>
      </c>
      <c r="W183" s="84">
        <f t="shared" si="37"/>
        <v>6699.17</v>
      </c>
      <c r="X183" s="84">
        <f t="shared" si="37"/>
        <v>584549.23</v>
      </c>
      <c r="Y183" s="84">
        <f t="shared" si="37"/>
        <v>0</v>
      </c>
      <c r="Z183" s="84">
        <f t="shared" si="37"/>
        <v>167926.3</v>
      </c>
      <c r="AA183" s="84">
        <f t="shared" si="37"/>
        <v>0</v>
      </c>
      <c r="AB183" s="84">
        <f t="shared" si="37"/>
        <v>0</v>
      </c>
      <c r="AC183" s="84">
        <f t="shared" si="37"/>
        <v>20998.59</v>
      </c>
      <c r="AD183" s="84">
        <f t="shared" si="37"/>
        <v>99864.18</v>
      </c>
      <c r="AE183" s="84">
        <f t="shared" si="37"/>
        <v>0</v>
      </c>
      <c r="AF183" s="84">
        <f t="shared" si="37"/>
        <v>73571.16</v>
      </c>
      <c r="AG183" s="84">
        <f t="shared" si="37"/>
        <v>94492.4</v>
      </c>
      <c r="AH183" s="84">
        <f t="shared" si="37"/>
        <v>525222.75</v>
      </c>
      <c r="AI183" s="84">
        <f t="shared" si="37"/>
        <v>854629.32000000007</v>
      </c>
      <c r="AJ183" s="84">
        <f t="shared" si="37"/>
        <v>41625.449999999997</v>
      </c>
      <c r="AK183" s="84">
        <f t="shared" si="37"/>
        <v>0</v>
      </c>
      <c r="AL183" s="84">
        <f t="shared" si="37"/>
        <v>0</v>
      </c>
      <c r="AM183" s="84">
        <f t="shared" si="37"/>
        <v>0</v>
      </c>
      <c r="AN183" s="84">
        <f t="shared" si="37"/>
        <v>52386.05</v>
      </c>
      <c r="AO183" s="84">
        <f t="shared" si="37"/>
        <v>0</v>
      </c>
      <c r="AP183" s="84">
        <f t="shared" si="37"/>
        <v>0</v>
      </c>
      <c r="AQ183" s="84">
        <f t="shared" si="37"/>
        <v>0</v>
      </c>
      <c r="AR183" s="84">
        <f t="shared" si="37"/>
        <v>52089.85</v>
      </c>
      <c r="AS183" s="84">
        <f t="shared" si="37"/>
        <v>201714.9</v>
      </c>
      <c r="AT183" s="84">
        <f t="shared" si="37"/>
        <v>14225.99</v>
      </c>
      <c r="AU183" s="84">
        <f t="shared" si="37"/>
        <v>82409.570000000007</v>
      </c>
      <c r="AV183" s="84">
        <f t="shared" si="37"/>
        <v>20026.3</v>
      </c>
      <c r="AW183" s="84">
        <f t="shared" si="37"/>
        <v>0</v>
      </c>
      <c r="AX183" s="84">
        <f t="shared" si="37"/>
        <v>117682.35</v>
      </c>
      <c r="AY183" s="84">
        <f t="shared" si="37"/>
        <v>154987.65</v>
      </c>
      <c r="AZ183" s="84">
        <f t="shared" si="37"/>
        <v>25658.69</v>
      </c>
      <c r="BA183" s="84">
        <f t="shared" si="37"/>
        <v>72879.100000000006</v>
      </c>
      <c r="BB183" s="84">
        <f t="shared" si="37"/>
        <v>0</v>
      </c>
      <c r="BC183" s="84">
        <f t="shared" si="37"/>
        <v>8369.7999999999993</v>
      </c>
      <c r="BD183" s="84">
        <f t="shared" si="37"/>
        <v>0</v>
      </c>
      <c r="BE183" s="84">
        <f t="shared" si="37"/>
        <v>1201004.06</v>
      </c>
      <c r="BF183" s="84">
        <f t="shared" si="37"/>
        <v>0</v>
      </c>
      <c r="BG183" s="84">
        <f t="shared" si="32"/>
        <v>9258282.5</v>
      </c>
      <c r="BH183" s="84">
        <f t="shared" si="29"/>
        <v>5376518.0399999991</v>
      </c>
      <c r="BI183" s="84">
        <f t="shared" si="30"/>
        <v>1878330.1500000001</v>
      </c>
      <c r="BJ183" s="84">
        <f t="shared" si="31"/>
        <v>2003434.31</v>
      </c>
    </row>
    <row r="184" spans="2:62" x14ac:dyDescent="0.3">
      <c r="D184">
        <v>2090</v>
      </c>
      <c r="E184" t="s">
        <v>266</v>
      </c>
      <c r="F184" s="4">
        <v>0</v>
      </c>
      <c r="G184" s="4">
        <v>0</v>
      </c>
      <c r="H184" s="4">
        <v>0</v>
      </c>
      <c r="I184" s="4">
        <v>0</v>
      </c>
      <c r="J184" s="4">
        <v>0</v>
      </c>
      <c r="K184" s="4">
        <v>1013089.45</v>
      </c>
      <c r="L184" s="4">
        <v>0</v>
      </c>
      <c r="M184" s="4">
        <v>0</v>
      </c>
      <c r="N184" s="4">
        <v>28747.55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52386.05</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1108475.05</v>
      </c>
      <c r="BH184" s="80">
        <f t="shared" si="29"/>
        <v>1056089</v>
      </c>
      <c r="BI184" s="80">
        <f t="shared" si="30"/>
        <v>0</v>
      </c>
      <c r="BJ184" s="80">
        <f t="shared" si="31"/>
        <v>52386.05</v>
      </c>
    </row>
    <row r="185" spans="2:62" x14ac:dyDescent="0.3">
      <c r="D185">
        <v>2091</v>
      </c>
      <c r="E185" t="s">
        <v>449</v>
      </c>
      <c r="F185" s="4">
        <v>79898.100000000006</v>
      </c>
      <c r="G185" s="4">
        <v>0</v>
      </c>
      <c r="H185" s="4">
        <v>0</v>
      </c>
      <c r="I185" s="4">
        <v>74721.22</v>
      </c>
      <c r="J185" s="4">
        <v>259634.75</v>
      </c>
      <c r="K185" s="4">
        <v>0</v>
      </c>
      <c r="L185" s="4">
        <v>349624.07</v>
      </c>
      <c r="M185" s="4">
        <v>1913033.45</v>
      </c>
      <c r="N185" s="4">
        <v>0</v>
      </c>
      <c r="O185" s="4">
        <v>0</v>
      </c>
      <c r="P185" s="4">
        <v>787477.4</v>
      </c>
      <c r="Q185" s="4">
        <v>18419.39</v>
      </c>
      <c r="R185" s="4">
        <v>0</v>
      </c>
      <c r="S185" s="4">
        <v>0</v>
      </c>
      <c r="T185" s="4">
        <v>38026.949999999997</v>
      </c>
      <c r="U185" s="4">
        <v>170104</v>
      </c>
      <c r="V185" s="4">
        <v>37341.31</v>
      </c>
      <c r="W185" s="4">
        <v>6699.17</v>
      </c>
      <c r="X185" s="4">
        <v>584549.23</v>
      </c>
      <c r="Y185" s="4">
        <v>0</v>
      </c>
      <c r="Z185" s="4">
        <v>167926.3</v>
      </c>
      <c r="AA185" s="4">
        <v>0</v>
      </c>
      <c r="AB185" s="4">
        <v>0</v>
      </c>
      <c r="AC185" s="4">
        <v>20998.59</v>
      </c>
      <c r="AD185" s="4">
        <v>99864.18</v>
      </c>
      <c r="AE185" s="4">
        <v>0</v>
      </c>
      <c r="AF185" s="4">
        <v>73571.16</v>
      </c>
      <c r="AG185" s="4">
        <v>94492.4</v>
      </c>
      <c r="AH185" s="4">
        <v>525222.75</v>
      </c>
      <c r="AI185" s="4">
        <v>804569.02</v>
      </c>
      <c r="AJ185" s="4">
        <v>41625.449999999997</v>
      </c>
      <c r="AK185" s="4">
        <v>0</v>
      </c>
      <c r="AL185" s="4">
        <v>0</v>
      </c>
      <c r="AM185" s="4">
        <v>0</v>
      </c>
      <c r="AN185" s="4">
        <v>0</v>
      </c>
      <c r="AO185" s="4">
        <v>0</v>
      </c>
      <c r="AP185" s="4">
        <v>0</v>
      </c>
      <c r="AQ185" s="4">
        <v>0</v>
      </c>
      <c r="AR185" s="4">
        <v>52089.85</v>
      </c>
      <c r="AS185" s="4">
        <v>201714.9</v>
      </c>
      <c r="AT185" s="4">
        <v>14225.99</v>
      </c>
      <c r="AU185" s="4">
        <v>82409.570000000007</v>
      </c>
      <c r="AV185" s="4">
        <v>20026.3</v>
      </c>
      <c r="AW185" s="4">
        <v>0</v>
      </c>
      <c r="AX185" s="4">
        <v>117682.35</v>
      </c>
      <c r="AY185" s="4">
        <v>154987.65</v>
      </c>
      <c r="AZ185" s="4">
        <v>25658.69</v>
      </c>
      <c r="BA185" s="4">
        <v>72879.100000000006</v>
      </c>
      <c r="BB185" s="4">
        <v>0</v>
      </c>
      <c r="BC185" s="4">
        <v>8369.7999999999993</v>
      </c>
      <c r="BD185" s="4">
        <v>0</v>
      </c>
      <c r="BE185" s="4">
        <v>1201004.06</v>
      </c>
      <c r="BF185" s="4">
        <v>0</v>
      </c>
      <c r="BG185" s="80">
        <f t="shared" si="32"/>
        <v>8098847.1500000004</v>
      </c>
      <c r="BH185" s="80">
        <f t="shared" si="29"/>
        <v>4319529.04</v>
      </c>
      <c r="BI185" s="80">
        <f t="shared" si="30"/>
        <v>1828269.8499999999</v>
      </c>
      <c r="BJ185" s="80">
        <f t="shared" si="31"/>
        <v>1951048.26</v>
      </c>
    </row>
    <row r="186" spans="2:62" x14ac:dyDescent="0.3">
      <c r="D186">
        <v>2092</v>
      </c>
      <c r="E186" t="s">
        <v>450</v>
      </c>
      <c r="F186" s="4">
        <v>0</v>
      </c>
      <c r="G186" s="4">
        <v>0</v>
      </c>
      <c r="H186" s="4">
        <v>0</v>
      </c>
      <c r="I186" s="4">
        <v>0</v>
      </c>
      <c r="J186" s="4">
        <v>0</v>
      </c>
      <c r="K186" s="4">
        <v>900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900</v>
      </c>
      <c r="BH186" s="80">
        <f t="shared" si="29"/>
        <v>900</v>
      </c>
      <c r="BI186" s="80">
        <f t="shared" si="30"/>
        <v>0</v>
      </c>
      <c r="BJ186" s="80">
        <f t="shared" si="31"/>
        <v>0</v>
      </c>
    </row>
    <row r="187" spans="2:62" x14ac:dyDescent="0.3">
      <c r="D187">
        <v>2093</v>
      </c>
      <c r="E187" t="s">
        <v>451</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50060.3</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50060.3</v>
      </c>
      <c r="BH187" s="80">
        <f t="shared" si="29"/>
        <v>0</v>
      </c>
      <c r="BI187" s="80">
        <f t="shared" si="30"/>
        <v>50060.3</v>
      </c>
      <c r="BJ187" s="80">
        <f t="shared" si="31"/>
        <v>0</v>
      </c>
    </row>
    <row r="188" spans="2:62" x14ac:dyDescent="0.3">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3">
      <c r="B189" s="85">
        <v>29</v>
      </c>
      <c r="C189" s="85"/>
      <c r="D189" s="85"/>
      <c r="E189" s="85" t="s">
        <v>267</v>
      </c>
      <c r="F189" s="86">
        <f>F190+F193+F197+F200+F203+F206+F209+F212+F215</f>
        <v>4630982.4400000004</v>
      </c>
      <c r="G189" s="86">
        <f t="shared" ref="G189:BJ189" si="38">G190+G193+G197+G200+G203+G206+G209+G212+G215</f>
        <v>610802.79</v>
      </c>
      <c r="H189" s="86">
        <f t="shared" si="38"/>
        <v>766230.21</v>
      </c>
      <c r="I189" s="86">
        <f t="shared" si="38"/>
        <v>2302707.84</v>
      </c>
      <c r="J189" s="86">
        <f t="shared" si="38"/>
        <v>9788875.8900000006</v>
      </c>
      <c r="K189" s="86">
        <f t="shared" si="38"/>
        <v>7152422.9600000009</v>
      </c>
      <c r="L189" s="86">
        <f t="shared" si="38"/>
        <v>9795973.870000001</v>
      </c>
      <c r="M189" s="86">
        <f t="shared" si="38"/>
        <v>29205709.43</v>
      </c>
      <c r="N189" s="86">
        <f t="shared" si="38"/>
        <v>3765351.04</v>
      </c>
      <c r="O189" s="86">
        <f t="shared" si="38"/>
        <v>798025.44</v>
      </c>
      <c r="P189" s="86">
        <f t="shared" si="38"/>
        <v>6293603.9800000004</v>
      </c>
      <c r="Q189" s="86">
        <f t="shared" si="38"/>
        <v>1418245.9000000001</v>
      </c>
      <c r="R189" s="86">
        <f t="shared" si="38"/>
        <v>198361.4</v>
      </c>
      <c r="S189" s="86">
        <f t="shared" si="38"/>
        <v>784264.23</v>
      </c>
      <c r="T189" s="86">
        <f t="shared" si="38"/>
        <v>1086576.02</v>
      </c>
      <c r="U189" s="86">
        <f t="shared" si="38"/>
        <v>2442335.52</v>
      </c>
      <c r="V189" s="86">
        <f t="shared" si="38"/>
        <v>778878.79</v>
      </c>
      <c r="W189" s="86">
        <f t="shared" si="38"/>
        <v>1059192.4899999998</v>
      </c>
      <c r="X189" s="86">
        <f t="shared" si="38"/>
        <v>4444752.84</v>
      </c>
      <c r="Y189" s="86">
        <f t="shared" si="38"/>
        <v>3130869.3</v>
      </c>
      <c r="Z189" s="86">
        <f t="shared" si="38"/>
        <v>2665398.6100000003</v>
      </c>
      <c r="AA189" s="86">
        <f t="shared" si="38"/>
        <v>17501313.439999998</v>
      </c>
      <c r="AB189" s="86">
        <f t="shared" si="38"/>
        <v>773273.99</v>
      </c>
      <c r="AC189" s="86">
        <f t="shared" si="38"/>
        <v>1746978.13</v>
      </c>
      <c r="AD189" s="86">
        <f t="shared" si="38"/>
        <v>2084427.77</v>
      </c>
      <c r="AE189" s="86">
        <f t="shared" si="38"/>
        <v>1307177.76</v>
      </c>
      <c r="AF189" s="86">
        <f t="shared" si="38"/>
        <v>3093097.76</v>
      </c>
      <c r="AG189" s="86">
        <f t="shared" si="38"/>
        <v>7186752.1500000004</v>
      </c>
      <c r="AH189" s="86">
        <f t="shared" si="38"/>
        <v>8061389.0800000001</v>
      </c>
      <c r="AI189" s="86">
        <f t="shared" si="38"/>
        <v>7771833.1400000006</v>
      </c>
      <c r="AJ189" s="86">
        <f t="shared" si="38"/>
        <v>2085828.7999999998</v>
      </c>
      <c r="AK189" s="86">
        <f t="shared" si="38"/>
        <v>2280645.7400000002</v>
      </c>
      <c r="AL189" s="86">
        <f t="shared" si="38"/>
        <v>3820020.7800000003</v>
      </c>
      <c r="AM189" s="86">
        <f t="shared" si="38"/>
        <v>5917379.6400000006</v>
      </c>
      <c r="AN189" s="86">
        <f t="shared" si="38"/>
        <v>3408640.35</v>
      </c>
      <c r="AO189" s="86">
        <f t="shared" si="38"/>
        <v>835500.26</v>
      </c>
      <c r="AP189" s="86">
        <f t="shared" si="38"/>
        <v>19753127.66</v>
      </c>
      <c r="AQ189" s="86">
        <f t="shared" si="38"/>
        <v>2890923.9699999997</v>
      </c>
      <c r="AR189" s="86">
        <f t="shared" si="38"/>
        <v>2578238.1100000003</v>
      </c>
      <c r="AS189" s="86">
        <f t="shared" si="38"/>
        <v>10565711.85</v>
      </c>
      <c r="AT189" s="86">
        <f t="shared" si="38"/>
        <v>1934342.46</v>
      </c>
      <c r="AU189" s="86">
        <f t="shared" si="38"/>
        <v>1622294.17</v>
      </c>
      <c r="AV189" s="86">
        <f t="shared" si="38"/>
        <v>4526106.68</v>
      </c>
      <c r="AW189" s="86">
        <f t="shared" si="38"/>
        <v>7087086.1199999992</v>
      </c>
      <c r="AX189" s="86">
        <f t="shared" si="38"/>
        <v>2381334.4300000002</v>
      </c>
      <c r="AY189" s="86">
        <f t="shared" si="38"/>
        <v>565767.6</v>
      </c>
      <c r="AZ189" s="86">
        <f t="shared" si="38"/>
        <v>1609904.96</v>
      </c>
      <c r="BA189" s="86">
        <f t="shared" si="38"/>
        <v>3145244.6300000004</v>
      </c>
      <c r="BB189" s="86">
        <f t="shared" si="38"/>
        <v>3183101.19</v>
      </c>
      <c r="BC189" s="86">
        <f t="shared" si="38"/>
        <v>3952180.4000000004</v>
      </c>
      <c r="BD189" s="86">
        <f t="shared" si="38"/>
        <v>1217138.26</v>
      </c>
      <c r="BE189" s="86">
        <f t="shared" si="38"/>
        <v>11054906.34</v>
      </c>
      <c r="BF189" s="86">
        <f t="shared" si="38"/>
        <v>1379198.75</v>
      </c>
      <c r="BG189" s="86">
        <f t="shared" si="38"/>
        <v>240440427.36000007</v>
      </c>
      <c r="BH189" s="86">
        <f t="shared" si="38"/>
        <v>87323293.080000013</v>
      </c>
      <c r="BI189" s="86">
        <f t="shared" si="38"/>
        <v>59688985.670000002</v>
      </c>
      <c r="BJ189" s="86">
        <f t="shared" si="38"/>
        <v>93428148.609999999</v>
      </c>
    </row>
    <row r="190" spans="2:62" x14ac:dyDescent="0.3">
      <c r="C190" s="83">
        <v>290</v>
      </c>
      <c r="D190" s="83"/>
      <c r="E190" s="83" t="s">
        <v>268</v>
      </c>
      <c r="F190" s="84">
        <f>F191</f>
        <v>1974908.03</v>
      </c>
      <c r="G190" s="84">
        <f t="shared" ref="G190:BF190" si="39">G191</f>
        <v>412806.58</v>
      </c>
      <c r="H190" s="84">
        <f t="shared" si="39"/>
        <v>375820.01</v>
      </c>
      <c r="I190" s="84">
        <f t="shared" si="39"/>
        <v>729310.48</v>
      </c>
      <c r="J190" s="84">
        <f t="shared" si="39"/>
        <v>4528998.6100000003</v>
      </c>
      <c r="K190" s="84">
        <f t="shared" si="39"/>
        <v>4538526.4800000004</v>
      </c>
      <c r="L190" s="84">
        <f t="shared" si="39"/>
        <v>2527597.5699999998</v>
      </c>
      <c r="M190" s="84">
        <f t="shared" si="39"/>
        <v>20036737.280000001</v>
      </c>
      <c r="N190" s="84">
        <f t="shared" si="39"/>
        <v>1117278.02</v>
      </c>
      <c r="O190" s="84">
        <f t="shared" si="39"/>
        <v>239482.13</v>
      </c>
      <c r="P190" s="84">
        <f t="shared" si="39"/>
        <v>2997937.79</v>
      </c>
      <c r="Q190" s="84">
        <f t="shared" si="39"/>
        <v>524142</v>
      </c>
      <c r="R190" s="84">
        <f t="shared" si="39"/>
        <v>96480.67</v>
      </c>
      <c r="S190" s="84">
        <f t="shared" si="39"/>
        <v>396973.96</v>
      </c>
      <c r="T190" s="84">
        <f t="shared" si="39"/>
        <v>1071736.77</v>
      </c>
      <c r="U190" s="84">
        <f t="shared" si="39"/>
        <v>1606453.47</v>
      </c>
      <c r="V190" s="84">
        <f t="shared" si="39"/>
        <v>312855.86</v>
      </c>
      <c r="W190" s="84">
        <f t="shared" si="39"/>
        <v>479680.85</v>
      </c>
      <c r="X190" s="84">
        <f t="shared" si="39"/>
        <v>2129125.0099999998</v>
      </c>
      <c r="Y190" s="84">
        <f t="shared" si="39"/>
        <v>694407.9</v>
      </c>
      <c r="Z190" s="84">
        <f t="shared" si="39"/>
        <v>1285601.57</v>
      </c>
      <c r="AA190" s="84">
        <f t="shared" si="39"/>
        <v>1245871.68</v>
      </c>
      <c r="AB190" s="84">
        <f t="shared" si="39"/>
        <v>249606.79</v>
      </c>
      <c r="AC190" s="84">
        <f t="shared" si="39"/>
        <v>599217.18999999994</v>
      </c>
      <c r="AD190" s="84">
        <f t="shared" si="39"/>
        <v>754052.4</v>
      </c>
      <c r="AE190" s="84">
        <f t="shared" si="39"/>
        <v>349857.77</v>
      </c>
      <c r="AF190" s="84">
        <f t="shared" si="39"/>
        <v>1403316.45</v>
      </c>
      <c r="AG190" s="84">
        <f t="shared" si="39"/>
        <v>1965770.06</v>
      </c>
      <c r="AH190" s="84">
        <f t="shared" si="39"/>
        <v>2088951.59</v>
      </c>
      <c r="AI190" s="84">
        <f t="shared" si="39"/>
        <v>5598115.3799999999</v>
      </c>
      <c r="AJ190" s="84">
        <f t="shared" si="39"/>
        <v>786054.9</v>
      </c>
      <c r="AK190" s="84">
        <f t="shared" si="39"/>
        <v>551433.16</v>
      </c>
      <c r="AL190" s="84">
        <f t="shared" si="39"/>
        <v>1550927.75</v>
      </c>
      <c r="AM190" s="84">
        <f t="shared" si="39"/>
        <v>1341740.31</v>
      </c>
      <c r="AN190" s="84">
        <f t="shared" si="39"/>
        <v>751759.6</v>
      </c>
      <c r="AO190" s="84">
        <f t="shared" si="39"/>
        <v>325937.34999999998</v>
      </c>
      <c r="AP190" s="84">
        <f t="shared" si="39"/>
        <v>3164711.94</v>
      </c>
      <c r="AQ190" s="84">
        <f t="shared" si="39"/>
        <v>578611.24</v>
      </c>
      <c r="AR190" s="84">
        <f t="shared" si="39"/>
        <v>567576.37</v>
      </c>
      <c r="AS190" s="84">
        <f t="shared" si="39"/>
        <v>1647572.02</v>
      </c>
      <c r="AT190" s="84">
        <f t="shared" si="39"/>
        <v>1605038.4</v>
      </c>
      <c r="AU190" s="84">
        <f t="shared" si="39"/>
        <v>577788.79</v>
      </c>
      <c r="AV190" s="84">
        <f t="shared" si="39"/>
        <v>578699.92000000004</v>
      </c>
      <c r="AW190" s="84">
        <f t="shared" si="39"/>
        <v>1488772.18</v>
      </c>
      <c r="AX190" s="84">
        <f t="shared" si="39"/>
        <v>1102244.8500000001</v>
      </c>
      <c r="AY190" s="84">
        <f t="shared" si="39"/>
        <v>393459.23</v>
      </c>
      <c r="AZ190" s="84">
        <f t="shared" si="39"/>
        <v>888539.17</v>
      </c>
      <c r="BA190" s="84">
        <f t="shared" si="39"/>
        <v>805989.62</v>
      </c>
      <c r="BB190" s="84">
        <f t="shared" si="39"/>
        <v>1476442.34</v>
      </c>
      <c r="BC190" s="84">
        <f t="shared" si="39"/>
        <v>1464840.53</v>
      </c>
      <c r="BD190" s="84">
        <f t="shared" si="39"/>
        <v>338945.49</v>
      </c>
      <c r="BE190" s="84">
        <f t="shared" si="39"/>
        <v>6759778.6100000003</v>
      </c>
      <c r="BF190" s="84">
        <f t="shared" si="39"/>
        <v>760054.2</v>
      </c>
      <c r="BG190" s="84">
        <f t="shared" si="32"/>
        <v>91838538.320000038</v>
      </c>
      <c r="BH190" s="84">
        <f t="shared" si="29"/>
        <v>46096851.570000015</v>
      </c>
      <c r="BI190" s="84">
        <f t="shared" si="30"/>
        <v>17572256.84</v>
      </c>
      <c r="BJ190" s="84">
        <f t="shared" si="31"/>
        <v>28169429.909999996</v>
      </c>
    </row>
    <row r="191" spans="2:62" x14ac:dyDescent="0.3">
      <c r="D191">
        <v>2900</v>
      </c>
      <c r="E191" t="s">
        <v>268</v>
      </c>
      <c r="F191" s="4">
        <v>1974908.03</v>
      </c>
      <c r="G191" s="4">
        <v>412806.58</v>
      </c>
      <c r="H191" s="4">
        <v>375820.01</v>
      </c>
      <c r="I191" s="4">
        <v>729310.48</v>
      </c>
      <c r="J191" s="4">
        <v>4528998.6100000003</v>
      </c>
      <c r="K191" s="4">
        <v>4538526.4800000004</v>
      </c>
      <c r="L191" s="4">
        <v>2527597.5699999998</v>
      </c>
      <c r="M191" s="4">
        <v>20036737.280000001</v>
      </c>
      <c r="N191" s="4">
        <v>1117278.02</v>
      </c>
      <c r="O191" s="4">
        <v>239482.13</v>
      </c>
      <c r="P191" s="4">
        <v>2997937.79</v>
      </c>
      <c r="Q191" s="4">
        <v>524142</v>
      </c>
      <c r="R191" s="4">
        <v>96480.67</v>
      </c>
      <c r="S191" s="4">
        <v>396973.96</v>
      </c>
      <c r="T191" s="4">
        <v>1071736.77</v>
      </c>
      <c r="U191" s="4">
        <v>1606453.47</v>
      </c>
      <c r="V191" s="4">
        <v>312855.86</v>
      </c>
      <c r="W191" s="4">
        <v>479680.85</v>
      </c>
      <c r="X191" s="4">
        <v>2129125.0099999998</v>
      </c>
      <c r="Y191" s="4">
        <v>694407.9</v>
      </c>
      <c r="Z191" s="4">
        <v>1285601.57</v>
      </c>
      <c r="AA191" s="4">
        <v>1245871.68</v>
      </c>
      <c r="AB191" s="4">
        <v>249606.79</v>
      </c>
      <c r="AC191" s="4">
        <v>599217.18999999994</v>
      </c>
      <c r="AD191" s="4">
        <v>754052.4</v>
      </c>
      <c r="AE191" s="4">
        <v>349857.77</v>
      </c>
      <c r="AF191" s="4">
        <v>1403316.45</v>
      </c>
      <c r="AG191" s="4">
        <v>1965770.06</v>
      </c>
      <c r="AH191" s="4">
        <v>2088951.59</v>
      </c>
      <c r="AI191" s="4">
        <v>5598115.3799999999</v>
      </c>
      <c r="AJ191" s="4">
        <v>786054.9</v>
      </c>
      <c r="AK191" s="4">
        <v>551433.16</v>
      </c>
      <c r="AL191" s="4">
        <v>1550927.75</v>
      </c>
      <c r="AM191" s="4">
        <v>1341740.31</v>
      </c>
      <c r="AN191" s="4">
        <v>751759.6</v>
      </c>
      <c r="AO191" s="4">
        <v>325937.34999999998</v>
      </c>
      <c r="AP191" s="4">
        <v>3164711.94</v>
      </c>
      <c r="AQ191" s="4">
        <v>578611.24</v>
      </c>
      <c r="AR191" s="4">
        <v>567576.37</v>
      </c>
      <c r="AS191" s="4">
        <v>1647572.02</v>
      </c>
      <c r="AT191" s="4">
        <v>1605038.4</v>
      </c>
      <c r="AU191" s="4">
        <v>577788.79</v>
      </c>
      <c r="AV191" s="4">
        <v>578699.92000000004</v>
      </c>
      <c r="AW191" s="4">
        <v>1488772.18</v>
      </c>
      <c r="AX191" s="4">
        <v>1102244.8500000001</v>
      </c>
      <c r="AY191" s="4">
        <v>393459.23</v>
      </c>
      <c r="AZ191" s="4">
        <v>888539.17</v>
      </c>
      <c r="BA191" s="4">
        <v>805989.62</v>
      </c>
      <c r="BB191" s="4">
        <v>1476442.34</v>
      </c>
      <c r="BC191" s="4">
        <v>1464840.53</v>
      </c>
      <c r="BD191" s="4">
        <v>338945.49</v>
      </c>
      <c r="BE191" s="4">
        <v>6759778.6100000003</v>
      </c>
      <c r="BF191" s="4">
        <v>760054.2</v>
      </c>
      <c r="BG191" s="80">
        <f t="shared" si="32"/>
        <v>91838538.320000038</v>
      </c>
      <c r="BH191" s="80">
        <f t="shared" si="29"/>
        <v>46096851.570000015</v>
      </c>
      <c r="BI191" s="80">
        <f t="shared" si="30"/>
        <v>17572256.84</v>
      </c>
      <c r="BJ191" s="80">
        <f t="shared" si="31"/>
        <v>28169429.909999996</v>
      </c>
    </row>
    <row r="192" spans="2:62" x14ac:dyDescent="0.3">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3">
      <c r="C193" s="83">
        <v>291</v>
      </c>
      <c r="D193" s="83"/>
      <c r="E193" s="83" t="s">
        <v>269</v>
      </c>
      <c r="F193" s="84">
        <f>F194+F195</f>
        <v>109400.8</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104720.77</v>
      </c>
      <c r="AL193" s="84">
        <f t="shared" si="40"/>
        <v>0</v>
      </c>
      <c r="AM193" s="84">
        <f t="shared" si="40"/>
        <v>0</v>
      </c>
      <c r="AN193" s="84">
        <f t="shared" si="40"/>
        <v>0</v>
      </c>
      <c r="AO193" s="84">
        <f t="shared" si="40"/>
        <v>0</v>
      </c>
      <c r="AP193" s="84">
        <f t="shared" si="40"/>
        <v>4554477.05</v>
      </c>
      <c r="AQ193" s="84">
        <f t="shared" si="40"/>
        <v>0</v>
      </c>
      <c r="AR193" s="84">
        <f t="shared" si="40"/>
        <v>0</v>
      </c>
      <c r="AS193" s="84">
        <f t="shared" si="40"/>
        <v>0</v>
      </c>
      <c r="AT193" s="84">
        <f t="shared" si="40"/>
        <v>0</v>
      </c>
      <c r="AU193" s="84">
        <f t="shared" si="40"/>
        <v>0</v>
      </c>
      <c r="AV193" s="84">
        <f t="shared" si="40"/>
        <v>0</v>
      </c>
      <c r="AW193" s="84">
        <f t="shared" si="40"/>
        <v>0</v>
      </c>
      <c r="AX193" s="84">
        <f t="shared" si="40"/>
        <v>380069.05</v>
      </c>
      <c r="AY193" s="84">
        <f t="shared" si="40"/>
        <v>0</v>
      </c>
      <c r="AZ193" s="84">
        <f t="shared" si="40"/>
        <v>0</v>
      </c>
      <c r="BA193" s="84">
        <f t="shared" si="40"/>
        <v>0</v>
      </c>
      <c r="BB193" s="84">
        <f t="shared" si="40"/>
        <v>0</v>
      </c>
      <c r="BC193" s="84">
        <f t="shared" si="40"/>
        <v>0</v>
      </c>
      <c r="BD193" s="84">
        <f t="shared" si="40"/>
        <v>0</v>
      </c>
      <c r="BE193" s="84">
        <f t="shared" si="40"/>
        <v>385749.5</v>
      </c>
      <c r="BF193" s="84">
        <f t="shared" si="40"/>
        <v>0</v>
      </c>
      <c r="BG193" s="84">
        <f t="shared" si="32"/>
        <v>5824194.0499999998</v>
      </c>
      <c r="BH193" s="84">
        <f t="shared" si="29"/>
        <v>379125.61</v>
      </c>
      <c r="BI193" s="84">
        <f t="shared" si="30"/>
        <v>124772.84</v>
      </c>
      <c r="BJ193" s="84">
        <f t="shared" si="31"/>
        <v>5320295.5999999996</v>
      </c>
    </row>
    <row r="194" spans="3:62" x14ac:dyDescent="0.3">
      <c r="D194">
        <v>2910</v>
      </c>
      <c r="E194" t="s">
        <v>269</v>
      </c>
      <c r="F194" s="4">
        <v>109400.8</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104720.77</v>
      </c>
      <c r="AL194" s="4">
        <v>0</v>
      </c>
      <c r="AM194" s="4">
        <v>0</v>
      </c>
      <c r="AN194" s="4">
        <v>0</v>
      </c>
      <c r="AO194" s="4">
        <v>0</v>
      </c>
      <c r="AP194" s="4">
        <v>4554477.05</v>
      </c>
      <c r="AQ194" s="4">
        <v>0</v>
      </c>
      <c r="AR194" s="4">
        <v>0</v>
      </c>
      <c r="AS194" s="4">
        <v>0</v>
      </c>
      <c r="AT194" s="4">
        <v>0</v>
      </c>
      <c r="AU194" s="4">
        <v>0</v>
      </c>
      <c r="AV194" s="4">
        <v>0</v>
      </c>
      <c r="AW194" s="4">
        <v>0</v>
      </c>
      <c r="AX194" s="4">
        <v>380069.05</v>
      </c>
      <c r="AY194" s="4">
        <v>0</v>
      </c>
      <c r="AZ194" s="4">
        <v>0</v>
      </c>
      <c r="BA194" s="4">
        <v>0</v>
      </c>
      <c r="BB194" s="4">
        <v>0</v>
      </c>
      <c r="BC194" s="4">
        <v>0</v>
      </c>
      <c r="BD194" s="4">
        <v>0</v>
      </c>
      <c r="BE194" s="4">
        <v>385749.5</v>
      </c>
      <c r="BF194" s="4">
        <v>0</v>
      </c>
      <c r="BG194" s="80">
        <f t="shared" si="32"/>
        <v>5554469.2399999993</v>
      </c>
      <c r="BH194" s="80">
        <f t="shared" si="29"/>
        <v>109400.8</v>
      </c>
      <c r="BI194" s="80">
        <f t="shared" si="30"/>
        <v>124772.84</v>
      </c>
      <c r="BJ194" s="80">
        <f t="shared" si="31"/>
        <v>5320295.5999999996</v>
      </c>
    </row>
    <row r="195" spans="3:62" x14ac:dyDescent="0.3">
      <c r="D195">
        <v>2911</v>
      </c>
      <c r="E195" t="s">
        <v>452</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3">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3">
      <c r="C197" s="83">
        <v>292</v>
      </c>
      <c r="D197" s="83"/>
      <c r="E197" s="83" t="s">
        <v>270</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165900</v>
      </c>
      <c r="AB197" s="84">
        <f t="shared" si="41"/>
        <v>81058.350000000006</v>
      </c>
      <c r="AC197" s="84">
        <f t="shared" si="41"/>
        <v>0</v>
      </c>
      <c r="AD197" s="84">
        <f t="shared" si="41"/>
        <v>0</v>
      </c>
      <c r="AE197" s="84">
        <f t="shared" si="41"/>
        <v>0</v>
      </c>
      <c r="AF197" s="84">
        <f t="shared" si="41"/>
        <v>0</v>
      </c>
      <c r="AG197" s="84">
        <f t="shared" si="41"/>
        <v>0</v>
      </c>
      <c r="AH197" s="84">
        <f t="shared" si="41"/>
        <v>127348.1</v>
      </c>
      <c r="AI197" s="84">
        <f t="shared" si="41"/>
        <v>0</v>
      </c>
      <c r="AJ197" s="84">
        <f t="shared" si="41"/>
        <v>0</v>
      </c>
      <c r="AK197" s="84">
        <f t="shared" si="41"/>
        <v>0</v>
      </c>
      <c r="AL197" s="84">
        <f t="shared" si="41"/>
        <v>0</v>
      </c>
      <c r="AM197" s="84">
        <f t="shared" si="41"/>
        <v>0</v>
      </c>
      <c r="AN197" s="84">
        <f t="shared" si="41"/>
        <v>0</v>
      </c>
      <c r="AO197" s="84">
        <f t="shared" si="41"/>
        <v>0</v>
      </c>
      <c r="AP197" s="84">
        <f t="shared" si="41"/>
        <v>1605303.7</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5460</v>
      </c>
      <c r="AZ197" s="84">
        <f t="shared" si="41"/>
        <v>0</v>
      </c>
      <c r="BA197" s="84">
        <f t="shared" si="41"/>
        <v>0</v>
      </c>
      <c r="BB197" s="84">
        <f t="shared" si="41"/>
        <v>0</v>
      </c>
      <c r="BC197" s="84">
        <f t="shared" si="41"/>
        <v>0</v>
      </c>
      <c r="BD197" s="84">
        <f t="shared" si="41"/>
        <v>10267.65</v>
      </c>
      <c r="BE197" s="84">
        <f t="shared" si="41"/>
        <v>0</v>
      </c>
      <c r="BF197" s="84">
        <f t="shared" si="41"/>
        <v>0</v>
      </c>
      <c r="BG197" s="84">
        <f t="shared" si="32"/>
        <v>2171523.7999999998</v>
      </c>
      <c r="BH197" s="84">
        <f t="shared" si="29"/>
        <v>176186</v>
      </c>
      <c r="BI197" s="84">
        <f t="shared" si="30"/>
        <v>374306.45</v>
      </c>
      <c r="BJ197" s="84">
        <f t="shared" si="31"/>
        <v>1621031.3499999999</v>
      </c>
    </row>
    <row r="198" spans="3:62" x14ac:dyDescent="0.3">
      <c r="D198">
        <v>2920</v>
      </c>
      <c r="E198" t="s">
        <v>270</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165900</v>
      </c>
      <c r="AB198" s="4">
        <v>81058.350000000006</v>
      </c>
      <c r="AC198" s="4">
        <v>0</v>
      </c>
      <c r="AD198" s="4">
        <v>0</v>
      </c>
      <c r="AE198" s="4">
        <v>0</v>
      </c>
      <c r="AF198" s="4">
        <v>0</v>
      </c>
      <c r="AG198" s="4">
        <v>0</v>
      </c>
      <c r="AH198" s="4">
        <v>127348.1</v>
      </c>
      <c r="AI198" s="4">
        <v>0</v>
      </c>
      <c r="AJ198" s="4">
        <v>0</v>
      </c>
      <c r="AK198" s="4">
        <v>0</v>
      </c>
      <c r="AL198" s="4">
        <v>0</v>
      </c>
      <c r="AM198" s="4">
        <v>0</v>
      </c>
      <c r="AN198" s="4">
        <v>0</v>
      </c>
      <c r="AO198" s="4">
        <v>0</v>
      </c>
      <c r="AP198" s="4">
        <v>1605303.7</v>
      </c>
      <c r="AQ198" s="4">
        <v>0</v>
      </c>
      <c r="AR198" s="4">
        <v>0</v>
      </c>
      <c r="AS198" s="4">
        <v>0</v>
      </c>
      <c r="AT198" s="4">
        <v>0</v>
      </c>
      <c r="AU198" s="4">
        <v>0</v>
      </c>
      <c r="AV198" s="4">
        <v>0</v>
      </c>
      <c r="AW198" s="4">
        <v>0</v>
      </c>
      <c r="AX198" s="4">
        <v>0</v>
      </c>
      <c r="AY198" s="4">
        <v>5460</v>
      </c>
      <c r="AZ198" s="4">
        <v>0</v>
      </c>
      <c r="BA198" s="4">
        <v>0</v>
      </c>
      <c r="BB198" s="4">
        <v>0</v>
      </c>
      <c r="BC198" s="4">
        <v>0</v>
      </c>
      <c r="BD198" s="4">
        <v>10267.65</v>
      </c>
      <c r="BE198" s="4">
        <v>0</v>
      </c>
      <c r="BF198" s="4">
        <v>0</v>
      </c>
      <c r="BG198" s="80">
        <f t="shared" si="32"/>
        <v>2171523.7999999998</v>
      </c>
      <c r="BH198" s="80">
        <f t="shared" si="29"/>
        <v>176186</v>
      </c>
      <c r="BI198" s="80">
        <f t="shared" si="30"/>
        <v>374306.45</v>
      </c>
      <c r="BJ198" s="80">
        <f t="shared" si="31"/>
        <v>1621031.3499999999</v>
      </c>
    </row>
    <row r="199" spans="3:62" x14ac:dyDescent="0.3">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3">
      <c r="C200" s="83">
        <v>293</v>
      </c>
      <c r="D200" s="83"/>
      <c r="E200" s="83" t="s">
        <v>271</v>
      </c>
      <c r="F200" s="84">
        <f>F201</f>
        <v>0</v>
      </c>
      <c r="G200" s="84">
        <f t="shared" ref="G200:BF200" si="42">G201</f>
        <v>0</v>
      </c>
      <c r="H200" s="84">
        <f t="shared" si="42"/>
        <v>0</v>
      </c>
      <c r="I200" s="84">
        <f t="shared" si="42"/>
        <v>270853.28999999998</v>
      </c>
      <c r="J200" s="84">
        <f t="shared" si="42"/>
        <v>0</v>
      </c>
      <c r="K200" s="84">
        <f t="shared" si="42"/>
        <v>0</v>
      </c>
      <c r="L200" s="84">
        <f t="shared" si="42"/>
        <v>407376.52</v>
      </c>
      <c r="M200" s="84">
        <f t="shared" si="42"/>
        <v>0</v>
      </c>
      <c r="N200" s="84">
        <f t="shared" si="42"/>
        <v>1299602.26</v>
      </c>
      <c r="O200" s="84">
        <f t="shared" si="42"/>
        <v>0</v>
      </c>
      <c r="P200" s="84">
        <f t="shared" si="42"/>
        <v>1896550.18</v>
      </c>
      <c r="Q200" s="84">
        <f t="shared" si="42"/>
        <v>0</v>
      </c>
      <c r="R200" s="84">
        <f t="shared" si="42"/>
        <v>6310.55</v>
      </c>
      <c r="S200" s="84">
        <f t="shared" si="42"/>
        <v>0</v>
      </c>
      <c r="T200" s="84">
        <f t="shared" si="42"/>
        <v>80623.48</v>
      </c>
      <c r="U200" s="84">
        <f t="shared" si="42"/>
        <v>0</v>
      </c>
      <c r="V200" s="84">
        <f t="shared" si="42"/>
        <v>22000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63169.25</v>
      </c>
      <c r="AF200" s="84">
        <f t="shared" si="42"/>
        <v>0</v>
      </c>
      <c r="AG200" s="84">
        <f t="shared" si="42"/>
        <v>0</v>
      </c>
      <c r="AH200" s="84">
        <f t="shared" si="42"/>
        <v>0</v>
      </c>
      <c r="AI200" s="84">
        <f t="shared" si="42"/>
        <v>0</v>
      </c>
      <c r="AJ200" s="84">
        <f t="shared" si="42"/>
        <v>0</v>
      </c>
      <c r="AK200" s="84">
        <f t="shared" si="42"/>
        <v>0</v>
      </c>
      <c r="AL200" s="84">
        <f t="shared" si="42"/>
        <v>779952.95</v>
      </c>
      <c r="AM200" s="84">
        <f t="shared" si="42"/>
        <v>0</v>
      </c>
      <c r="AN200" s="84">
        <f t="shared" si="42"/>
        <v>0</v>
      </c>
      <c r="AO200" s="84">
        <f t="shared" si="42"/>
        <v>0</v>
      </c>
      <c r="AP200" s="84">
        <f t="shared" si="42"/>
        <v>0</v>
      </c>
      <c r="AQ200" s="84">
        <f t="shared" si="42"/>
        <v>0</v>
      </c>
      <c r="AR200" s="84">
        <f t="shared" si="42"/>
        <v>0</v>
      </c>
      <c r="AS200" s="84">
        <f t="shared" si="42"/>
        <v>138049.29999999999</v>
      </c>
      <c r="AT200" s="84">
        <f t="shared" si="42"/>
        <v>0</v>
      </c>
      <c r="AU200" s="84">
        <f t="shared" si="42"/>
        <v>55000</v>
      </c>
      <c r="AV200" s="84">
        <f t="shared" si="42"/>
        <v>0</v>
      </c>
      <c r="AW200" s="84">
        <f t="shared" si="42"/>
        <v>0</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7" si="43">SUM(F200:BF200)</f>
        <v>5019487.7799999993</v>
      </c>
      <c r="BH200" s="84">
        <f t="shared" ref="BH200:BH217" si="44">SUM(F200:X200)</f>
        <v>3983316.28</v>
      </c>
      <c r="BI200" s="84">
        <f t="shared" ref="BI200:BI217" si="45">SUM(Y200:AK200)</f>
        <v>63169.25</v>
      </c>
      <c r="BJ200" s="84">
        <f t="shared" ref="BJ200:BJ217" si="46">SUM(AL200:BF200)</f>
        <v>973002.25</v>
      </c>
    </row>
    <row r="201" spans="3:62" x14ac:dyDescent="0.3">
      <c r="D201">
        <v>2930</v>
      </c>
      <c r="E201" t="s">
        <v>271</v>
      </c>
      <c r="F201" s="4">
        <v>0</v>
      </c>
      <c r="G201" s="4">
        <v>0</v>
      </c>
      <c r="H201" s="4">
        <v>0</v>
      </c>
      <c r="I201" s="4">
        <v>270853.28999999998</v>
      </c>
      <c r="J201" s="4">
        <v>0</v>
      </c>
      <c r="K201" s="4">
        <v>0</v>
      </c>
      <c r="L201" s="4">
        <v>407376.52</v>
      </c>
      <c r="M201" s="4">
        <v>0</v>
      </c>
      <c r="N201" s="4">
        <v>1299602.26</v>
      </c>
      <c r="O201" s="4">
        <v>0</v>
      </c>
      <c r="P201" s="4">
        <v>1896550.18</v>
      </c>
      <c r="Q201" s="4">
        <v>0</v>
      </c>
      <c r="R201" s="4">
        <v>6310.55</v>
      </c>
      <c r="S201" s="4">
        <v>0</v>
      </c>
      <c r="T201" s="4">
        <v>80623.48</v>
      </c>
      <c r="U201" s="4">
        <v>0</v>
      </c>
      <c r="V201" s="4">
        <v>22000</v>
      </c>
      <c r="W201" s="4">
        <v>0</v>
      </c>
      <c r="X201" s="4">
        <v>0</v>
      </c>
      <c r="Y201" s="4">
        <v>0</v>
      </c>
      <c r="Z201" s="4">
        <v>0</v>
      </c>
      <c r="AA201" s="4">
        <v>0</v>
      </c>
      <c r="AB201" s="4">
        <v>0</v>
      </c>
      <c r="AC201" s="4">
        <v>0</v>
      </c>
      <c r="AD201" s="4">
        <v>0</v>
      </c>
      <c r="AE201" s="4">
        <v>63169.25</v>
      </c>
      <c r="AF201" s="4">
        <v>0</v>
      </c>
      <c r="AG201" s="4">
        <v>0</v>
      </c>
      <c r="AH201" s="4">
        <v>0</v>
      </c>
      <c r="AI201" s="4">
        <v>0</v>
      </c>
      <c r="AJ201" s="4">
        <v>0</v>
      </c>
      <c r="AK201" s="4">
        <v>0</v>
      </c>
      <c r="AL201" s="4">
        <v>779952.95</v>
      </c>
      <c r="AM201" s="4">
        <v>0</v>
      </c>
      <c r="AN201" s="4">
        <v>0</v>
      </c>
      <c r="AO201" s="4">
        <v>0</v>
      </c>
      <c r="AP201" s="4">
        <v>0</v>
      </c>
      <c r="AQ201" s="4">
        <v>0</v>
      </c>
      <c r="AR201" s="4">
        <v>0</v>
      </c>
      <c r="AS201" s="4">
        <v>138049.29999999999</v>
      </c>
      <c r="AT201" s="4">
        <v>0</v>
      </c>
      <c r="AU201" s="4">
        <v>55000</v>
      </c>
      <c r="AV201" s="4">
        <v>0</v>
      </c>
      <c r="AW201" s="4">
        <v>0</v>
      </c>
      <c r="AX201" s="4">
        <v>0</v>
      </c>
      <c r="AY201" s="4">
        <v>0</v>
      </c>
      <c r="AZ201" s="4">
        <v>0</v>
      </c>
      <c r="BA201" s="4">
        <v>0</v>
      </c>
      <c r="BB201" s="4">
        <v>0</v>
      </c>
      <c r="BC201" s="4">
        <v>0</v>
      </c>
      <c r="BD201" s="4">
        <v>0</v>
      </c>
      <c r="BE201" s="4">
        <v>0</v>
      </c>
      <c r="BF201" s="4">
        <v>0</v>
      </c>
      <c r="BG201" s="80">
        <f t="shared" si="43"/>
        <v>5019487.7799999993</v>
      </c>
      <c r="BH201" s="80">
        <f t="shared" si="44"/>
        <v>3983316.28</v>
      </c>
      <c r="BI201" s="80">
        <f t="shared" si="45"/>
        <v>63169.25</v>
      </c>
      <c r="BJ201" s="80">
        <f t="shared" si="46"/>
        <v>973002.25</v>
      </c>
    </row>
    <row r="202" spans="3:62" x14ac:dyDescent="0.3">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3">
      <c r="C203" s="83">
        <v>294</v>
      </c>
      <c r="D203" s="83"/>
      <c r="E203" s="83" t="s">
        <v>272</v>
      </c>
      <c r="F203" s="84">
        <f>F204</f>
        <v>320000</v>
      </c>
      <c r="G203" s="84">
        <f t="shared" ref="G203:BF203" si="47">G204</f>
        <v>0</v>
      </c>
      <c r="H203" s="84">
        <f t="shared" si="47"/>
        <v>126657.7</v>
      </c>
      <c r="I203" s="84">
        <f t="shared" si="47"/>
        <v>184000</v>
      </c>
      <c r="J203" s="84">
        <f t="shared" si="47"/>
        <v>0</v>
      </c>
      <c r="K203" s="84">
        <f t="shared" si="47"/>
        <v>600000</v>
      </c>
      <c r="L203" s="84">
        <f t="shared" si="47"/>
        <v>362808.34</v>
      </c>
      <c r="M203" s="84">
        <f t="shared" si="47"/>
        <v>8536651</v>
      </c>
      <c r="N203" s="84">
        <f t="shared" si="47"/>
        <v>360000</v>
      </c>
      <c r="O203" s="84">
        <f t="shared" si="47"/>
        <v>0</v>
      </c>
      <c r="P203" s="84">
        <f t="shared" si="47"/>
        <v>604600</v>
      </c>
      <c r="Q203" s="84">
        <f t="shared" si="47"/>
        <v>29578.3</v>
      </c>
      <c r="R203" s="84">
        <f t="shared" si="47"/>
        <v>14000</v>
      </c>
      <c r="S203" s="84">
        <f t="shared" si="47"/>
        <v>119000</v>
      </c>
      <c r="T203" s="84">
        <f t="shared" si="47"/>
        <v>33509.15</v>
      </c>
      <c r="U203" s="84">
        <f t="shared" si="47"/>
        <v>0</v>
      </c>
      <c r="V203" s="84">
        <f t="shared" si="47"/>
        <v>40000</v>
      </c>
      <c r="W203" s="84">
        <f t="shared" si="47"/>
        <v>0</v>
      </c>
      <c r="X203" s="84">
        <f t="shared" si="47"/>
        <v>417236.4</v>
      </c>
      <c r="Y203" s="84">
        <f t="shared" si="47"/>
        <v>178204.62</v>
      </c>
      <c r="Z203" s="84">
        <f t="shared" si="47"/>
        <v>0</v>
      </c>
      <c r="AA203" s="84">
        <f t="shared" si="47"/>
        <v>4448561.59</v>
      </c>
      <c r="AB203" s="84">
        <f t="shared" si="47"/>
        <v>99214.98</v>
      </c>
      <c r="AC203" s="84">
        <f t="shared" si="47"/>
        <v>0</v>
      </c>
      <c r="AD203" s="84">
        <f t="shared" si="47"/>
        <v>320000</v>
      </c>
      <c r="AE203" s="84">
        <f t="shared" si="47"/>
        <v>178794.63</v>
      </c>
      <c r="AF203" s="84">
        <f t="shared" si="47"/>
        <v>365000</v>
      </c>
      <c r="AG203" s="84">
        <f t="shared" si="47"/>
        <v>437550.65</v>
      </c>
      <c r="AH203" s="84">
        <f t="shared" si="47"/>
        <v>956790.2</v>
      </c>
      <c r="AI203" s="84">
        <f t="shared" si="47"/>
        <v>300000</v>
      </c>
      <c r="AJ203" s="84">
        <f t="shared" si="47"/>
        <v>140000</v>
      </c>
      <c r="AK203" s="84">
        <f t="shared" si="47"/>
        <v>84000</v>
      </c>
      <c r="AL203" s="84">
        <f t="shared" si="47"/>
        <v>1167434.6200000001</v>
      </c>
      <c r="AM203" s="84">
        <f t="shared" si="47"/>
        <v>1188640.6399999999</v>
      </c>
      <c r="AN203" s="84">
        <f t="shared" si="47"/>
        <v>125696.98</v>
      </c>
      <c r="AO203" s="84">
        <f t="shared" si="47"/>
        <v>0</v>
      </c>
      <c r="AP203" s="84">
        <f t="shared" si="47"/>
        <v>1200000</v>
      </c>
      <c r="AQ203" s="84">
        <f t="shared" si="47"/>
        <v>342804.5</v>
      </c>
      <c r="AR203" s="84">
        <f t="shared" si="47"/>
        <v>770000</v>
      </c>
      <c r="AS203" s="84">
        <f t="shared" si="47"/>
        <v>1221500.6000000001</v>
      </c>
      <c r="AT203" s="84">
        <f t="shared" si="47"/>
        <v>0</v>
      </c>
      <c r="AU203" s="84">
        <f t="shared" si="47"/>
        <v>400000</v>
      </c>
      <c r="AV203" s="84">
        <f t="shared" si="47"/>
        <v>825000</v>
      </c>
      <c r="AW203" s="84">
        <f t="shared" si="47"/>
        <v>713910.35</v>
      </c>
      <c r="AX203" s="84">
        <f t="shared" si="47"/>
        <v>381242.15</v>
      </c>
      <c r="AY203" s="84">
        <f t="shared" si="47"/>
        <v>0</v>
      </c>
      <c r="AZ203" s="84">
        <f t="shared" si="47"/>
        <v>300279.45</v>
      </c>
      <c r="BA203" s="84">
        <f t="shared" si="47"/>
        <v>260000</v>
      </c>
      <c r="BB203" s="84">
        <f t="shared" si="47"/>
        <v>209758.45</v>
      </c>
      <c r="BC203" s="84">
        <f t="shared" si="47"/>
        <v>133993.94</v>
      </c>
      <c r="BD203" s="84">
        <f t="shared" si="47"/>
        <v>141999.5</v>
      </c>
      <c r="BE203" s="84">
        <f t="shared" si="47"/>
        <v>2400000</v>
      </c>
      <c r="BF203" s="84">
        <f t="shared" si="47"/>
        <v>0</v>
      </c>
      <c r="BG203" s="84">
        <f t="shared" si="43"/>
        <v>31038418.739999998</v>
      </c>
      <c r="BH203" s="84">
        <f t="shared" si="44"/>
        <v>11748040.890000001</v>
      </c>
      <c r="BI203" s="84">
        <f t="shared" si="45"/>
        <v>7508116.6700000009</v>
      </c>
      <c r="BJ203" s="84">
        <f t="shared" si="46"/>
        <v>11782261.179999998</v>
      </c>
    </row>
    <row r="204" spans="3:62" x14ac:dyDescent="0.3">
      <c r="D204">
        <v>2940</v>
      </c>
      <c r="E204" t="s">
        <v>272</v>
      </c>
      <c r="F204" s="4">
        <v>320000</v>
      </c>
      <c r="G204" s="4">
        <v>0</v>
      </c>
      <c r="H204" s="4">
        <v>126657.7</v>
      </c>
      <c r="I204" s="4">
        <v>184000</v>
      </c>
      <c r="J204" s="4">
        <v>0</v>
      </c>
      <c r="K204" s="4">
        <v>600000</v>
      </c>
      <c r="L204" s="4">
        <v>362808.34</v>
      </c>
      <c r="M204" s="4">
        <v>8536651</v>
      </c>
      <c r="N204" s="4">
        <v>360000</v>
      </c>
      <c r="O204" s="4">
        <v>0</v>
      </c>
      <c r="P204" s="4">
        <v>604600</v>
      </c>
      <c r="Q204" s="4">
        <v>29578.3</v>
      </c>
      <c r="R204" s="4">
        <v>14000</v>
      </c>
      <c r="S204" s="4">
        <v>119000</v>
      </c>
      <c r="T204" s="4">
        <v>33509.15</v>
      </c>
      <c r="U204" s="4">
        <v>0</v>
      </c>
      <c r="V204" s="4">
        <v>40000</v>
      </c>
      <c r="W204" s="4">
        <v>0</v>
      </c>
      <c r="X204" s="4">
        <v>417236.4</v>
      </c>
      <c r="Y204" s="4">
        <v>178204.62</v>
      </c>
      <c r="Z204" s="4">
        <v>0</v>
      </c>
      <c r="AA204" s="4">
        <v>4448561.59</v>
      </c>
      <c r="AB204" s="4">
        <v>99214.98</v>
      </c>
      <c r="AC204" s="4">
        <v>0</v>
      </c>
      <c r="AD204" s="4">
        <v>320000</v>
      </c>
      <c r="AE204" s="4">
        <v>178794.63</v>
      </c>
      <c r="AF204" s="4">
        <v>365000</v>
      </c>
      <c r="AG204" s="4">
        <v>437550.65</v>
      </c>
      <c r="AH204" s="4">
        <v>956790.2</v>
      </c>
      <c r="AI204" s="4">
        <v>300000</v>
      </c>
      <c r="AJ204" s="4">
        <v>140000</v>
      </c>
      <c r="AK204" s="4">
        <v>84000</v>
      </c>
      <c r="AL204" s="4">
        <v>1167434.6200000001</v>
      </c>
      <c r="AM204" s="4">
        <v>1188640.6399999999</v>
      </c>
      <c r="AN204" s="4">
        <v>125696.98</v>
      </c>
      <c r="AO204" s="4">
        <v>0</v>
      </c>
      <c r="AP204" s="4">
        <v>1200000</v>
      </c>
      <c r="AQ204" s="4">
        <v>342804.5</v>
      </c>
      <c r="AR204" s="4">
        <v>770000</v>
      </c>
      <c r="AS204" s="4">
        <v>1221500.6000000001</v>
      </c>
      <c r="AT204" s="4">
        <v>0</v>
      </c>
      <c r="AU204" s="4">
        <v>400000</v>
      </c>
      <c r="AV204" s="4">
        <v>825000</v>
      </c>
      <c r="AW204" s="4">
        <v>713910.35</v>
      </c>
      <c r="AX204" s="4">
        <v>381242.15</v>
      </c>
      <c r="AY204" s="4">
        <v>0</v>
      </c>
      <c r="AZ204" s="4">
        <v>300279.45</v>
      </c>
      <c r="BA204" s="4">
        <v>260000</v>
      </c>
      <c r="BB204" s="4">
        <v>209758.45</v>
      </c>
      <c r="BC204" s="4">
        <v>133993.94</v>
      </c>
      <c r="BD204" s="4">
        <v>141999.5</v>
      </c>
      <c r="BE204" s="4">
        <v>2400000</v>
      </c>
      <c r="BF204" s="4">
        <v>0</v>
      </c>
      <c r="BG204" s="80">
        <f t="shared" si="43"/>
        <v>31038418.739999998</v>
      </c>
      <c r="BH204" s="80">
        <f t="shared" si="44"/>
        <v>11748040.890000001</v>
      </c>
      <c r="BI204" s="80">
        <f t="shared" si="45"/>
        <v>7508116.6700000009</v>
      </c>
      <c r="BJ204" s="80">
        <f t="shared" si="46"/>
        <v>11782261.179999998</v>
      </c>
    </row>
    <row r="205" spans="3:62" x14ac:dyDescent="0.3">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3">
      <c r="C206" s="83">
        <v>295</v>
      </c>
      <c r="D206" s="83"/>
      <c r="E206" s="83" t="s">
        <v>273</v>
      </c>
      <c r="F206" s="84">
        <f>F207</f>
        <v>0</v>
      </c>
      <c r="G206" s="84">
        <f t="shared" ref="G206:BF206" si="48">G207</f>
        <v>0</v>
      </c>
      <c r="H206" s="84">
        <f>H207</f>
        <v>-146371.25</v>
      </c>
      <c r="I206" s="84">
        <f t="shared" si="48"/>
        <v>0</v>
      </c>
      <c r="J206" s="84">
        <f t="shared" si="48"/>
        <v>0</v>
      </c>
      <c r="K206" s="84">
        <f t="shared" si="48"/>
        <v>0</v>
      </c>
      <c r="L206" s="84">
        <f t="shared" si="48"/>
        <v>0</v>
      </c>
      <c r="M206" s="84">
        <f t="shared" si="48"/>
        <v>274203.45</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2806.05</v>
      </c>
      <c r="X206" s="84">
        <f t="shared" si="48"/>
        <v>0</v>
      </c>
      <c r="Y206" s="84">
        <f t="shared" si="48"/>
        <v>0</v>
      </c>
      <c r="Z206" s="84">
        <f t="shared" si="48"/>
        <v>0</v>
      </c>
      <c r="AA206" s="84">
        <f t="shared" si="48"/>
        <v>0</v>
      </c>
      <c r="AB206" s="84">
        <f t="shared" si="48"/>
        <v>0</v>
      </c>
      <c r="AC206" s="84">
        <f t="shared" si="48"/>
        <v>20310</v>
      </c>
      <c r="AD206" s="84">
        <f t="shared" si="48"/>
        <v>0</v>
      </c>
      <c r="AE206" s="84">
        <f t="shared" si="48"/>
        <v>0</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73360</v>
      </c>
      <c r="AO206" s="84">
        <f t="shared" si="48"/>
        <v>-27728.720000000001</v>
      </c>
      <c r="AP206" s="84">
        <f t="shared" si="48"/>
        <v>0</v>
      </c>
      <c r="AQ206" s="84">
        <f t="shared" si="48"/>
        <v>10000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-110449.21</v>
      </c>
      <c r="BG206" s="84">
        <f t="shared" si="43"/>
        <v>96130.319999999992</v>
      </c>
      <c r="BH206" s="84">
        <f t="shared" si="44"/>
        <v>130638.25000000001</v>
      </c>
      <c r="BI206" s="84">
        <f t="shared" si="45"/>
        <v>20310</v>
      </c>
      <c r="BJ206" s="84">
        <f t="shared" si="46"/>
        <v>-54817.930000000008</v>
      </c>
    </row>
    <row r="207" spans="3:62" x14ac:dyDescent="0.3">
      <c r="D207">
        <v>2950</v>
      </c>
      <c r="E207" t="s">
        <v>273</v>
      </c>
      <c r="F207" s="4">
        <v>0</v>
      </c>
      <c r="G207" s="4">
        <v>0</v>
      </c>
      <c r="H207" s="4">
        <v>-146371.25</v>
      </c>
      <c r="I207" s="4">
        <v>0</v>
      </c>
      <c r="J207" s="4">
        <v>0</v>
      </c>
      <c r="K207" s="4">
        <v>0</v>
      </c>
      <c r="L207" s="4">
        <v>0</v>
      </c>
      <c r="M207" s="4">
        <v>274203.45</v>
      </c>
      <c r="N207" s="4">
        <v>0</v>
      </c>
      <c r="O207" s="4">
        <v>0</v>
      </c>
      <c r="P207" s="4">
        <v>0</v>
      </c>
      <c r="Q207" s="4">
        <v>0</v>
      </c>
      <c r="R207" s="4">
        <v>0</v>
      </c>
      <c r="S207" s="4">
        <v>0</v>
      </c>
      <c r="T207" s="4">
        <v>0</v>
      </c>
      <c r="U207" s="4">
        <v>0</v>
      </c>
      <c r="V207" s="4">
        <v>0</v>
      </c>
      <c r="W207" s="4">
        <v>2806.05</v>
      </c>
      <c r="X207" s="4">
        <v>0</v>
      </c>
      <c r="Y207" s="4">
        <v>0</v>
      </c>
      <c r="Z207" s="4">
        <v>0</v>
      </c>
      <c r="AA207" s="4">
        <v>0</v>
      </c>
      <c r="AB207" s="4">
        <v>0</v>
      </c>
      <c r="AC207" s="4">
        <v>20310</v>
      </c>
      <c r="AD207" s="4">
        <v>0</v>
      </c>
      <c r="AE207" s="4">
        <v>0</v>
      </c>
      <c r="AF207" s="4">
        <v>0</v>
      </c>
      <c r="AG207" s="4">
        <v>0</v>
      </c>
      <c r="AH207" s="4">
        <v>0</v>
      </c>
      <c r="AI207" s="4">
        <v>0</v>
      </c>
      <c r="AJ207" s="4">
        <v>0</v>
      </c>
      <c r="AK207" s="4">
        <v>0</v>
      </c>
      <c r="AL207" s="4">
        <v>0</v>
      </c>
      <c r="AM207" s="4">
        <v>0</v>
      </c>
      <c r="AN207" s="4">
        <v>73360</v>
      </c>
      <c r="AO207" s="4">
        <v>-27728.720000000001</v>
      </c>
      <c r="AP207" s="4">
        <v>0</v>
      </c>
      <c r="AQ207" s="4">
        <v>10000</v>
      </c>
      <c r="AR207" s="4">
        <v>0</v>
      </c>
      <c r="AS207" s="4">
        <v>0</v>
      </c>
      <c r="AT207" s="4">
        <v>0</v>
      </c>
      <c r="AU207" s="4">
        <v>0</v>
      </c>
      <c r="AV207" s="4">
        <v>0</v>
      </c>
      <c r="AW207" s="4">
        <v>0</v>
      </c>
      <c r="AX207" s="4">
        <v>0</v>
      </c>
      <c r="AY207" s="4">
        <v>0</v>
      </c>
      <c r="AZ207" s="4">
        <v>0</v>
      </c>
      <c r="BA207" s="4">
        <v>0</v>
      </c>
      <c r="BB207" s="4">
        <v>0</v>
      </c>
      <c r="BC207" s="4">
        <v>0</v>
      </c>
      <c r="BD207" s="4">
        <v>0</v>
      </c>
      <c r="BE207" s="4">
        <v>0</v>
      </c>
      <c r="BF207" s="4">
        <v>-110449.21</v>
      </c>
      <c r="BG207" s="80">
        <f t="shared" si="43"/>
        <v>96130.319999999992</v>
      </c>
      <c r="BH207" s="80">
        <f t="shared" si="44"/>
        <v>130638.25000000001</v>
      </c>
      <c r="BI207" s="80">
        <f t="shared" si="45"/>
        <v>20310</v>
      </c>
      <c r="BJ207" s="80">
        <f t="shared" si="46"/>
        <v>-54817.930000000008</v>
      </c>
    </row>
    <row r="208" spans="3:62" x14ac:dyDescent="0.3">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2" x14ac:dyDescent="0.3">
      <c r="C209" s="83">
        <v>296</v>
      </c>
      <c r="D209" s="83"/>
      <c r="E209" s="83" t="s">
        <v>274</v>
      </c>
      <c r="F209" s="84">
        <f>F210</f>
        <v>202488.91</v>
      </c>
      <c r="G209" s="84">
        <f t="shared" ref="G209:BF209" si="49">G210</f>
        <v>0</v>
      </c>
      <c r="H209" s="84">
        <f t="shared" si="49"/>
        <v>139076</v>
      </c>
      <c r="I209" s="84">
        <f t="shared" si="49"/>
        <v>986714</v>
      </c>
      <c r="J209" s="84">
        <f t="shared" si="49"/>
        <v>386612.35</v>
      </c>
      <c r="K209" s="84">
        <f t="shared" si="49"/>
        <v>542187.19999999995</v>
      </c>
      <c r="L209" s="84">
        <f t="shared" si="49"/>
        <v>3685377.4</v>
      </c>
      <c r="M209" s="84">
        <f t="shared" si="49"/>
        <v>-3009318</v>
      </c>
      <c r="N209" s="84">
        <f t="shared" si="49"/>
        <v>0</v>
      </c>
      <c r="O209" s="84">
        <f t="shared" si="49"/>
        <v>0</v>
      </c>
      <c r="P209" s="84">
        <f t="shared" si="49"/>
        <v>1227789.07</v>
      </c>
      <c r="Q209" s="84">
        <f t="shared" si="49"/>
        <v>591230</v>
      </c>
      <c r="R209" s="84">
        <f t="shared" si="49"/>
        <v>0</v>
      </c>
      <c r="S209" s="84">
        <f t="shared" si="49"/>
        <v>50000</v>
      </c>
      <c r="T209" s="84">
        <f t="shared" si="49"/>
        <v>0</v>
      </c>
      <c r="U209" s="84">
        <f t="shared" si="49"/>
        <v>0</v>
      </c>
      <c r="V209" s="84">
        <f t="shared" si="49"/>
        <v>400800</v>
      </c>
      <c r="W209" s="84">
        <f t="shared" si="49"/>
        <v>290000</v>
      </c>
      <c r="X209" s="84">
        <f t="shared" si="49"/>
        <v>268178.95</v>
      </c>
      <c r="Y209" s="84">
        <f t="shared" si="49"/>
        <v>320565</v>
      </c>
      <c r="Z209" s="84">
        <f t="shared" si="49"/>
        <v>258000</v>
      </c>
      <c r="AA209" s="84">
        <f t="shared" si="49"/>
        <v>1104064</v>
      </c>
      <c r="AB209" s="84">
        <f t="shared" si="49"/>
        <v>0</v>
      </c>
      <c r="AC209" s="84">
        <f t="shared" si="49"/>
        <v>75796.399999999994</v>
      </c>
      <c r="AD209" s="84">
        <f t="shared" si="49"/>
        <v>430912.95</v>
      </c>
      <c r="AE209" s="84">
        <f t="shared" si="49"/>
        <v>0</v>
      </c>
      <c r="AF209" s="84">
        <f t="shared" si="49"/>
        <v>2799</v>
      </c>
      <c r="AG209" s="84">
        <f t="shared" si="49"/>
        <v>0</v>
      </c>
      <c r="AH209" s="84">
        <f t="shared" si="49"/>
        <v>1671397.95</v>
      </c>
      <c r="AI209" s="84">
        <f t="shared" si="49"/>
        <v>-188130.8</v>
      </c>
      <c r="AJ209" s="84">
        <f t="shared" si="49"/>
        <v>51755.199999999997</v>
      </c>
      <c r="AK209" s="84">
        <f t="shared" si="49"/>
        <v>957212.9</v>
      </c>
      <c r="AL209" s="84">
        <f t="shared" si="49"/>
        <v>0</v>
      </c>
      <c r="AM209" s="84">
        <f t="shared" si="49"/>
        <v>0</v>
      </c>
      <c r="AN209" s="84">
        <f t="shared" si="49"/>
        <v>143179</v>
      </c>
      <c r="AO209" s="84">
        <f t="shared" si="49"/>
        <v>0</v>
      </c>
      <c r="AP209" s="84">
        <f t="shared" si="49"/>
        <v>2342125</v>
      </c>
      <c r="AQ209" s="84">
        <f t="shared" si="49"/>
        <v>0</v>
      </c>
      <c r="AR209" s="84">
        <f t="shared" si="49"/>
        <v>159170</v>
      </c>
      <c r="AS209" s="84">
        <f t="shared" si="49"/>
        <v>2796091.45</v>
      </c>
      <c r="AT209" s="84">
        <f t="shared" si="49"/>
        <v>32442.55</v>
      </c>
      <c r="AU209" s="84">
        <f t="shared" si="49"/>
        <v>3679</v>
      </c>
      <c r="AV209" s="84">
        <f t="shared" si="49"/>
        <v>0</v>
      </c>
      <c r="AW209" s="84">
        <f t="shared" si="49"/>
        <v>0</v>
      </c>
      <c r="AX209" s="84">
        <f t="shared" si="49"/>
        <v>74500</v>
      </c>
      <c r="AY209" s="84">
        <f t="shared" si="49"/>
        <v>0</v>
      </c>
      <c r="AZ209" s="84">
        <f t="shared" si="49"/>
        <v>213206.65</v>
      </c>
      <c r="BA209" s="84">
        <f t="shared" si="49"/>
        <v>-155998.75</v>
      </c>
      <c r="BB209" s="84">
        <f t="shared" si="49"/>
        <v>0</v>
      </c>
      <c r="BC209" s="84">
        <f t="shared" si="49"/>
        <v>38900</v>
      </c>
      <c r="BD209" s="84">
        <f t="shared" si="49"/>
        <v>0</v>
      </c>
      <c r="BE209" s="84">
        <f t="shared" si="49"/>
        <v>0</v>
      </c>
      <c r="BF209" s="84">
        <f t="shared" si="49"/>
        <v>361807.95</v>
      </c>
      <c r="BG209" s="84">
        <f t="shared" si="43"/>
        <v>16454611.33</v>
      </c>
      <c r="BH209" s="84">
        <f t="shared" si="44"/>
        <v>5761135.8799999999</v>
      </c>
      <c r="BI209" s="84">
        <f t="shared" si="45"/>
        <v>4684372.6000000006</v>
      </c>
      <c r="BJ209" s="84">
        <f t="shared" si="46"/>
        <v>6009102.8500000006</v>
      </c>
    </row>
    <row r="210" spans="3:62" x14ac:dyDescent="0.3">
      <c r="D210">
        <v>2960</v>
      </c>
      <c r="E210" t="s">
        <v>274</v>
      </c>
      <c r="F210" s="4">
        <v>202488.91</v>
      </c>
      <c r="G210" s="4">
        <v>0</v>
      </c>
      <c r="H210" s="4">
        <v>139076</v>
      </c>
      <c r="I210" s="4">
        <v>986714</v>
      </c>
      <c r="J210" s="4">
        <v>386612.35</v>
      </c>
      <c r="K210" s="4">
        <v>542187.19999999995</v>
      </c>
      <c r="L210" s="4">
        <v>3685377.4</v>
      </c>
      <c r="M210" s="4">
        <v>-3009318</v>
      </c>
      <c r="N210" s="4">
        <v>0</v>
      </c>
      <c r="O210" s="4">
        <v>0</v>
      </c>
      <c r="P210" s="4">
        <v>1227789.07</v>
      </c>
      <c r="Q210" s="4">
        <v>591230</v>
      </c>
      <c r="R210" s="4">
        <v>0</v>
      </c>
      <c r="S210" s="4">
        <v>50000</v>
      </c>
      <c r="T210" s="4">
        <v>0</v>
      </c>
      <c r="U210" s="4">
        <v>0</v>
      </c>
      <c r="V210" s="4">
        <v>400800</v>
      </c>
      <c r="W210" s="4">
        <v>290000</v>
      </c>
      <c r="X210" s="4">
        <v>268178.95</v>
      </c>
      <c r="Y210" s="4">
        <v>320565</v>
      </c>
      <c r="Z210" s="4">
        <v>258000</v>
      </c>
      <c r="AA210" s="4">
        <v>1104064</v>
      </c>
      <c r="AB210" s="4">
        <v>0</v>
      </c>
      <c r="AC210" s="4">
        <v>75796.399999999994</v>
      </c>
      <c r="AD210" s="4">
        <v>430912.95</v>
      </c>
      <c r="AE210" s="4">
        <v>0</v>
      </c>
      <c r="AF210" s="4">
        <v>2799</v>
      </c>
      <c r="AG210" s="4">
        <v>0</v>
      </c>
      <c r="AH210" s="4">
        <v>1671397.95</v>
      </c>
      <c r="AI210" s="4">
        <v>-188130.8</v>
      </c>
      <c r="AJ210" s="4">
        <v>51755.199999999997</v>
      </c>
      <c r="AK210" s="4">
        <v>957212.9</v>
      </c>
      <c r="AL210" s="4">
        <v>0</v>
      </c>
      <c r="AM210" s="4">
        <v>0</v>
      </c>
      <c r="AN210" s="4">
        <v>143179</v>
      </c>
      <c r="AO210" s="4">
        <v>0</v>
      </c>
      <c r="AP210" s="4">
        <v>2342125</v>
      </c>
      <c r="AQ210" s="4">
        <v>0</v>
      </c>
      <c r="AR210" s="4">
        <v>159170</v>
      </c>
      <c r="AS210" s="4">
        <v>2796091.45</v>
      </c>
      <c r="AT210" s="4">
        <v>32442.55</v>
      </c>
      <c r="AU210" s="4">
        <v>3679</v>
      </c>
      <c r="AV210" s="4">
        <v>0</v>
      </c>
      <c r="AW210" s="4">
        <v>0</v>
      </c>
      <c r="AX210" s="4">
        <v>74500</v>
      </c>
      <c r="AY210" s="4">
        <v>0</v>
      </c>
      <c r="AZ210" s="4">
        <v>213206.65</v>
      </c>
      <c r="BA210" s="4">
        <v>-155998.75</v>
      </c>
      <c r="BB210" s="4">
        <v>0</v>
      </c>
      <c r="BC210" s="4">
        <v>38900</v>
      </c>
      <c r="BD210" s="4">
        <v>0</v>
      </c>
      <c r="BE210" s="4">
        <v>0</v>
      </c>
      <c r="BF210" s="4">
        <v>361807.95</v>
      </c>
      <c r="BG210" s="80">
        <f t="shared" si="43"/>
        <v>16454611.33</v>
      </c>
      <c r="BH210" s="80">
        <f t="shared" si="44"/>
        <v>5761135.8799999999</v>
      </c>
      <c r="BI210" s="80">
        <f t="shared" si="45"/>
        <v>4684372.6000000006</v>
      </c>
      <c r="BJ210" s="80">
        <f t="shared" si="46"/>
        <v>6009102.8500000006</v>
      </c>
    </row>
    <row r="211" spans="3:62" x14ac:dyDescent="0.3">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2" x14ac:dyDescent="0.3">
      <c r="C212" s="83">
        <v>298</v>
      </c>
      <c r="D212" s="83"/>
      <c r="E212" s="83" t="s">
        <v>275</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146786.6</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146786.6</v>
      </c>
      <c r="BH212" s="84">
        <f t="shared" si="44"/>
        <v>0</v>
      </c>
      <c r="BI212" s="84">
        <f t="shared" si="45"/>
        <v>0</v>
      </c>
      <c r="BJ212" s="84">
        <f t="shared" si="46"/>
        <v>146786.6</v>
      </c>
    </row>
    <row r="213" spans="3:62" x14ac:dyDescent="0.3">
      <c r="D213">
        <v>2980</v>
      </c>
      <c r="E213" t="s">
        <v>275</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146786.6</v>
      </c>
      <c r="AW213" s="4">
        <v>0</v>
      </c>
      <c r="AX213" s="4">
        <v>0</v>
      </c>
      <c r="AY213" s="4">
        <v>0</v>
      </c>
      <c r="AZ213" s="4">
        <v>0</v>
      </c>
      <c r="BA213" s="4">
        <v>0</v>
      </c>
      <c r="BB213" s="4">
        <v>0</v>
      </c>
      <c r="BC213" s="4">
        <v>0</v>
      </c>
      <c r="BD213" s="4">
        <v>0</v>
      </c>
      <c r="BE213" s="4">
        <v>0</v>
      </c>
      <c r="BF213" s="4">
        <v>0</v>
      </c>
      <c r="BG213" s="80">
        <f t="shared" si="43"/>
        <v>146786.6</v>
      </c>
      <c r="BH213" s="80">
        <f t="shared" si="44"/>
        <v>0</v>
      </c>
      <c r="BI213" s="80">
        <f t="shared" si="45"/>
        <v>0</v>
      </c>
      <c r="BJ213" s="80">
        <f t="shared" si="46"/>
        <v>146786.6</v>
      </c>
    </row>
    <row r="214" spans="3:62" x14ac:dyDescent="0.3">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2" x14ac:dyDescent="0.3">
      <c r="C215" s="83">
        <v>299</v>
      </c>
      <c r="D215" s="83"/>
      <c r="E215" s="83" t="s">
        <v>453</v>
      </c>
      <c r="F215" s="84">
        <f>F216+F217</f>
        <v>2024184.7</v>
      </c>
      <c r="G215" s="84">
        <f t="shared" ref="G215:BF215" si="51">G216+G217</f>
        <v>197996.21000000002</v>
      </c>
      <c r="H215" s="84">
        <f t="shared" si="51"/>
        <v>271047.75</v>
      </c>
      <c r="I215" s="84">
        <f t="shared" si="51"/>
        <v>131830.07</v>
      </c>
      <c r="J215" s="84">
        <f t="shared" si="51"/>
        <v>4873264.93</v>
      </c>
      <c r="K215" s="84">
        <f t="shared" si="51"/>
        <v>1471709.2799999998</v>
      </c>
      <c r="L215" s="84">
        <f t="shared" si="51"/>
        <v>2812814.04</v>
      </c>
      <c r="M215" s="84">
        <f t="shared" si="51"/>
        <v>3367435.7</v>
      </c>
      <c r="N215" s="84">
        <f t="shared" si="51"/>
        <v>988470.76</v>
      </c>
      <c r="O215" s="84">
        <f t="shared" si="51"/>
        <v>558543.30999999994</v>
      </c>
      <c r="P215" s="84">
        <f t="shared" si="51"/>
        <v>-702997.87</v>
      </c>
      <c r="Q215" s="84">
        <f t="shared" si="51"/>
        <v>273295.60000000003</v>
      </c>
      <c r="R215" s="84">
        <f t="shared" si="51"/>
        <v>81570.179999999993</v>
      </c>
      <c r="S215" s="84">
        <f t="shared" si="51"/>
        <v>218290.27000000002</v>
      </c>
      <c r="T215" s="200">
        <f t="shared" si="51"/>
        <v>-99293.38</v>
      </c>
      <c r="U215" s="84">
        <f t="shared" si="51"/>
        <v>659696.05000000005</v>
      </c>
      <c r="V215" s="84">
        <f t="shared" si="51"/>
        <v>3222.9300000000003</v>
      </c>
      <c r="W215" s="84">
        <f t="shared" si="51"/>
        <v>286705.58999999997</v>
      </c>
      <c r="X215" s="84">
        <f t="shared" si="51"/>
        <v>1630212.48</v>
      </c>
      <c r="Y215" s="84">
        <f t="shared" si="51"/>
        <v>1937691.78</v>
      </c>
      <c r="Z215" s="84">
        <f t="shared" si="51"/>
        <v>1121797.04</v>
      </c>
      <c r="AA215" s="84">
        <f t="shared" si="51"/>
        <v>10536916.17</v>
      </c>
      <c r="AB215" s="84">
        <f t="shared" si="51"/>
        <v>343393.87</v>
      </c>
      <c r="AC215" s="84">
        <f t="shared" si="51"/>
        <v>1031602.47</v>
      </c>
      <c r="AD215" s="84">
        <f t="shared" si="51"/>
        <v>579462.42000000004</v>
      </c>
      <c r="AE215" s="84">
        <f t="shared" si="51"/>
        <v>715356.11</v>
      </c>
      <c r="AF215" s="84">
        <f t="shared" si="51"/>
        <v>1321982.3099999998</v>
      </c>
      <c r="AG215" s="84">
        <f t="shared" si="51"/>
        <v>4783431.4400000004</v>
      </c>
      <c r="AH215" s="84">
        <f t="shared" si="51"/>
        <v>3216901.24</v>
      </c>
      <c r="AI215" s="84">
        <f t="shared" si="51"/>
        <v>2061848.56</v>
      </c>
      <c r="AJ215" s="84">
        <f t="shared" si="51"/>
        <v>1108018.7</v>
      </c>
      <c r="AK215" s="84">
        <f t="shared" si="51"/>
        <v>583278.91</v>
      </c>
      <c r="AL215" s="84">
        <f t="shared" si="51"/>
        <v>321705.45999999996</v>
      </c>
      <c r="AM215" s="84">
        <f t="shared" si="51"/>
        <v>3386998.69</v>
      </c>
      <c r="AN215" s="84">
        <f t="shared" si="51"/>
        <v>2314644.77</v>
      </c>
      <c r="AO215" s="84">
        <f t="shared" si="51"/>
        <v>537291.63</v>
      </c>
      <c r="AP215" s="84">
        <f t="shared" si="51"/>
        <v>6886509.9699999997</v>
      </c>
      <c r="AQ215" s="84">
        <f t="shared" si="51"/>
        <v>1959508.23</v>
      </c>
      <c r="AR215" s="84">
        <f t="shared" si="51"/>
        <v>1081491.74</v>
      </c>
      <c r="AS215" s="84">
        <f t="shared" si="51"/>
        <v>4762498.4799999995</v>
      </c>
      <c r="AT215" s="84">
        <f t="shared" si="51"/>
        <v>296861.51</v>
      </c>
      <c r="AU215" s="84">
        <f t="shared" si="51"/>
        <v>585826.38</v>
      </c>
      <c r="AV215" s="84">
        <f t="shared" si="51"/>
        <v>2975620.16</v>
      </c>
      <c r="AW215" s="84">
        <f t="shared" si="51"/>
        <v>4884403.59</v>
      </c>
      <c r="AX215" s="84">
        <f t="shared" si="51"/>
        <v>443278.38</v>
      </c>
      <c r="AY215" s="84">
        <f t="shared" si="51"/>
        <v>166848.37</v>
      </c>
      <c r="AZ215" s="84">
        <f t="shared" si="51"/>
        <v>207879.69</v>
      </c>
      <c r="BA215" s="84">
        <f t="shared" si="51"/>
        <v>2235253.7600000002</v>
      </c>
      <c r="BB215" s="84">
        <f t="shared" si="51"/>
        <v>1496900.4</v>
      </c>
      <c r="BC215" s="84">
        <f t="shared" si="51"/>
        <v>2314445.9300000002</v>
      </c>
      <c r="BD215" s="84">
        <f t="shared" si="51"/>
        <v>725925.62</v>
      </c>
      <c r="BE215" s="84">
        <f t="shared" si="51"/>
        <v>1509378.23</v>
      </c>
      <c r="BF215" s="84">
        <f t="shared" si="51"/>
        <v>367785.81</v>
      </c>
      <c r="BG215" s="84">
        <f t="shared" si="43"/>
        <v>87850736.420000032</v>
      </c>
      <c r="BH215" s="84">
        <f t="shared" si="44"/>
        <v>19047998.599999998</v>
      </c>
      <c r="BI215" s="84">
        <f t="shared" si="45"/>
        <v>29341681.02</v>
      </c>
      <c r="BJ215" s="84">
        <f t="shared" si="46"/>
        <v>39461056.799999997</v>
      </c>
    </row>
    <row r="216" spans="3:62" x14ac:dyDescent="0.3">
      <c r="D216">
        <v>2990</v>
      </c>
      <c r="E216" t="s">
        <v>453</v>
      </c>
      <c r="F216" s="101">
        <v>6015.15</v>
      </c>
      <c r="G216" s="101">
        <v>149441.67000000001</v>
      </c>
      <c r="H216" s="101">
        <v>-35747.06</v>
      </c>
      <c r="I216" s="101">
        <v>35050.58</v>
      </c>
      <c r="J216" s="101">
        <v>-197032.69</v>
      </c>
      <c r="K216" s="101">
        <v>643336.21</v>
      </c>
      <c r="L216" s="101">
        <v>33519.97</v>
      </c>
      <c r="M216" s="101">
        <v>-574634.73</v>
      </c>
      <c r="N216" s="101">
        <v>-144001.48000000001</v>
      </c>
      <c r="O216" s="101">
        <v>-63918.92</v>
      </c>
      <c r="P216" s="101">
        <v>-1449255.52</v>
      </c>
      <c r="Q216" s="101">
        <v>-93731.8</v>
      </c>
      <c r="R216" s="101">
        <v>-28876.52</v>
      </c>
      <c r="S216" s="101">
        <v>-40565.49</v>
      </c>
      <c r="T216" s="101">
        <v>-162663.04000000001</v>
      </c>
      <c r="U216" s="101">
        <v>81234.89</v>
      </c>
      <c r="V216" s="101">
        <v>-1983.29</v>
      </c>
      <c r="W216" s="101">
        <v>-151807.1</v>
      </c>
      <c r="X216" s="101">
        <v>8997.4500000000007</v>
      </c>
      <c r="Y216" s="101">
        <v>15146.84</v>
      </c>
      <c r="Z216" s="101">
        <v>94732.18</v>
      </c>
      <c r="AA216" s="101">
        <v>3333844.9</v>
      </c>
      <c r="AB216" s="101">
        <v>-13900.02</v>
      </c>
      <c r="AC216" s="101">
        <v>-8071.54</v>
      </c>
      <c r="AD216" s="101">
        <v>-115008.95</v>
      </c>
      <c r="AE216" s="101">
        <v>-169604.71</v>
      </c>
      <c r="AF216" s="101">
        <v>-167058.57</v>
      </c>
      <c r="AG216" s="101">
        <v>27072.7</v>
      </c>
      <c r="AH216" s="101">
        <v>902636.72</v>
      </c>
      <c r="AI216" s="101">
        <v>21604.95</v>
      </c>
      <c r="AJ216" s="101">
        <v>-62965.32</v>
      </c>
      <c r="AK216" s="101">
        <v>-28280.9</v>
      </c>
      <c r="AL216" s="101">
        <v>92720</v>
      </c>
      <c r="AM216" s="101">
        <v>-32824.589999999997</v>
      </c>
      <c r="AN216" s="101">
        <v>-97730</v>
      </c>
      <c r="AO216" s="101">
        <v>8760.2199999999993</v>
      </c>
      <c r="AP216" s="101">
        <v>313035.14</v>
      </c>
      <c r="AQ216" s="101">
        <v>163646.92000000001</v>
      </c>
      <c r="AR216" s="101">
        <v>39059.129999999997</v>
      </c>
      <c r="AS216" s="101">
        <v>21784.22</v>
      </c>
      <c r="AT216" s="101">
        <v>-27802.82</v>
      </c>
      <c r="AU216" s="101">
        <v>-30052.95</v>
      </c>
      <c r="AV216" s="101">
        <v>81088.7</v>
      </c>
      <c r="AW216" s="101">
        <v>-430556.03</v>
      </c>
      <c r="AX216" s="101">
        <v>-41819.94</v>
      </c>
      <c r="AY216" s="101">
        <v>10076.969999999999</v>
      </c>
      <c r="AZ216" s="101">
        <v>26132.85</v>
      </c>
      <c r="BA216" s="101">
        <v>40793.43</v>
      </c>
      <c r="BB216" s="101">
        <v>24133.4</v>
      </c>
      <c r="BC216" s="101">
        <v>52053.97</v>
      </c>
      <c r="BD216" s="101">
        <v>-14911.28</v>
      </c>
      <c r="BE216" s="101">
        <v>189954.45</v>
      </c>
      <c r="BF216" s="101">
        <v>26545.08</v>
      </c>
      <c r="BG216" s="203">
        <f t="shared" si="43"/>
        <v>2257613.4299999992</v>
      </c>
      <c r="BH216" s="203">
        <f t="shared" si="44"/>
        <v>-1986621.7200000004</v>
      </c>
      <c r="BI216" s="203">
        <f t="shared" si="45"/>
        <v>3830148.2800000003</v>
      </c>
      <c r="BJ216" s="203">
        <f t="shared" si="46"/>
        <v>414086.86999999994</v>
      </c>
    </row>
    <row r="217" spans="3:62" x14ac:dyDescent="0.3">
      <c r="D217">
        <v>2999</v>
      </c>
      <c r="E217" t="s">
        <v>595</v>
      </c>
      <c r="F217" s="101">
        <v>2018169.55</v>
      </c>
      <c r="G217" s="101">
        <v>48554.54</v>
      </c>
      <c r="H217" s="101">
        <v>306794.81</v>
      </c>
      <c r="I217" s="101">
        <v>96779.49</v>
      </c>
      <c r="J217" s="101">
        <v>5070297.62</v>
      </c>
      <c r="K217" s="101">
        <v>828373.07</v>
      </c>
      <c r="L217" s="101">
        <v>2779294.07</v>
      </c>
      <c r="M217" s="101">
        <v>3942070.43</v>
      </c>
      <c r="N217" s="101">
        <v>1132472.24</v>
      </c>
      <c r="O217" s="101">
        <v>622462.23</v>
      </c>
      <c r="P217" s="198">
        <v>746257.65</v>
      </c>
      <c r="Q217" s="101">
        <v>367027.4</v>
      </c>
      <c r="R217" s="101">
        <v>110446.7</v>
      </c>
      <c r="S217" s="101">
        <v>258855.76</v>
      </c>
      <c r="T217" s="101">
        <v>63369.66</v>
      </c>
      <c r="U217" s="101">
        <v>578461.16</v>
      </c>
      <c r="V217" s="101">
        <v>5206.22</v>
      </c>
      <c r="W217" s="101">
        <v>438512.69</v>
      </c>
      <c r="X217" s="101">
        <v>1621215.03</v>
      </c>
      <c r="Y217" s="101">
        <v>1922544.94</v>
      </c>
      <c r="Z217" s="101">
        <v>1027064.86</v>
      </c>
      <c r="AA217" s="101">
        <v>7203071.2699999996</v>
      </c>
      <c r="AB217" s="101">
        <v>357293.89</v>
      </c>
      <c r="AC217" s="101">
        <v>1039674.01</v>
      </c>
      <c r="AD217" s="101">
        <v>694471.37</v>
      </c>
      <c r="AE217" s="101">
        <v>884960.82</v>
      </c>
      <c r="AF217" s="101">
        <v>1489040.88</v>
      </c>
      <c r="AG217" s="101">
        <v>4756358.74</v>
      </c>
      <c r="AH217" s="101">
        <v>2314264.52</v>
      </c>
      <c r="AI217" s="101">
        <v>2040243.61</v>
      </c>
      <c r="AJ217" s="101">
        <v>1170984.02</v>
      </c>
      <c r="AK217" s="101">
        <v>611559.81000000006</v>
      </c>
      <c r="AL217" s="101">
        <v>228985.46</v>
      </c>
      <c r="AM217" s="101">
        <v>3419823.28</v>
      </c>
      <c r="AN217" s="101">
        <v>2412374.77</v>
      </c>
      <c r="AO217" s="101">
        <v>528531.41</v>
      </c>
      <c r="AP217" s="101">
        <v>6573474.8300000001</v>
      </c>
      <c r="AQ217" s="101">
        <v>1795861.31</v>
      </c>
      <c r="AR217" s="101">
        <v>1042432.61</v>
      </c>
      <c r="AS217" s="101">
        <v>4740714.26</v>
      </c>
      <c r="AT217" s="101">
        <v>324664.33</v>
      </c>
      <c r="AU217" s="101">
        <v>615879.32999999996</v>
      </c>
      <c r="AV217" s="101">
        <v>2894531.46</v>
      </c>
      <c r="AW217" s="101">
        <v>5314959.62</v>
      </c>
      <c r="AX217" s="101">
        <v>485098.32</v>
      </c>
      <c r="AY217" s="101">
        <v>156771.4</v>
      </c>
      <c r="AZ217" s="101">
        <v>181746.84</v>
      </c>
      <c r="BA217" s="101">
        <v>2194460.33</v>
      </c>
      <c r="BB217" s="101">
        <v>1472767</v>
      </c>
      <c r="BC217" s="101">
        <v>2262391.96</v>
      </c>
      <c r="BD217" s="101">
        <v>740836.9</v>
      </c>
      <c r="BE217" s="101">
        <v>1319423.78</v>
      </c>
      <c r="BF217" s="101">
        <v>341240.73</v>
      </c>
      <c r="BG217" s="203">
        <f t="shared" si="43"/>
        <v>85593122.990000024</v>
      </c>
      <c r="BH217" s="203">
        <f t="shared" si="44"/>
        <v>21034620.32</v>
      </c>
      <c r="BI217" s="203">
        <f t="shared" si="45"/>
        <v>25511532.739999998</v>
      </c>
      <c r="BJ217" s="203">
        <f t="shared" si="46"/>
        <v>39046969.929999992</v>
      </c>
    </row>
    <row r="218" spans="3:62" x14ac:dyDescent="0.3">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2" x14ac:dyDescent="0.3">
      <c r="C219" s="160"/>
      <c r="D219" s="160"/>
      <c r="E219" s="160" t="s">
        <v>600</v>
      </c>
    </row>
    <row r="220" spans="3:62" x14ac:dyDescent="0.3">
      <c r="D220">
        <v>290</v>
      </c>
      <c r="E220" t="s">
        <v>599</v>
      </c>
      <c r="F220" s="4">
        <f>'4.1 Comptes 2020 natures'!E155</f>
        <v>332053.84999999998</v>
      </c>
      <c r="G220" s="4">
        <f>'4.1 Comptes 2020 natures'!F155</f>
        <v>33925.86</v>
      </c>
      <c r="H220" s="4">
        <f>'4.1 Comptes 2020 natures'!G155</f>
        <v>6425.78</v>
      </c>
      <c r="I220" s="4">
        <f>'4.1 Comptes 2020 natures'!H155</f>
        <v>0</v>
      </c>
      <c r="J220" s="4">
        <f>'4.1 Comptes 2020 natures'!I155</f>
        <v>658656.31999999995</v>
      </c>
      <c r="K220" s="4">
        <f>'4.1 Comptes 2020 natures'!J155</f>
        <v>407879.73</v>
      </c>
      <c r="L220" s="4">
        <f>'4.1 Comptes 2020 natures'!K155</f>
        <v>220336.51</v>
      </c>
      <c r="M220" s="4">
        <f>'4.1 Comptes 2020 natures'!L155</f>
        <v>2664307.91</v>
      </c>
      <c r="N220" s="4">
        <f>'4.1 Comptes 2020 natures'!M155</f>
        <v>142648.62</v>
      </c>
      <c r="O220" s="4">
        <f>'4.1 Comptes 2020 natures'!N155</f>
        <v>0</v>
      </c>
      <c r="P220" s="4">
        <f>'4.1 Comptes 2020 natures'!O155</f>
        <v>271852.05</v>
      </c>
      <c r="Q220" s="4">
        <f>'4.1 Comptes 2020 natures'!P155</f>
        <v>0</v>
      </c>
      <c r="R220" s="4">
        <f>'4.1 Comptes 2020 natures'!Q155</f>
        <v>19415.71</v>
      </c>
      <c r="S220" s="4">
        <f>'4.1 Comptes 2020 natures'!R155</f>
        <v>23711.91</v>
      </c>
      <c r="T220" s="4">
        <f>'4.1 Comptes 2020 natures'!S155</f>
        <v>149591.67000000001</v>
      </c>
      <c r="U220" s="4">
        <f>'4.1 Comptes 2020 natures'!T155</f>
        <v>181522.53</v>
      </c>
      <c r="V220" s="4">
        <f>'4.1 Comptes 2020 natures'!U155</f>
        <v>11032</v>
      </c>
      <c r="W220" s="4">
        <f>'4.1 Comptes 2020 natures'!V155</f>
        <v>-570.05999999999995</v>
      </c>
      <c r="X220" s="4">
        <f>'4.1 Comptes 2020 natures'!W155</f>
        <v>355713.96</v>
      </c>
      <c r="Y220" s="4">
        <f>'4.1 Comptes 2020 natures'!X155</f>
        <v>11139.3</v>
      </c>
      <c r="Z220" s="4">
        <f>'4.1 Comptes 2020 natures'!Y155</f>
        <v>84265.5</v>
      </c>
      <c r="AA220" s="4">
        <f>'4.1 Comptes 2020 natures'!Z155</f>
        <v>183875.09</v>
      </c>
      <c r="AB220" s="4">
        <f>'4.1 Comptes 2020 natures'!AA155</f>
        <v>2729.75</v>
      </c>
      <c r="AC220" s="4">
        <f>'4.1 Comptes 2020 natures'!AB155</f>
        <v>49493.32</v>
      </c>
      <c r="AD220" s="4">
        <f>'4.1 Comptes 2020 natures'!AC155</f>
        <v>411.98</v>
      </c>
      <c r="AE220" s="4">
        <f>'4.1 Comptes 2020 natures'!AD155</f>
        <v>70604.25</v>
      </c>
      <c r="AF220" s="4">
        <f>'4.1 Comptes 2020 natures'!AE155</f>
        <v>-27215.11</v>
      </c>
      <c r="AG220" s="4">
        <f>'4.1 Comptes 2020 natures'!AF155</f>
        <v>95466.06</v>
      </c>
      <c r="AH220" s="4">
        <f>'4.1 Comptes 2020 natures'!AG155</f>
        <v>204573.58</v>
      </c>
      <c r="AI220" s="4">
        <f>'4.1 Comptes 2020 natures'!AH155</f>
        <v>222282.4</v>
      </c>
      <c r="AJ220" s="4">
        <f>'4.1 Comptes 2020 natures'!AI155</f>
        <v>1975.55</v>
      </c>
      <c r="AK220" s="4">
        <f>'4.1 Comptes 2020 natures'!AJ155</f>
        <v>50867.3</v>
      </c>
      <c r="AL220" s="4">
        <f>'4.1 Comptes 2020 natures'!AK155</f>
        <v>61000</v>
      </c>
      <c r="AM220" s="4">
        <f>'4.1 Comptes 2020 natures'!AL155</f>
        <v>0</v>
      </c>
      <c r="AN220" s="4">
        <f>'4.1 Comptes 2020 natures'!AM155</f>
        <v>92140.23</v>
      </c>
      <c r="AO220" s="4">
        <f>'4.1 Comptes 2020 natures'!AN155</f>
        <v>4950.83</v>
      </c>
      <c r="AP220" s="4">
        <f>'4.1 Comptes 2020 natures'!AO155</f>
        <v>28959.38</v>
      </c>
      <c r="AQ220" s="4">
        <f>'4.1 Comptes 2020 natures'!AP155</f>
        <v>34006.82</v>
      </c>
      <c r="AR220" s="4">
        <f>'4.1 Comptes 2020 natures'!AQ155</f>
        <v>-15143.36</v>
      </c>
      <c r="AS220" s="4">
        <f>'4.1 Comptes 2020 natures'!AR155</f>
        <v>28887.57</v>
      </c>
      <c r="AT220" s="4">
        <f>'4.1 Comptes 2020 natures'!AS155</f>
        <v>43885.58</v>
      </c>
      <c r="AU220" s="4">
        <f>'4.1 Comptes 2020 natures'!AT155</f>
        <v>65170.98</v>
      </c>
      <c r="AV220" s="4">
        <f>'4.1 Comptes 2020 natures'!AU155</f>
        <v>31726.720000000001</v>
      </c>
      <c r="AW220" s="4">
        <f>'4.1 Comptes 2020 natures'!AV155</f>
        <v>162048.45000000001</v>
      </c>
      <c r="AX220" s="4">
        <f>'4.1 Comptes 2020 natures'!AW155</f>
        <v>32755.91</v>
      </c>
      <c r="AY220" s="4">
        <f>'4.1 Comptes 2020 natures'!AX155</f>
        <v>19742.63</v>
      </c>
      <c r="AZ220" s="4">
        <f>'4.1 Comptes 2020 natures'!AY155</f>
        <v>47556.2</v>
      </c>
      <c r="BA220" s="4">
        <f>'4.1 Comptes 2020 natures'!AZ155</f>
        <v>38249.4</v>
      </c>
      <c r="BB220" s="4">
        <f>'4.1 Comptes 2020 natures'!BA155</f>
        <v>136744.65</v>
      </c>
      <c r="BC220" s="4">
        <f>'4.1 Comptes 2020 natures'!BB155</f>
        <v>140132.98000000001</v>
      </c>
      <c r="BD220" s="4">
        <f>'4.1 Comptes 2020 natures'!BC155</f>
        <v>2276.58</v>
      </c>
      <c r="BE220" s="4">
        <f>'4.1 Comptes 2020 natures'!BD155</f>
        <v>1063773.06</v>
      </c>
      <c r="BF220" s="4">
        <f>'4.1 Comptes 2020 natures'!BE155</f>
        <v>41403.599999999999</v>
      </c>
      <c r="BG220" s="4">
        <f>'4.1 Comptes 2020 natures'!BF155</f>
        <v>8489241.5300000031</v>
      </c>
      <c r="BH220" s="4">
        <f>'4.1 Comptes 2020 natures'!BG155</f>
        <v>5478504.3500000006</v>
      </c>
      <c r="BI220" s="4">
        <f>'4.1 Comptes 2020 natures'!BH155</f>
        <v>950468.97000000009</v>
      </c>
      <c r="BJ220" s="4">
        <f>'4.1 Comptes 2020 natures'!BI155</f>
        <v>2060268.21</v>
      </c>
    </row>
    <row r="221" spans="3:62" x14ac:dyDescent="0.3">
      <c r="D221">
        <v>2990</v>
      </c>
      <c r="E221" t="s">
        <v>603</v>
      </c>
      <c r="F221" s="4">
        <f>F216</f>
        <v>6015.15</v>
      </c>
      <c r="G221" s="4">
        <f t="shared" ref="G221:BJ221" si="52">G216</f>
        <v>149441.67000000001</v>
      </c>
      <c r="H221" s="4">
        <f t="shared" si="52"/>
        <v>-35747.06</v>
      </c>
      <c r="I221" s="4">
        <f t="shared" si="52"/>
        <v>35050.58</v>
      </c>
      <c r="J221" s="4">
        <f t="shared" si="52"/>
        <v>-197032.69</v>
      </c>
      <c r="K221" s="4">
        <f t="shared" si="52"/>
        <v>643336.21</v>
      </c>
      <c r="L221" s="4">
        <f t="shared" si="52"/>
        <v>33519.97</v>
      </c>
      <c r="M221" s="4">
        <f t="shared" si="52"/>
        <v>-574634.73</v>
      </c>
      <c r="N221" s="4">
        <f t="shared" si="52"/>
        <v>-144001.48000000001</v>
      </c>
      <c r="O221" s="4">
        <f t="shared" si="52"/>
        <v>-63918.92</v>
      </c>
      <c r="P221" s="4">
        <f t="shared" si="52"/>
        <v>-1449255.52</v>
      </c>
      <c r="Q221" s="4">
        <f t="shared" si="52"/>
        <v>-93731.8</v>
      </c>
      <c r="R221" s="4">
        <f t="shared" si="52"/>
        <v>-28876.52</v>
      </c>
      <c r="S221" s="4">
        <f t="shared" si="52"/>
        <v>-40565.49</v>
      </c>
      <c r="T221" s="4">
        <f t="shared" si="52"/>
        <v>-162663.04000000001</v>
      </c>
      <c r="U221" s="4">
        <f t="shared" si="52"/>
        <v>81234.89</v>
      </c>
      <c r="V221" s="4">
        <f t="shared" si="52"/>
        <v>-1983.29</v>
      </c>
      <c r="W221" s="4">
        <f t="shared" si="52"/>
        <v>-151807.1</v>
      </c>
      <c r="X221" s="4">
        <f t="shared" si="52"/>
        <v>8997.4500000000007</v>
      </c>
      <c r="Y221" s="4">
        <f t="shared" si="52"/>
        <v>15146.84</v>
      </c>
      <c r="Z221" s="4">
        <f t="shared" si="52"/>
        <v>94732.18</v>
      </c>
      <c r="AA221" s="4">
        <f t="shared" si="52"/>
        <v>3333844.9</v>
      </c>
      <c r="AB221" s="4">
        <f t="shared" si="52"/>
        <v>-13900.02</v>
      </c>
      <c r="AC221" s="4">
        <f t="shared" si="52"/>
        <v>-8071.54</v>
      </c>
      <c r="AD221" s="4">
        <f t="shared" si="52"/>
        <v>-115008.95</v>
      </c>
      <c r="AE221" s="4">
        <f t="shared" si="52"/>
        <v>-169604.71</v>
      </c>
      <c r="AF221" s="4">
        <f t="shared" si="52"/>
        <v>-167058.57</v>
      </c>
      <c r="AG221" s="4">
        <f t="shared" si="52"/>
        <v>27072.7</v>
      </c>
      <c r="AH221" s="4">
        <f t="shared" si="52"/>
        <v>902636.72</v>
      </c>
      <c r="AI221" s="4">
        <f t="shared" si="52"/>
        <v>21604.95</v>
      </c>
      <c r="AJ221" s="4">
        <f t="shared" si="52"/>
        <v>-62965.32</v>
      </c>
      <c r="AK221" s="4">
        <f t="shared" si="52"/>
        <v>-28280.9</v>
      </c>
      <c r="AL221" s="4">
        <f t="shared" si="52"/>
        <v>92720</v>
      </c>
      <c r="AM221" s="4">
        <f t="shared" si="52"/>
        <v>-32824.589999999997</v>
      </c>
      <c r="AN221" s="4">
        <f t="shared" si="52"/>
        <v>-97730</v>
      </c>
      <c r="AO221" s="4">
        <f t="shared" si="52"/>
        <v>8760.2199999999993</v>
      </c>
      <c r="AP221" s="4">
        <f t="shared" si="52"/>
        <v>313035.14</v>
      </c>
      <c r="AQ221" s="4">
        <f t="shared" si="52"/>
        <v>163646.92000000001</v>
      </c>
      <c r="AR221" s="4">
        <f t="shared" si="52"/>
        <v>39059.129999999997</v>
      </c>
      <c r="AS221" s="4">
        <f t="shared" si="52"/>
        <v>21784.22</v>
      </c>
      <c r="AT221" s="4">
        <f t="shared" si="52"/>
        <v>-27802.82</v>
      </c>
      <c r="AU221" s="4">
        <f t="shared" si="52"/>
        <v>-30052.95</v>
      </c>
      <c r="AV221" s="4">
        <f t="shared" si="52"/>
        <v>81088.7</v>
      </c>
      <c r="AW221" s="4">
        <f t="shared" si="52"/>
        <v>-430556.03</v>
      </c>
      <c r="AX221" s="4">
        <f t="shared" si="52"/>
        <v>-41819.94</v>
      </c>
      <c r="AY221" s="4">
        <f t="shared" si="52"/>
        <v>10076.969999999999</v>
      </c>
      <c r="AZ221" s="4">
        <f t="shared" si="52"/>
        <v>26132.85</v>
      </c>
      <c r="BA221" s="4">
        <f t="shared" si="52"/>
        <v>40793.43</v>
      </c>
      <c r="BB221" s="4">
        <f t="shared" si="52"/>
        <v>24133.4</v>
      </c>
      <c r="BC221" s="4">
        <f t="shared" si="52"/>
        <v>52053.97</v>
      </c>
      <c r="BD221" s="4">
        <f t="shared" si="52"/>
        <v>-14911.28</v>
      </c>
      <c r="BE221" s="4">
        <f t="shared" si="52"/>
        <v>189954.45</v>
      </c>
      <c r="BF221" s="4">
        <f t="shared" si="52"/>
        <v>26545.08</v>
      </c>
      <c r="BG221" s="4">
        <f t="shared" si="52"/>
        <v>2257613.4299999992</v>
      </c>
      <c r="BH221" s="4">
        <f t="shared" si="52"/>
        <v>-1986621.7200000004</v>
      </c>
      <c r="BI221" s="4">
        <f t="shared" si="52"/>
        <v>3830148.2800000003</v>
      </c>
      <c r="BJ221" s="4">
        <f t="shared" si="52"/>
        <v>414086.86999999994</v>
      </c>
    </row>
    <row r="223" spans="3:62" x14ac:dyDescent="0.3">
      <c r="E223" s="7" t="s">
        <v>602</v>
      </c>
      <c r="F223" s="181">
        <f>F220+F221</f>
        <v>338069</v>
      </c>
      <c r="G223" s="181">
        <f t="shared" ref="G223:BJ223" si="53">G220+G221</f>
        <v>183367.53000000003</v>
      </c>
      <c r="H223" s="181">
        <f t="shared" si="53"/>
        <v>-29321.279999999999</v>
      </c>
      <c r="I223" s="181">
        <f t="shared" si="53"/>
        <v>35050.58</v>
      </c>
      <c r="J223" s="181">
        <f t="shared" si="53"/>
        <v>461623.62999999995</v>
      </c>
      <c r="K223" s="181">
        <f t="shared" si="53"/>
        <v>1051215.94</v>
      </c>
      <c r="L223" s="181">
        <f t="shared" si="53"/>
        <v>253856.48</v>
      </c>
      <c r="M223" s="181">
        <f t="shared" si="53"/>
        <v>2089673.1800000002</v>
      </c>
      <c r="N223" s="181">
        <f t="shared" si="53"/>
        <v>-1352.8600000000151</v>
      </c>
      <c r="O223" s="181">
        <f t="shared" si="53"/>
        <v>-63918.92</v>
      </c>
      <c r="P223" s="181">
        <f t="shared" si="53"/>
        <v>-1177403.47</v>
      </c>
      <c r="Q223" s="181">
        <f t="shared" si="53"/>
        <v>-93731.8</v>
      </c>
      <c r="R223" s="181">
        <f t="shared" si="53"/>
        <v>-9460.8100000000013</v>
      </c>
      <c r="S223" s="181">
        <f t="shared" si="53"/>
        <v>-16853.579999999998</v>
      </c>
      <c r="T223" s="181">
        <f t="shared" si="53"/>
        <v>-13071.369999999995</v>
      </c>
      <c r="U223" s="181">
        <f t="shared" si="53"/>
        <v>262757.42</v>
      </c>
      <c r="V223" s="181">
        <f t="shared" si="53"/>
        <v>9048.7099999999991</v>
      </c>
      <c r="W223" s="181">
        <f t="shared" si="53"/>
        <v>-152377.16</v>
      </c>
      <c r="X223" s="181">
        <f t="shared" si="53"/>
        <v>364711.41000000003</v>
      </c>
      <c r="Y223" s="181">
        <f t="shared" si="53"/>
        <v>26286.14</v>
      </c>
      <c r="Z223" s="181">
        <f t="shared" si="53"/>
        <v>178997.68</v>
      </c>
      <c r="AA223" s="181">
        <f t="shared" si="53"/>
        <v>3517719.9899999998</v>
      </c>
      <c r="AB223" s="181">
        <f t="shared" si="53"/>
        <v>-11170.27</v>
      </c>
      <c r="AC223" s="181">
        <f t="shared" si="53"/>
        <v>41421.78</v>
      </c>
      <c r="AD223" s="181">
        <f t="shared" si="53"/>
        <v>-114596.97</v>
      </c>
      <c r="AE223" s="181">
        <f t="shared" si="53"/>
        <v>-99000.459999999992</v>
      </c>
      <c r="AF223" s="181">
        <f t="shared" si="53"/>
        <v>-194273.68</v>
      </c>
      <c r="AG223" s="181">
        <f t="shared" si="53"/>
        <v>122538.76</v>
      </c>
      <c r="AH223" s="181">
        <f t="shared" si="53"/>
        <v>1107210.3</v>
      </c>
      <c r="AI223" s="181">
        <f t="shared" si="53"/>
        <v>243887.35</v>
      </c>
      <c r="AJ223" s="181">
        <f t="shared" si="53"/>
        <v>-60989.77</v>
      </c>
      <c r="AK223" s="181">
        <f t="shared" si="53"/>
        <v>22586.400000000001</v>
      </c>
      <c r="AL223" s="181">
        <f t="shared" si="53"/>
        <v>153720</v>
      </c>
      <c r="AM223" s="181">
        <f t="shared" si="53"/>
        <v>-32824.589999999997</v>
      </c>
      <c r="AN223" s="181">
        <f t="shared" si="53"/>
        <v>-5589.7700000000041</v>
      </c>
      <c r="AO223" s="181">
        <f t="shared" si="53"/>
        <v>13711.05</v>
      </c>
      <c r="AP223" s="181">
        <f t="shared" si="53"/>
        <v>341994.52</v>
      </c>
      <c r="AQ223" s="181">
        <f t="shared" si="53"/>
        <v>197653.74000000002</v>
      </c>
      <c r="AR223" s="181">
        <f t="shared" si="53"/>
        <v>23915.769999999997</v>
      </c>
      <c r="AS223" s="181">
        <f t="shared" si="53"/>
        <v>50671.79</v>
      </c>
      <c r="AT223" s="181">
        <f t="shared" si="53"/>
        <v>16082.760000000002</v>
      </c>
      <c r="AU223" s="181">
        <f t="shared" si="53"/>
        <v>35118.03</v>
      </c>
      <c r="AV223" s="181">
        <f t="shared" si="53"/>
        <v>112815.42</v>
      </c>
      <c r="AW223" s="181">
        <f t="shared" si="53"/>
        <v>-268507.58</v>
      </c>
      <c r="AX223" s="181">
        <f t="shared" si="53"/>
        <v>-9064.0300000000025</v>
      </c>
      <c r="AY223" s="181">
        <f t="shared" si="53"/>
        <v>29819.599999999999</v>
      </c>
      <c r="AZ223" s="181">
        <f t="shared" si="53"/>
        <v>73689.049999999988</v>
      </c>
      <c r="BA223" s="181">
        <f t="shared" si="53"/>
        <v>79042.83</v>
      </c>
      <c r="BB223" s="181">
        <f t="shared" si="53"/>
        <v>160878.04999999999</v>
      </c>
      <c r="BC223" s="181">
        <f t="shared" si="53"/>
        <v>192186.95</v>
      </c>
      <c r="BD223" s="181">
        <f t="shared" si="53"/>
        <v>-12634.7</v>
      </c>
      <c r="BE223" s="181">
        <f t="shared" si="53"/>
        <v>1253727.51</v>
      </c>
      <c r="BF223" s="181">
        <f t="shared" si="53"/>
        <v>67948.679999999993</v>
      </c>
      <c r="BG223" s="181">
        <f t="shared" si="53"/>
        <v>10746854.960000003</v>
      </c>
      <c r="BH223" s="181">
        <f t="shared" si="53"/>
        <v>3491882.63</v>
      </c>
      <c r="BI223" s="181">
        <f t="shared" si="53"/>
        <v>4780617.25</v>
      </c>
      <c r="BJ223" s="181">
        <f t="shared" si="53"/>
        <v>2474355.08</v>
      </c>
    </row>
    <row r="224" spans="3:62" x14ac:dyDescent="0.3">
      <c r="N224" s="4"/>
      <c r="BG224" s="4"/>
      <c r="BH224" s="4"/>
      <c r="BI224" s="4"/>
      <c r="BJ224" s="4"/>
    </row>
    <row r="225" spans="5:62" x14ac:dyDescent="0.3">
      <c r="E225" s="60" t="s">
        <v>601</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0</v>
      </c>
      <c r="U225" s="153">
        <f t="shared" si="54"/>
        <v>0</v>
      </c>
      <c r="V225" s="153">
        <f t="shared" si="54"/>
        <v>0</v>
      </c>
      <c r="W225" s="153">
        <f t="shared" si="54"/>
        <v>0</v>
      </c>
      <c r="X225" s="153">
        <f t="shared" si="54"/>
        <v>0</v>
      </c>
      <c r="Y225" s="153">
        <f t="shared" si="54"/>
        <v>0</v>
      </c>
      <c r="Z225" s="153">
        <f t="shared" si="54"/>
        <v>0</v>
      </c>
      <c r="AA225" s="153">
        <f t="shared" si="54"/>
        <v>0</v>
      </c>
      <c r="AB225" s="153">
        <f t="shared" si="54"/>
        <v>0</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0</v>
      </c>
      <c r="BH225" s="153">
        <f t="shared" si="54"/>
        <v>0</v>
      </c>
      <c r="BI225" s="153">
        <f t="shared" si="54"/>
        <v>0</v>
      </c>
      <c r="BJ225" s="153">
        <f t="shared" si="54"/>
        <v>0</v>
      </c>
    </row>
    <row r="227" spans="5:62" x14ac:dyDescent="0.3">
      <c r="AE227" s="4"/>
    </row>
    <row r="228" spans="5:62" x14ac:dyDescent="0.3">
      <c r="BE228" s="101"/>
    </row>
    <row r="230" spans="5:62" x14ac:dyDescent="0.3">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C23" sqref="C23"/>
    </sheetView>
  </sheetViews>
  <sheetFormatPr baseColWidth="10" defaultRowHeight="14.4" x14ac:dyDescent="0.3"/>
  <cols>
    <col min="1" max="3" width="4.6640625" customWidth="1"/>
    <col min="4" max="4" width="9" customWidth="1"/>
    <col min="5" max="5" width="63.5546875" customWidth="1"/>
    <col min="6" max="6" width="22.6640625" customWidth="1"/>
  </cols>
  <sheetData>
    <row r="1" spans="1:6" ht="25.8" x14ac:dyDescent="0.5">
      <c r="A1" s="42" t="s">
        <v>759</v>
      </c>
      <c r="B1" s="7"/>
      <c r="C1" s="7"/>
      <c r="D1" s="7"/>
      <c r="E1" s="78"/>
    </row>
    <row r="3" spans="1:6" ht="15" thickBot="1" x14ac:dyDescent="0.35"/>
    <row r="4" spans="1:6" ht="15" thickBot="1" x14ac:dyDescent="0.35">
      <c r="A4" t="s">
        <v>651</v>
      </c>
      <c r="E4" s="174" t="s">
        <v>25</v>
      </c>
    </row>
    <row r="7" spans="1:6" ht="21" x14ac:dyDescent="0.4">
      <c r="A7" s="73">
        <v>1</v>
      </c>
      <c r="B7" s="73"/>
      <c r="C7" s="73"/>
      <c r="D7" s="73"/>
      <c r="E7" s="73" t="s">
        <v>246</v>
      </c>
      <c r="F7" s="175">
        <f>HLOOKUP($E$4,'5. Bilan'!$F$3:$BF$226,2,0)</f>
        <v>6103718.5500000007</v>
      </c>
    </row>
    <row r="8" spans="1:6" x14ac:dyDescent="0.3">
      <c r="A8" s="78"/>
      <c r="B8" s="74">
        <v>10</v>
      </c>
      <c r="C8" s="74"/>
      <c r="D8" s="74"/>
      <c r="E8" s="74" t="s">
        <v>247</v>
      </c>
      <c r="F8" s="75">
        <f>HLOOKUP($E$4,'5. Bilan'!$F$3:$BF$226,3,0)</f>
        <v>2569790.9000000004</v>
      </c>
    </row>
    <row r="9" spans="1:6" x14ac:dyDescent="0.3">
      <c r="A9" s="79"/>
      <c r="B9" s="79"/>
      <c r="C9" s="69">
        <v>100</v>
      </c>
      <c r="D9" s="69"/>
      <c r="E9" s="69" t="s">
        <v>248</v>
      </c>
      <c r="F9" s="176">
        <f>SUM(F10:F15)</f>
        <v>1011017.67</v>
      </c>
    </row>
    <row r="10" spans="1:6" x14ac:dyDescent="0.3">
      <c r="D10">
        <v>1000</v>
      </c>
      <c r="E10" t="s">
        <v>322</v>
      </c>
      <c r="F10" s="4">
        <f>HLOOKUP($E$4,'5. Bilan'!$F$3:$BF$226,5,0)</f>
        <v>1698.15</v>
      </c>
    </row>
    <row r="11" spans="1:6" x14ac:dyDescent="0.3">
      <c r="D11">
        <v>1001</v>
      </c>
      <c r="E11" t="s">
        <v>323</v>
      </c>
      <c r="F11" s="4">
        <f>HLOOKUP($E$4,'5. Bilan'!$F$3:$BF$226,6,0)</f>
        <v>74871.34</v>
      </c>
    </row>
    <row r="12" spans="1:6" x14ac:dyDescent="0.3">
      <c r="D12">
        <v>1002</v>
      </c>
      <c r="E12" t="s">
        <v>331</v>
      </c>
      <c r="F12" s="4">
        <f>HLOOKUP($E$4,'5. Bilan'!$F$3:$BF$226,7,0)</f>
        <v>934448.18</v>
      </c>
    </row>
    <row r="13" spans="1:6" x14ac:dyDescent="0.3">
      <c r="D13">
        <v>1003</v>
      </c>
      <c r="E13" t="s">
        <v>324</v>
      </c>
      <c r="F13" s="4">
        <f>HLOOKUP($E$4,'5. Bilan'!$F$3:$BF$226,8,0)</f>
        <v>0</v>
      </c>
    </row>
    <row r="14" spans="1:6" x14ac:dyDescent="0.3">
      <c r="D14">
        <v>1004</v>
      </c>
      <c r="E14" t="s">
        <v>325</v>
      </c>
      <c r="F14" s="4">
        <f>HLOOKUP($E$4,'5. Bilan'!$F$3:$BF$226,9,0)</f>
        <v>0</v>
      </c>
    </row>
    <row r="15" spans="1:6" x14ac:dyDescent="0.3">
      <c r="D15">
        <v>1009</v>
      </c>
      <c r="E15" t="s">
        <v>326</v>
      </c>
      <c r="F15" s="4">
        <f>HLOOKUP($E$4,'5. Bilan'!$F$3:$BF$226,10,0)</f>
        <v>0</v>
      </c>
    </row>
    <row r="16" spans="1:6" x14ac:dyDescent="0.3">
      <c r="F16" s="4"/>
    </row>
    <row r="17" spans="1:6" x14ac:dyDescent="0.3">
      <c r="A17" s="79"/>
      <c r="B17" s="79"/>
      <c r="C17" s="69">
        <v>101</v>
      </c>
      <c r="D17" s="69"/>
      <c r="E17" s="69" t="s">
        <v>249</v>
      </c>
      <c r="F17" s="70">
        <f>SUM(F18:F25)</f>
        <v>470341.2</v>
      </c>
    </row>
    <row r="18" spans="1:6" x14ac:dyDescent="0.3">
      <c r="D18">
        <v>1010</v>
      </c>
      <c r="E18" t="s">
        <v>327</v>
      </c>
      <c r="F18" s="4">
        <f>HLOOKUP($E$4,'5. Bilan'!$F$3:$BF$226,13,0)</f>
        <v>62083.64</v>
      </c>
    </row>
    <row r="19" spans="1:6" x14ac:dyDescent="0.3">
      <c r="D19">
        <v>1011</v>
      </c>
      <c r="E19" t="s">
        <v>408</v>
      </c>
      <c r="F19" s="4">
        <f>HLOOKUP($E$4,'5. Bilan'!$F$3:$BF$226,14,0)</f>
        <v>0</v>
      </c>
    </row>
    <row r="20" spans="1:6" x14ac:dyDescent="0.3">
      <c r="D20">
        <v>1012</v>
      </c>
      <c r="E20" t="s">
        <v>328</v>
      </c>
      <c r="F20" s="4">
        <f>HLOOKUP($E$4,'5. Bilan'!$F$3:$BF$226,15,0)</f>
        <v>408257.56</v>
      </c>
    </row>
    <row r="21" spans="1:6" x14ac:dyDescent="0.3">
      <c r="D21">
        <v>1013</v>
      </c>
      <c r="E21" t="s">
        <v>329</v>
      </c>
      <c r="F21" s="4">
        <f>HLOOKUP($E$4,'5. Bilan'!$F$3:$BF$226,16,0)</f>
        <v>0</v>
      </c>
    </row>
    <row r="22" spans="1:6" x14ac:dyDescent="0.3">
      <c r="D22">
        <v>1014</v>
      </c>
      <c r="E22" t="s">
        <v>330</v>
      </c>
      <c r="F22" s="4">
        <f>HLOOKUP($E$4,'5. Bilan'!$F$3:$BF$226,17,0)</f>
        <v>0</v>
      </c>
    </row>
    <row r="23" spans="1:6" x14ac:dyDescent="0.3">
      <c r="D23">
        <v>1015</v>
      </c>
      <c r="E23" t="s">
        <v>332</v>
      </c>
      <c r="F23" s="4">
        <f>HLOOKUP($E$4,'5. Bilan'!$F$3:$BF$226,18,0)</f>
        <v>0</v>
      </c>
    </row>
    <row r="24" spans="1:6" x14ac:dyDescent="0.3">
      <c r="D24">
        <v>1016</v>
      </c>
      <c r="E24" t="s">
        <v>333</v>
      </c>
      <c r="F24" s="4">
        <f>HLOOKUP($E$4,'5. Bilan'!$F$3:$BF$226,19,0)</f>
        <v>0</v>
      </c>
    </row>
    <row r="25" spans="1:6" x14ac:dyDescent="0.3">
      <c r="D25">
        <v>1019</v>
      </c>
      <c r="E25" t="s">
        <v>334</v>
      </c>
      <c r="F25" s="4">
        <f>HLOOKUP($E$4,'5. Bilan'!$F$3:$BF$226,20,0)</f>
        <v>0</v>
      </c>
    </row>
    <row r="26" spans="1:6" x14ac:dyDescent="0.3">
      <c r="F26" s="4"/>
    </row>
    <row r="27" spans="1:6" x14ac:dyDescent="0.3">
      <c r="C27" s="69">
        <v>102</v>
      </c>
      <c r="D27" s="69"/>
      <c r="E27" s="69" t="s">
        <v>250</v>
      </c>
      <c r="F27" s="70">
        <f>SUM(F28:F31)</f>
        <v>0</v>
      </c>
    </row>
    <row r="28" spans="1:6" x14ac:dyDescent="0.3">
      <c r="D28">
        <v>1020</v>
      </c>
      <c r="E28" t="s">
        <v>335</v>
      </c>
      <c r="F28" s="4">
        <f>HLOOKUP($E$4,'5. Bilan'!$F$3:$BF$226,23,0)</f>
        <v>0</v>
      </c>
    </row>
    <row r="29" spans="1:6" x14ac:dyDescent="0.3">
      <c r="D29">
        <v>1022</v>
      </c>
      <c r="E29" t="s">
        <v>336</v>
      </c>
      <c r="F29" s="4">
        <f>HLOOKUP($E$4,'5. Bilan'!$F$3:$BF$226,24,0)</f>
        <v>0</v>
      </c>
    </row>
    <row r="30" spans="1:6" x14ac:dyDescent="0.3">
      <c r="D30">
        <v>1023</v>
      </c>
      <c r="E30" t="s">
        <v>337</v>
      </c>
      <c r="F30" s="4">
        <f>HLOOKUP($E$4,'5. Bilan'!$F$3:$BF$226,25,0)</f>
        <v>0</v>
      </c>
    </row>
    <row r="31" spans="1:6" x14ac:dyDescent="0.3">
      <c r="D31">
        <v>1029</v>
      </c>
      <c r="E31" t="s">
        <v>338</v>
      </c>
      <c r="F31" s="4">
        <f>HLOOKUP($E$4,'5. Bilan'!$F$3:$BF$226,26,0)</f>
        <v>0</v>
      </c>
    </row>
    <row r="32" spans="1:6" x14ac:dyDescent="0.3">
      <c r="F32" s="4"/>
    </row>
    <row r="33" spans="3:6" x14ac:dyDescent="0.3">
      <c r="C33" s="69">
        <v>104</v>
      </c>
      <c r="D33" s="69"/>
      <c r="E33" s="69" t="s">
        <v>251</v>
      </c>
      <c r="F33" s="70">
        <f>SUM(F34:F41)</f>
        <v>193093.03</v>
      </c>
    </row>
    <row r="34" spans="3:6" x14ac:dyDescent="0.3">
      <c r="D34">
        <v>1040</v>
      </c>
      <c r="E34" t="s">
        <v>61</v>
      </c>
      <c r="F34" s="4">
        <f>HLOOKUP($E$4,'5. Bilan'!$F$3:$BF$226,29,0)</f>
        <v>0</v>
      </c>
    </row>
    <row r="35" spans="3:6" x14ac:dyDescent="0.3">
      <c r="D35">
        <v>1041</v>
      </c>
      <c r="E35" t="s">
        <v>339</v>
      </c>
      <c r="F35" s="4">
        <f>HLOOKUP($E$4,'5. Bilan'!$F$3:$BF$226,30,0)</f>
        <v>123455.05</v>
      </c>
    </row>
    <row r="36" spans="3:6" x14ac:dyDescent="0.3">
      <c r="D36">
        <v>1042</v>
      </c>
      <c r="E36" t="s">
        <v>340</v>
      </c>
      <c r="F36" s="4">
        <f>HLOOKUP($E$4,'5. Bilan'!$F$3:$BF$226,31,0)</f>
        <v>0</v>
      </c>
    </row>
    <row r="37" spans="3:6" x14ac:dyDescent="0.3">
      <c r="D37">
        <v>1043</v>
      </c>
      <c r="E37" t="s">
        <v>341</v>
      </c>
      <c r="F37" s="4">
        <f>HLOOKUP($E$4,'5. Bilan'!$F$3:$BF$226,32,0)</f>
        <v>69637.98</v>
      </c>
    </row>
    <row r="38" spans="3:6" x14ac:dyDescent="0.3">
      <c r="D38">
        <v>1044</v>
      </c>
      <c r="E38" t="s">
        <v>342</v>
      </c>
      <c r="F38" s="4">
        <f>HLOOKUP($E$4,'5. Bilan'!$F$3:$BF$226,33,0)</f>
        <v>0</v>
      </c>
    </row>
    <row r="39" spans="3:6" x14ac:dyDescent="0.3">
      <c r="D39">
        <v>1045</v>
      </c>
      <c r="E39" t="s">
        <v>343</v>
      </c>
      <c r="F39" s="4">
        <f>HLOOKUP($E$4,'5. Bilan'!$F$3:$BF$226,34,0)</f>
        <v>0</v>
      </c>
    </row>
    <row r="40" spans="3:6" x14ac:dyDescent="0.3">
      <c r="D40">
        <v>1046</v>
      </c>
      <c r="E40" t="s">
        <v>344</v>
      </c>
      <c r="F40" s="4">
        <f>HLOOKUP($E$4,'5. Bilan'!$F$3:$BF$226,35,0)</f>
        <v>0</v>
      </c>
    </row>
    <row r="41" spans="3:6" x14ac:dyDescent="0.3">
      <c r="D41">
        <v>1049</v>
      </c>
      <c r="E41" t="s">
        <v>345</v>
      </c>
      <c r="F41" s="4">
        <f>HLOOKUP($E$4,'5. Bilan'!$F$3:$BF$226,36,0)</f>
        <v>0</v>
      </c>
    </row>
    <row r="42" spans="3:6" x14ac:dyDescent="0.3">
      <c r="F42" s="4"/>
    </row>
    <row r="43" spans="3:6" x14ac:dyDescent="0.3">
      <c r="C43" s="69">
        <v>106</v>
      </c>
      <c r="D43" s="69"/>
      <c r="E43" s="69" t="s">
        <v>252</v>
      </c>
      <c r="F43" s="70">
        <f>SUM(F44:F48)</f>
        <v>0</v>
      </c>
    </row>
    <row r="44" spans="3:6" x14ac:dyDescent="0.3">
      <c r="D44">
        <v>1060</v>
      </c>
      <c r="E44" t="s">
        <v>346</v>
      </c>
      <c r="F44" s="4">
        <f>HLOOKUP($E$4,'5. Bilan'!$F$3:$BF$226,39,0)</f>
        <v>0</v>
      </c>
    </row>
    <row r="45" spans="3:6" x14ac:dyDescent="0.3">
      <c r="D45">
        <v>1061</v>
      </c>
      <c r="E45" t="s">
        <v>347</v>
      </c>
      <c r="F45" s="4">
        <f>HLOOKUP($E$4,'5. Bilan'!$F$3:$BF$226,40,0)</f>
        <v>0</v>
      </c>
    </row>
    <row r="46" spans="3:6" x14ac:dyDescent="0.3">
      <c r="D46">
        <v>1062</v>
      </c>
      <c r="E46" t="s">
        <v>348</v>
      </c>
      <c r="F46" s="4">
        <f>HLOOKUP($E$4,'5. Bilan'!$F$3:$BF$226,41,0)</f>
        <v>0</v>
      </c>
    </row>
    <row r="47" spans="3:6" x14ac:dyDescent="0.3">
      <c r="D47">
        <v>1063</v>
      </c>
      <c r="E47" t="s">
        <v>349</v>
      </c>
      <c r="F47" s="4">
        <f>HLOOKUP($E$4,'5. Bilan'!$F$3:$BF$226,42,0)</f>
        <v>0</v>
      </c>
    </row>
    <row r="48" spans="3:6" x14ac:dyDescent="0.3">
      <c r="D48">
        <v>1068</v>
      </c>
      <c r="E48" t="s">
        <v>350</v>
      </c>
      <c r="F48" s="4">
        <f>HLOOKUP($E$4,'5. Bilan'!$F$3:$BF$226,43,0)</f>
        <v>0</v>
      </c>
    </row>
    <row r="49" spans="3:6" x14ac:dyDescent="0.3">
      <c r="F49" s="4"/>
    </row>
    <row r="50" spans="3:6" x14ac:dyDescent="0.3">
      <c r="C50" s="69">
        <v>107</v>
      </c>
      <c r="D50" s="69"/>
      <c r="E50" s="69" t="s">
        <v>355</v>
      </c>
      <c r="F50" s="70">
        <f>SUM(F51:F54)</f>
        <v>4</v>
      </c>
    </row>
    <row r="51" spans="3:6" x14ac:dyDescent="0.3">
      <c r="D51">
        <v>1070</v>
      </c>
      <c r="E51" t="s">
        <v>351</v>
      </c>
      <c r="F51" s="4">
        <f>HLOOKUP($E$4,'5. Bilan'!$F$3:$BF$226,46,0)</f>
        <v>4</v>
      </c>
    </row>
    <row r="52" spans="3:6" x14ac:dyDescent="0.3">
      <c r="D52">
        <v>1071</v>
      </c>
      <c r="E52" t="s">
        <v>352</v>
      </c>
      <c r="F52" s="4">
        <f>HLOOKUP($E$4,'5. Bilan'!$F$3:$BF$226,47,0)</f>
        <v>0</v>
      </c>
    </row>
    <row r="53" spans="3:6" x14ac:dyDescent="0.3">
      <c r="D53">
        <v>1072</v>
      </c>
      <c r="E53" t="s">
        <v>353</v>
      </c>
      <c r="F53" s="4">
        <f>HLOOKUP($E$4,'5. Bilan'!$F$3:$BF$226,48,0)</f>
        <v>0</v>
      </c>
    </row>
    <row r="54" spans="3:6" x14ac:dyDescent="0.3">
      <c r="D54">
        <v>1079</v>
      </c>
      <c r="E54" t="s">
        <v>354</v>
      </c>
      <c r="F54" s="4">
        <f>HLOOKUP($E$4,'5. Bilan'!$F$3:$BF$226,49,0)</f>
        <v>0</v>
      </c>
    </row>
    <row r="55" spans="3:6" x14ac:dyDescent="0.3">
      <c r="F55" s="4"/>
    </row>
    <row r="56" spans="3:6" x14ac:dyDescent="0.3">
      <c r="C56" s="69">
        <v>108</v>
      </c>
      <c r="D56" s="69"/>
      <c r="E56" s="69" t="s">
        <v>253</v>
      </c>
      <c r="F56" s="70">
        <f>SUM(F57:F62)</f>
        <v>895335</v>
      </c>
    </row>
    <row r="57" spans="3:6" x14ac:dyDescent="0.3">
      <c r="D57">
        <v>1080</v>
      </c>
      <c r="E57" t="s">
        <v>356</v>
      </c>
      <c r="F57" s="4">
        <f>HLOOKUP($E$4,'5. Bilan'!$F$3:$BF$226,52,0)</f>
        <v>185335</v>
      </c>
    </row>
    <row r="58" spans="3:6" x14ac:dyDescent="0.3">
      <c r="D58">
        <v>1084</v>
      </c>
      <c r="E58" t="s">
        <v>357</v>
      </c>
      <c r="F58" s="4">
        <f>HLOOKUP($E$4,'5. Bilan'!$F$3:$BF$226,53,0)</f>
        <v>710000</v>
      </c>
    </row>
    <row r="59" spans="3:6" x14ac:dyDescent="0.3">
      <c r="D59">
        <v>1086</v>
      </c>
      <c r="E59" t="s">
        <v>358</v>
      </c>
      <c r="F59" s="4">
        <f>HLOOKUP($E$4,'5. Bilan'!$F$3:$BF$226,54,0)</f>
        <v>0</v>
      </c>
    </row>
    <row r="60" spans="3:6" x14ac:dyDescent="0.3">
      <c r="D60">
        <v>1087</v>
      </c>
      <c r="E60" t="s">
        <v>359</v>
      </c>
      <c r="F60" s="4">
        <f>HLOOKUP($E$4,'5. Bilan'!$F$3:$BF$226,55,0)</f>
        <v>0</v>
      </c>
    </row>
    <row r="61" spans="3:6" x14ac:dyDescent="0.3">
      <c r="D61">
        <v>1088</v>
      </c>
      <c r="E61" t="s">
        <v>360</v>
      </c>
      <c r="F61" s="4">
        <f>HLOOKUP($E$4,'5. Bilan'!$F$3:$BF$226,56,0)</f>
        <v>0</v>
      </c>
    </row>
    <row r="62" spans="3:6" x14ac:dyDescent="0.3">
      <c r="D62">
        <v>1089</v>
      </c>
      <c r="E62" t="s">
        <v>361</v>
      </c>
      <c r="F62" s="4">
        <f>HLOOKUP($E$4,'5. Bilan'!$F$3:$BF$226,57,0)</f>
        <v>0</v>
      </c>
    </row>
    <row r="63" spans="3:6" x14ac:dyDescent="0.3">
      <c r="F63" s="4"/>
    </row>
    <row r="64" spans="3:6" x14ac:dyDescent="0.3">
      <c r="C64" s="69">
        <v>109</v>
      </c>
      <c r="D64" s="69"/>
      <c r="E64" s="69" t="s">
        <v>362</v>
      </c>
      <c r="F64" s="70">
        <f>SUM(F65:F68)</f>
        <v>0</v>
      </c>
    </row>
    <row r="65" spans="2:6" x14ac:dyDescent="0.3">
      <c r="D65">
        <v>1090</v>
      </c>
      <c r="E65" t="s">
        <v>362</v>
      </c>
      <c r="F65" s="4">
        <f>HLOOKUP($E$4,'5. Bilan'!$F$3:$BF$226,60,0)</f>
        <v>0</v>
      </c>
    </row>
    <row r="66" spans="2:6" x14ac:dyDescent="0.3">
      <c r="D66">
        <v>1091</v>
      </c>
      <c r="E66" t="s">
        <v>363</v>
      </c>
      <c r="F66" s="4">
        <f>HLOOKUP($E$4,'5. Bilan'!$F$3:$BF$226,61,0)</f>
        <v>0</v>
      </c>
    </row>
    <row r="67" spans="2:6" x14ac:dyDescent="0.3">
      <c r="D67">
        <v>1092</v>
      </c>
      <c r="E67" t="s">
        <v>364</v>
      </c>
      <c r="F67" s="4">
        <f>HLOOKUP($E$4,'5. Bilan'!$F$3:$BF$226,62,0)</f>
        <v>0</v>
      </c>
    </row>
    <row r="68" spans="2:6" x14ac:dyDescent="0.3">
      <c r="D68">
        <v>1093</v>
      </c>
      <c r="E68" t="s">
        <v>365</v>
      </c>
      <c r="F68" s="4">
        <f>HLOOKUP($E$4,'5. Bilan'!$F$3:$BF$226,63,0)</f>
        <v>0</v>
      </c>
    </row>
    <row r="69" spans="2:6" x14ac:dyDescent="0.3">
      <c r="F69" s="4"/>
    </row>
    <row r="70" spans="2:6" x14ac:dyDescent="0.3">
      <c r="B70" s="76">
        <v>14</v>
      </c>
      <c r="C70" s="76"/>
      <c r="D70" s="76"/>
      <c r="E70" s="76" t="s">
        <v>254</v>
      </c>
      <c r="F70" s="77">
        <f>HLOOKUP($E$4,'5. Bilan'!$F$3:$BF$226,65,0)</f>
        <v>3533927.65</v>
      </c>
    </row>
    <row r="71" spans="2:6" x14ac:dyDescent="0.3">
      <c r="C71" s="69">
        <v>140</v>
      </c>
      <c r="D71" s="69"/>
      <c r="E71" s="69" t="s">
        <v>256</v>
      </c>
      <c r="F71" s="70">
        <f>SUM(F72:F80)</f>
        <v>3510208</v>
      </c>
    </row>
    <row r="72" spans="2:6" x14ac:dyDescent="0.3">
      <c r="D72">
        <v>1400</v>
      </c>
      <c r="E72" t="s">
        <v>366</v>
      </c>
      <c r="F72" s="4">
        <f>HLOOKUP($E$4,'5. Bilan'!$F$3:$BF$226,67,0)</f>
        <v>163195</v>
      </c>
    </row>
    <row r="73" spans="2:6" x14ac:dyDescent="0.3">
      <c r="D73">
        <v>1401</v>
      </c>
      <c r="E73" t="s">
        <v>367</v>
      </c>
      <c r="F73" s="4">
        <f>HLOOKUP($E$4,'5. Bilan'!$F$3:$BF$226,68,0)</f>
        <v>702000</v>
      </c>
    </row>
    <row r="74" spans="2:6" x14ac:dyDescent="0.3">
      <c r="D74">
        <v>1402</v>
      </c>
      <c r="E74" t="s">
        <v>368</v>
      </c>
      <c r="F74" s="4">
        <f>HLOOKUP($E$4,'5. Bilan'!$F$3:$BF$226,69,0)</f>
        <v>0</v>
      </c>
    </row>
    <row r="75" spans="2:6" x14ac:dyDescent="0.3">
      <c r="D75">
        <v>1403</v>
      </c>
      <c r="E75" t="s">
        <v>369</v>
      </c>
      <c r="F75" s="4">
        <f>HLOOKUP($E$4,'5. Bilan'!$F$3:$BF$226,70,0)</f>
        <v>254000</v>
      </c>
    </row>
    <row r="76" spans="2:6" x14ac:dyDescent="0.3">
      <c r="D76">
        <v>1404</v>
      </c>
      <c r="E76" t="s">
        <v>370</v>
      </c>
      <c r="F76" s="4">
        <f>HLOOKUP($E$4,'5. Bilan'!$F$3:$BF$226,71,0)</f>
        <v>1180000</v>
      </c>
    </row>
    <row r="77" spans="2:6" x14ac:dyDescent="0.3">
      <c r="D77">
        <v>1405</v>
      </c>
      <c r="E77" t="s">
        <v>371</v>
      </c>
      <c r="F77" s="4">
        <f>HLOOKUP($E$4,'5. Bilan'!$F$3:$BF$226,72,0)</f>
        <v>1211010</v>
      </c>
    </row>
    <row r="78" spans="2:6" x14ac:dyDescent="0.3">
      <c r="D78">
        <v>1406</v>
      </c>
      <c r="E78" t="s">
        <v>372</v>
      </c>
      <c r="F78" s="4">
        <f>HLOOKUP($E$4,'5. Bilan'!$F$3:$BF$226,73,0)</f>
        <v>3</v>
      </c>
    </row>
    <row r="79" spans="2:6" x14ac:dyDescent="0.3">
      <c r="D79">
        <v>1407</v>
      </c>
      <c r="E79" t="s">
        <v>373</v>
      </c>
      <c r="F79" s="4">
        <f>HLOOKUP($E$4,'5. Bilan'!$F$3:$BF$226,74,0)</f>
        <v>0</v>
      </c>
    </row>
    <row r="80" spans="2:6" x14ac:dyDescent="0.3">
      <c r="D80">
        <v>1409</v>
      </c>
      <c r="E80" t="s">
        <v>374</v>
      </c>
      <c r="F80" s="4">
        <f>HLOOKUP($E$4,'5. Bilan'!$F$3:$BF$226,75,0)</f>
        <v>0</v>
      </c>
    </row>
    <row r="81" spans="3:6" x14ac:dyDescent="0.3">
      <c r="F81" s="4"/>
    </row>
    <row r="82" spans="3:6" x14ac:dyDescent="0.3">
      <c r="C82" s="69">
        <v>142</v>
      </c>
      <c r="D82" s="69"/>
      <c r="E82" s="69" t="s">
        <v>594</v>
      </c>
      <c r="F82" s="70">
        <f>SUM(F83:F86)</f>
        <v>1219.6500000000001</v>
      </c>
    </row>
    <row r="83" spans="3:6" x14ac:dyDescent="0.3">
      <c r="D83" s="79">
        <v>1420</v>
      </c>
      <c r="E83" s="79" t="s">
        <v>375</v>
      </c>
      <c r="F83" s="4">
        <f>HLOOKUP($E$4,'5. Bilan'!$F$3:$BF$226,78,0)</f>
        <v>0</v>
      </c>
    </row>
    <row r="84" spans="3:6" x14ac:dyDescent="0.3">
      <c r="D84" s="79">
        <v>1421</v>
      </c>
      <c r="E84" s="79" t="s">
        <v>376</v>
      </c>
      <c r="F84" s="4">
        <f>HLOOKUP($E$4,'5. Bilan'!$F$3:$BF$226,79,0)</f>
        <v>0</v>
      </c>
    </row>
    <row r="85" spans="3:6" x14ac:dyDescent="0.3">
      <c r="D85" s="79">
        <v>1427</v>
      </c>
      <c r="E85" s="79" t="s">
        <v>593</v>
      </c>
      <c r="F85" s="4">
        <f>HLOOKUP($E$4,'5. Bilan'!$F$3:$BF$226,80,0)</f>
        <v>1219.6500000000001</v>
      </c>
    </row>
    <row r="86" spans="3:6" x14ac:dyDescent="0.3">
      <c r="D86" s="79">
        <v>1429</v>
      </c>
      <c r="E86" s="79" t="s">
        <v>476</v>
      </c>
      <c r="F86" s="4">
        <f>HLOOKUP($E$4,'5. Bilan'!$F$3:$BF$226,81,0)</f>
        <v>0</v>
      </c>
    </row>
    <row r="87" spans="3:6" x14ac:dyDescent="0.3">
      <c r="F87" s="4"/>
    </row>
    <row r="88" spans="3:6" x14ac:dyDescent="0.3">
      <c r="C88" s="69">
        <v>144</v>
      </c>
      <c r="D88" s="69"/>
      <c r="E88" s="69" t="s">
        <v>257</v>
      </c>
      <c r="F88" s="70">
        <f>SUM(F89:F97)</f>
        <v>22500</v>
      </c>
    </row>
    <row r="89" spans="3:6" x14ac:dyDescent="0.3">
      <c r="D89">
        <v>1440</v>
      </c>
      <c r="E89" t="s">
        <v>377</v>
      </c>
      <c r="F89" s="4">
        <f>HLOOKUP($E$4,'5. Bilan'!$F$3:$BF$226,84,0)</f>
        <v>0</v>
      </c>
    </row>
    <row r="90" spans="3:6" x14ac:dyDescent="0.3">
      <c r="D90">
        <v>1441</v>
      </c>
      <c r="E90" t="s">
        <v>379</v>
      </c>
      <c r="F90" s="4">
        <f>HLOOKUP($E$4,'5. Bilan'!$F$3:$BF$226,85,0)</f>
        <v>0</v>
      </c>
    </row>
    <row r="91" spans="3:6" x14ac:dyDescent="0.3">
      <c r="D91">
        <v>1442</v>
      </c>
      <c r="E91" t="s">
        <v>378</v>
      </c>
      <c r="F91" s="4">
        <f>HLOOKUP($E$4,'5. Bilan'!$F$3:$BF$226,86,0)</f>
        <v>22500</v>
      </c>
    </row>
    <row r="92" spans="3:6" x14ac:dyDescent="0.3">
      <c r="D92">
        <v>1443</v>
      </c>
      <c r="E92" t="s">
        <v>380</v>
      </c>
      <c r="F92" s="4">
        <f>HLOOKUP($E$4,'5. Bilan'!$F$3:$BF$226,87,0)</f>
        <v>0</v>
      </c>
    </row>
    <row r="93" spans="3:6" x14ac:dyDescent="0.3">
      <c r="D93">
        <v>1444</v>
      </c>
      <c r="E93" t="s">
        <v>381</v>
      </c>
      <c r="F93" s="4">
        <f>HLOOKUP($E$4,'5. Bilan'!$F$3:$BF$226,88,0)</f>
        <v>0</v>
      </c>
    </row>
    <row r="94" spans="3:6" x14ac:dyDescent="0.3">
      <c r="D94">
        <v>1445</v>
      </c>
      <c r="E94" t="s">
        <v>382</v>
      </c>
      <c r="F94" s="4">
        <f>HLOOKUP($E$4,'5. Bilan'!$F$3:$BF$226,89,0)</f>
        <v>0</v>
      </c>
    </row>
    <row r="95" spans="3:6" x14ac:dyDescent="0.3">
      <c r="D95">
        <v>1446</v>
      </c>
      <c r="E95" t="s">
        <v>383</v>
      </c>
      <c r="F95" s="4">
        <f>HLOOKUP($E$4,'5. Bilan'!$F$3:$BF$226,90,0)</f>
        <v>0</v>
      </c>
    </row>
    <row r="96" spans="3:6" x14ac:dyDescent="0.3">
      <c r="D96">
        <v>1447</v>
      </c>
      <c r="E96" t="s">
        <v>384</v>
      </c>
      <c r="F96" s="4">
        <f>HLOOKUP($E$4,'5. Bilan'!$F$3:$BF$226,91,0)</f>
        <v>0</v>
      </c>
    </row>
    <row r="97" spans="3:6" x14ac:dyDescent="0.3">
      <c r="D97">
        <v>1448</v>
      </c>
      <c r="E97" t="s">
        <v>385</v>
      </c>
      <c r="F97" s="4">
        <f>HLOOKUP($E$4,'5. Bilan'!$F$3:$BF$226,92,0)</f>
        <v>0</v>
      </c>
    </row>
    <row r="98" spans="3:6" x14ac:dyDescent="0.3">
      <c r="F98" s="4"/>
    </row>
    <row r="99" spans="3:6" x14ac:dyDescent="0.3">
      <c r="C99" s="69">
        <v>145</v>
      </c>
      <c r="D99" s="69"/>
      <c r="E99" s="69" t="s">
        <v>388</v>
      </c>
      <c r="F99" s="70">
        <f>SUM(F100:F108)</f>
        <v>0</v>
      </c>
    </row>
    <row r="100" spans="3:6" x14ac:dyDescent="0.3">
      <c r="D100">
        <v>1450</v>
      </c>
      <c r="E100" t="s">
        <v>387</v>
      </c>
      <c r="F100" s="4">
        <f>HLOOKUP($E$4,'5. Bilan'!$F$3:$BF$226,95,0)</f>
        <v>0</v>
      </c>
    </row>
    <row r="101" spans="3:6" x14ac:dyDescent="0.3">
      <c r="D101">
        <v>1451</v>
      </c>
      <c r="E101" t="s">
        <v>386</v>
      </c>
      <c r="F101" s="4">
        <f>HLOOKUP($E$4,'5. Bilan'!$F$3:$BF$226,96,0)</f>
        <v>0</v>
      </c>
    </row>
    <row r="102" spans="3:6" x14ac:dyDescent="0.3">
      <c r="D102">
        <v>1452</v>
      </c>
      <c r="E102" t="s">
        <v>389</v>
      </c>
      <c r="F102" s="4">
        <f>HLOOKUP($E$4,'5. Bilan'!$F$3:$BF$226,97,0)</f>
        <v>0</v>
      </c>
    </row>
    <row r="103" spans="3:6" x14ac:dyDescent="0.3">
      <c r="D103">
        <v>1453</v>
      </c>
      <c r="E103" t="s">
        <v>390</v>
      </c>
      <c r="F103" s="4">
        <f>HLOOKUP($E$4,'5. Bilan'!$F$3:$BF$226,98,0)</f>
        <v>0</v>
      </c>
    </row>
    <row r="104" spans="3:6" x14ac:dyDescent="0.3">
      <c r="D104">
        <v>1454</v>
      </c>
      <c r="E104" t="s">
        <v>391</v>
      </c>
      <c r="F104" s="4">
        <f>HLOOKUP($E$4,'5. Bilan'!$F$3:$BF$226,99,0)</f>
        <v>0</v>
      </c>
    </row>
    <row r="105" spans="3:6" x14ac:dyDescent="0.3">
      <c r="D105">
        <v>1455</v>
      </c>
      <c r="E105" t="s">
        <v>392</v>
      </c>
      <c r="F105" s="4">
        <f>HLOOKUP($E$4,'5. Bilan'!$F$3:$BF$226,100,0)</f>
        <v>0</v>
      </c>
    </row>
    <row r="106" spans="3:6" x14ac:dyDescent="0.3">
      <c r="D106">
        <v>1456</v>
      </c>
      <c r="E106" t="s">
        <v>393</v>
      </c>
      <c r="F106" s="4">
        <f>HLOOKUP($E$4,'5. Bilan'!$F$3:$BF$226,101,0)</f>
        <v>0</v>
      </c>
    </row>
    <row r="107" spans="3:6" x14ac:dyDescent="0.3">
      <c r="D107">
        <v>1457</v>
      </c>
      <c r="E107" t="s">
        <v>394</v>
      </c>
      <c r="F107" s="4">
        <f>HLOOKUP($E$4,'5. Bilan'!$F$3:$BF$226,102,0)</f>
        <v>0</v>
      </c>
    </row>
    <row r="108" spans="3:6" x14ac:dyDescent="0.3">
      <c r="D108">
        <v>1458</v>
      </c>
      <c r="E108" t="s">
        <v>395</v>
      </c>
      <c r="F108" s="4">
        <f>HLOOKUP($E$4,'5. Bilan'!$F$3:$BF$226,103,0)</f>
        <v>0</v>
      </c>
    </row>
    <row r="109" spans="3:6" x14ac:dyDescent="0.3">
      <c r="F109" s="4"/>
    </row>
    <row r="110" spans="3:6" x14ac:dyDescent="0.3">
      <c r="C110" s="69">
        <v>146</v>
      </c>
      <c r="D110" s="69"/>
      <c r="E110" s="69" t="s">
        <v>406</v>
      </c>
      <c r="F110" s="70">
        <f>SUM(F111:F120)</f>
        <v>0</v>
      </c>
    </row>
    <row r="111" spans="3:6" x14ac:dyDescent="0.3">
      <c r="D111">
        <v>1460</v>
      </c>
      <c r="E111" t="s">
        <v>403</v>
      </c>
      <c r="F111" s="4">
        <f>HLOOKUP($E$4,'5. Bilan'!$F$3:$BF$226,106,0)</f>
        <v>0</v>
      </c>
    </row>
    <row r="112" spans="3:6" x14ac:dyDescent="0.3">
      <c r="D112">
        <v>1461</v>
      </c>
      <c r="E112" t="s">
        <v>404</v>
      </c>
      <c r="F112" s="4">
        <f>HLOOKUP($E$4,'5. Bilan'!$F$3:$BF$226,107,0)</f>
        <v>0</v>
      </c>
    </row>
    <row r="113" spans="1:6" x14ac:dyDescent="0.3">
      <c r="D113">
        <v>1462</v>
      </c>
      <c r="E113" t="s">
        <v>396</v>
      </c>
      <c r="F113" s="4">
        <f>HLOOKUP($E$4,'5. Bilan'!$F$3:$BF$226,108,0)</f>
        <v>0</v>
      </c>
    </row>
    <row r="114" spans="1:6" x14ac:dyDescent="0.3">
      <c r="D114">
        <v>1463</v>
      </c>
      <c r="E114" t="s">
        <v>397</v>
      </c>
      <c r="F114" s="4">
        <f>HLOOKUP($E$4,'5. Bilan'!$F$3:$BF$226,109,0)</f>
        <v>0</v>
      </c>
    </row>
    <row r="115" spans="1:6" x14ac:dyDescent="0.3">
      <c r="D115">
        <v>1464</v>
      </c>
      <c r="E115" t="s">
        <v>398</v>
      </c>
      <c r="F115" s="4">
        <f>HLOOKUP($E$4,'5. Bilan'!$F$3:$BF$226,110,0)</f>
        <v>0</v>
      </c>
    </row>
    <row r="116" spans="1:6" x14ac:dyDescent="0.3">
      <c r="D116">
        <v>1465</v>
      </c>
      <c r="E116" t="s">
        <v>399</v>
      </c>
      <c r="F116" s="4">
        <f>HLOOKUP($E$4,'5. Bilan'!$F$3:$BF$226,111,0)</f>
        <v>0</v>
      </c>
    </row>
    <row r="117" spans="1:6" x14ac:dyDescent="0.3">
      <c r="D117">
        <v>1466</v>
      </c>
      <c r="E117" t="s">
        <v>405</v>
      </c>
      <c r="F117" s="4">
        <f>HLOOKUP($E$4,'5. Bilan'!$F$3:$BF$226,112,0)</f>
        <v>0</v>
      </c>
    </row>
    <row r="118" spans="1:6" x14ac:dyDescent="0.3">
      <c r="D118">
        <v>1467</v>
      </c>
      <c r="E118" t="s">
        <v>400</v>
      </c>
      <c r="F118" s="4">
        <f>HLOOKUP($E$4,'5. Bilan'!$F$3:$BF$226,113,0)</f>
        <v>0</v>
      </c>
    </row>
    <row r="119" spans="1:6" x14ac:dyDescent="0.3">
      <c r="D119">
        <v>1468</v>
      </c>
      <c r="E119" t="s">
        <v>401</v>
      </c>
      <c r="F119" s="4">
        <f>HLOOKUP($E$4,'5. Bilan'!$F$3:$BF$226,114,0)</f>
        <v>0</v>
      </c>
    </row>
    <row r="120" spans="1:6" x14ac:dyDescent="0.3">
      <c r="D120">
        <v>1469</v>
      </c>
      <c r="E120" t="s">
        <v>402</v>
      </c>
      <c r="F120" s="4">
        <f>HLOOKUP($E$4,'5. Bilan'!$F$3:$BF$226,115,0)</f>
        <v>0</v>
      </c>
    </row>
    <row r="121" spans="1:6" x14ac:dyDescent="0.3">
      <c r="F121" s="4"/>
    </row>
    <row r="122" spans="1:6" x14ac:dyDescent="0.3">
      <c r="F122" s="4"/>
    </row>
    <row r="123" spans="1:6" ht="21" x14ac:dyDescent="0.4">
      <c r="A123" s="81">
        <v>2</v>
      </c>
      <c r="B123" s="81"/>
      <c r="C123" s="81"/>
      <c r="D123" s="81"/>
      <c r="E123" s="81" t="s">
        <v>258</v>
      </c>
      <c r="F123" s="177">
        <f>HLOOKUP($E$4,'5. Bilan'!$F$3:$BF$226,118,0)</f>
        <v>6103718.5499999998</v>
      </c>
    </row>
    <row r="124" spans="1:6" x14ac:dyDescent="0.3">
      <c r="A124" s="7"/>
      <c r="B124" s="85">
        <v>20</v>
      </c>
      <c r="C124" s="85"/>
      <c r="D124" s="85"/>
      <c r="E124" s="85" t="s">
        <v>259</v>
      </c>
      <c r="F124" s="86">
        <f>HLOOKUP($E$4,'5. Bilan'!$F$3:$BF$226,119,0)</f>
        <v>4724519.8</v>
      </c>
    </row>
    <row r="125" spans="1:6" x14ac:dyDescent="0.3">
      <c r="C125" s="83">
        <v>200</v>
      </c>
      <c r="D125" s="83"/>
      <c r="E125" s="83" t="s">
        <v>260</v>
      </c>
      <c r="F125" s="84">
        <f>SUM(F126:F133)</f>
        <v>403308.85</v>
      </c>
    </row>
    <row r="126" spans="1:6" x14ac:dyDescent="0.3">
      <c r="D126">
        <v>2000</v>
      </c>
      <c r="E126" t="s">
        <v>407</v>
      </c>
      <c r="F126" s="4">
        <f>HLOOKUP($E$4,'5. Bilan'!$F$3:$BF$226,121,0)</f>
        <v>89314.75</v>
      </c>
    </row>
    <row r="127" spans="1:6" x14ac:dyDescent="0.3">
      <c r="D127">
        <v>2001</v>
      </c>
      <c r="E127" t="s">
        <v>408</v>
      </c>
      <c r="F127" s="4">
        <f>HLOOKUP($E$4,'5. Bilan'!$F$3:$BF$226,122,0)</f>
        <v>0</v>
      </c>
    </row>
    <row r="128" spans="1:6" x14ac:dyDescent="0.3">
      <c r="D128">
        <v>2002</v>
      </c>
      <c r="E128" t="s">
        <v>409</v>
      </c>
      <c r="F128" s="4">
        <f>HLOOKUP($E$4,'5. Bilan'!$F$3:$BF$226,123,0)</f>
        <v>10011.950000000001</v>
      </c>
    </row>
    <row r="129" spans="3:6" x14ac:dyDescent="0.3">
      <c r="D129">
        <v>2003</v>
      </c>
      <c r="E129" t="s">
        <v>410</v>
      </c>
      <c r="F129" s="4">
        <f>HLOOKUP($E$4,'5. Bilan'!$F$3:$BF$226,124,0)</f>
        <v>0</v>
      </c>
    </row>
    <row r="130" spans="3:6" x14ac:dyDescent="0.3">
      <c r="D130">
        <v>2004</v>
      </c>
      <c r="E130" t="s">
        <v>411</v>
      </c>
      <c r="F130" s="4">
        <f>HLOOKUP($E$4,'5. Bilan'!$F$3:$BF$226,125,0)</f>
        <v>103552</v>
      </c>
    </row>
    <row r="131" spans="3:6" x14ac:dyDescent="0.3">
      <c r="D131">
        <v>2005</v>
      </c>
      <c r="E131" t="s">
        <v>332</v>
      </c>
      <c r="F131" s="4">
        <f>HLOOKUP($E$4,'5. Bilan'!$F$3:$BF$226,126,0)</f>
        <v>200430.15</v>
      </c>
    </row>
    <row r="132" spans="3:6" x14ac:dyDescent="0.3">
      <c r="D132">
        <v>2006</v>
      </c>
      <c r="E132" t="s">
        <v>456</v>
      </c>
      <c r="F132" s="4">
        <f>HLOOKUP($E$4,'5. Bilan'!$F$3:$BF$226,127,0)</f>
        <v>0</v>
      </c>
    </row>
    <row r="133" spans="3:6" x14ac:dyDescent="0.3">
      <c r="D133">
        <v>2009</v>
      </c>
      <c r="E133" t="s">
        <v>413</v>
      </c>
      <c r="F133" s="4">
        <f>HLOOKUP($E$4,'5. Bilan'!$F$3:$BF$226,128,0)</f>
        <v>0</v>
      </c>
    </row>
    <row r="134" spans="3:6" x14ac:dyDescent="0.3">
      <c r="F134" s="4"/>
    </row>
    <row r="135" spans="3:6" x14ac:dyDescent="0.3">
      <c r="C135" s="83">
        <v>201</v>
      </c>
      <c r="D135" s="83"/>
      <c r="E135" s="83" t="s">
        <v>261</v>
      </c>
      <c r="F135" s="84">
        <f>SUM(F136:F143)</f>
        <v>150426</v>
      </c>
    </row>
    <row r="136" spans="3:6" x14ac:dyDescent="0.3">
      <c r="D136">
        <v>2010</v>
      </c>
      <c r="E136" t="s">
        <v>414</v>
      </c>
      <c r="F136" s="4">
        <f>HLOOKUP($E$4,'5. Bilan'!$F$3:$BF$226,131,0)</f>
        <v>1341</v>
      </c>
    </row>
    <row r="137" spans="3:6" x14ac:dyDescent="0.3">
      <c r="D137">
        <v>2011</v>
      </c>
      <c r="E137" t="s">
        <v>415</v>
      </c>
      <c r="F137" s="4">
        <f>HLOOKUP($E$4,'5. Bilan'!$F$3:$BF$226,132,0)</f>
        <v>0</v>
      </c>
    </row>
    <row r="138" spans="3:6" x14ac:dyDescent="0.3">
      <c r="D138">
        <v>2012</v>
      </c>
      <c r="E138" t="s">
        <v>416</v>
      </c>
      <c r="F138" s="4">
        <f>HLOOKUP($E$4,'5. Bilan'!$F$3:$BF$226,133,0)</f>
        <v>0</v>
      </c>
    </row>
    <row r="139" spans="3:6" x14ac:dyDescent="0.3">
      <c r="D139">
        <v>2013</v>
      </c>
      <c r="E139" t="s">
        <v>417</v>
      </c>
      <c r="F139" s="4">
        <f>HLOOKUP($E$4,'5. Bilan'!$F$3:$BF$226,134,0)</f>
        <v>0</v>
      </c>
    </row>
    <row r="140" spans="3:6" x14ac:dyDescent="0.3">
      <c r="D140">
        <v>2014</v>
      </c>
      <c r="E140" t="s">
        <v>419</v>
      </c>
      <c r="F140" s="4">
        <f>HLOOKUP($E$4,'5. Bilan'!$F$3:$BF$226,135,0)</f>
        <v>149085</v>
      </c>
    </row>
    <row r="141" spans="3:6" x14ac:dyDescent="0.3">
      <c r="D141">
        <v>2015</v>
      </c>
      <c r="E141" t="s">
        <v>418</v>
      </c>
      <c r="F141" s="4">
        <f>HLOOKUP($E$4,'5. Bilan'!$F$3:$BF$226,136,0)</f>
        <v>0</v>
      </c>
    </row>
    <row r="142" spans="3:6" x14ac:dyDescent="0.3">
      <c r="D142">
        <v>2016</v>
      </c>
      <c r="E142" t="s">
        <v>276</v>
      </c>
      <c r="F142" s="4">
        <f>HLOOKUP($E$4,'5. Bilan'!$F$3:$BF$226,137,0)</f>
        <v>0</v>
      </c>
    </row>
    <row r="143" spans="3:6" x14ac:dyDescent="0.3">
      <c r="D143">
        <v>2019</v>
      </c>
      <c r="E143" t="s">
        <v>420</v>
      </c>
      <c r="F143" s="4">
        <f>HLOOKUP($E$4,'5. Bilan'!$F$3:$BF$226,138,0)</f>
        <v>0</v>
      </c>
    </row>
    <row r="144" spans="3:6" x14ac:dyDescent="0.3">
      <c r="F144" s="4"/>
    </row>
    <row r="145" spans="3:6" x14ac:dyDescent="0.3">
      <c r="C145" s="83">
        <v>204</v>
      </c>
      <c r="D145" s="83"/>
      <c r="E145" s="83" t="s">
        <v>262</v>
      </c>
      <c r="F145" s="84">
        <f>SUM(F146:F153)</f>
        <v>296463</v>
      </c>
    </row>
    <row r="146" spans="3:6" x14ac:dyDescent="0.3">
      <c r="D146">
        <v>2040</v>
      </c>
      <c r="E146" t="s">
        <v>61</v>
      </c>
      <c r="F146" s="4">
        <f>HLOOKUP($E$4,'5. Bilan'!$F$3:$BF$226,141,0)</f>
        <v>0</v>
      </c>
    </row>
    <row r="147" spans="3:6" x14ac:dyDescent="0.3">
      <c r="D147">
        <v>2041</v>
      </c>
      <c r="E147" t="s">
        <v>284</v>
      </c>
      <c r="F147" s="4">
        <f>HLOOKUP($E$4,'5. Bilan'!$F$3:$BF$226,142,0)</f>
        <v>71826.45</v>
      </c>
    </row>
    <row r="148" spans="3:6" x14ac:dyDescent="0.3">
      <c r="D148">
        <v>2042</v>
      </c>
      <c r="E148" t="s">
        <v>340</v>
      </c>
      <c r="F148" s="4">
        <f>HLOOKUP($E$4,'5. Bilan'!$F$3:$BF$226,143,0)</f>
        <v>0</v>
      </c>
    </row>
    <row r="149" spans="3:6" x14ac:dyDescent="0.3">
      <c r="D149">
        <v>2043</v>
      </c>
      <c r="E149" t="s">
        <v>341</v>
      </c>
      <c r="F149" s="4">
        <f>HLOOKUP($E$4,'5. Bilan'!$F$3:$BF$226,144,0)</f>
        <v>224636.55</v>
      </c>
    </row>
    <row r="150" spans="3:6" x14ac:dyDescent="0.3">
      <c r="D150">
        <v>2044</v>
      </c>
      <c r="E150" t="s">
        <v>421</v>
      </c>
      <c r="F150" s="4">
        <f>HLOOKUP($E$4,'5. Bilan'!$F$3:$BF$226,145,0)</f>
        <v>0</v>
      </c>
    </row>
    <row r="151" spans="3:6" x14ac:dyDescent="0.3">
      <c r="D151">
        <v>2045</v>
      </c>
      <c r="E151" t="s">
        <v>343</v>
      </c>
      <c r="F151" s="4">
        <f>HLOOKUP($E$4,'5. Bilan'!$F$3:$BF$226,146,0)</f>
        <v>0</v>
      </c>
    </row>
    <row r="152" spans="3:6" x14ac:dyDescent="0.3">
      <c r="D152">
        <v>2046</v>
      </c>
      <c r="E152" t="s">
        <v>422</v>
      </c>
      <c r="F152" s="4">
        <f>HLOOKUP($E$4,'5. Bilan'!$F$3:$BF$226,147,0)</f>
        <v>0</v>
      </c>
    </row>
    <row r="153" spans="3:6" x14ac:dyDescent="0.3">
      <c r="D153">
        <v>2049</v>
      </c>
      <c r="E153" t="s">
        <v>423</v>
      </c>
      <c r="F153" s="4">
        <f>HLOOKUP($E$4,'5. Bilan'!$F$3:$BF$226,148,0)</f>
        <v>0</v>
      </c>
    </row>
    <row r="154" spans="3:6" x14ac:dyDescent="0.3">
      <c r="F154" s="4"/>
    </row>
    <row r="155" spans="3:6" x14ac:dyDescent="0.3">
      <c r="C155" s="83">
        <v>205</v>
      </c>
      <c r="D155" s="83"/>
      <c r="E155" s="83" t="s">
        <v>263</v>
      </c>
      <c r="F155" s="84">
        <f>SUM(F156:F165)</f>
        <v>0</v>
      </c>
    </row>
    <row r="156" spans="3:6" x14ac:dyDescent="0.3">
      <c r="D156">
        <v>2050</v>
      </c>
      <c r="E156" t="s">
        <v>424</v>
      </c>
      <c r="F156" s="4">
        <f>HLOOKUP($E$4,'5. Bilan'!$F$3:$BF$226,151,0)</f>
        <v>0</v>
      </c>
    </row>
    <row r="157" spans="3:6" x14ac:dyDescent="0.3">
      <c r="D157">
        <v>2051</v>
      </c>
      <c r="E157" t="s">
        <v>425</v>
      </c>
      <c r="F157" s="4">
        <f>HLOOKUP($E$4,'5. Bilan'!$F$3:$BF$226,152,0)</f>
        <v>0</v>
      </c>
    </row>
    <row r="158" spans="3:6" x14ac:dyDescent="0.3">
      <c r="D158">
        <v>2052</v>
      </c>
      <c r="E158" t="s">
        <v>426</v>
      </c>
      <c r="F158" s="4">
        <f>HLOOKUP($E$4,'5. Bilan'!$F$3:$BF$226,153,0)</f>
        <v>0</v>
      </c>
    </row>
    <row r="159" spans="3:6" x14ac:dyDescent="0.3">
      <c r="D159">
        <v>2053</v>
      </c>
      <c r="E159" t="s">
        <v>430</v>
      </c>
      <c r="F159" s="4">
        <f>HLOOKUP($E$4,'5. Bilan'!$F$3:$BF$226,154,0)</f>
        <v>0</v>
      </c>
    </row>
    <row r="160" spans="3:6" x14ac:dyDescent="0.3">
      <c r="D160">
        <v>2054</v>
      </c>
      <c r="E160" t="s">
        <v>428</v>
      </c>
      <c r="F160" s="4">
        <f>HLOOKUP($E$4,'5. Bilan'!$F$3:$BF$226,155,0)</f>
        <v>0</v>
      </c>
    </row>
    <row r="161" spans="3:6" x14ac:dyDescent="0.3">
      <c r="D161">
        <v>2055</v>
      </c>
      <c r="E161" t="s">
        <v>427</v>
      </c>
      <c r="F161" s="4">
        <f>HLOOKUP($E$4,'5. Bilan'!$F$3:$BF$226,156,0)</f>
        <v>0</v>
      </c>
    </row>
    <row r="162" spans="3:6" x14ac:dyDescent="0.3">
      <c r="D162">
        <v>2056</v>
      </c>
      <c r="E162" t="s">
        <v>429</v>
      </c>
      <c r="F162" s="4">
        <f>HLOOKUP($E$4,'5. Bilan'!$F$3:$BF$226,157,0)</f>
        <v>0</v>
      </c>
    </row>
    <row r="163" spans="3:6" x14ac:dyDescent="0.3">
      <c r="D163">
        <v>2057</v>
      </c>
      <c r="E163" t="s">
        <v>431</v>
      </c>
      <c r="F163" s="4">
        <f>HLOOKUP($E$4,'5. Bilan'!$F$3:$BF$226,158,0)</f>
        <v>0</v>
      </c>
    </row>
    <row r="164" spans="3:6" x14ac:dyDescent="0.3">
      <c r="D164">
        <v>2058</v>
      </c>
      <c r="E164" t="s">
        <v>432</v>
      </c>
      <c r="F164" s="4">
        <f>HLOOKUP($E$4,'5. Bilan'!$F$3:$BF$226,159,0)</f>
        <v>0</v>
      </c>
    </row>
    <row r="165" spans="3:6" x14ac:dyDescent="0.3">
      <c r="D165">
        <v>2059</v>
      </c>
      <c r="E165" t="s">
        <v>433</v>
      </c>
      <c r="F165" s="4">
        <f>HLOOKUP($E$4,'5. Bilan'!$F$3:$BF$226,160,0)</f>
        <v>0</v>
      </c>
    </row>
    <row r="166" spans="3:6" x14ac:dyDescent="0.3">
      <c r="F166" s="4"/>
    </row>
    <row r="167" spans="3:6" x14ac:dyDescent="0.3">
      <c r="C167" s="83">
        <v>206</v>
      </c>
      <c r="D167" s="83"/>
      <c r="E167" s="83" t="s">
        <v>264</v>
      </c>
      <c r="F167" s="84">
        <f>SUM(F168:F173)</f>
        <v>3874321.95</v>
      </c>
    </row>
    <row r="168" spans="3:6" x14ac:dyDescent="0.3">
      <c r="D168">
        <v>2060</v>
      </c>
      <c r="E168" t="s">
        <v>434</v>
      </c>
      <c r="F168" s="4">
        <f>HLOOKUP($E$4,'5. Bilan'!$F$3:$BF$226,163,0)</f>
        <v>0</v>
      </c>
    </row>
    <row r="169" spans="3:6" x14ac:dyDescent="0.3">
      <c r="D169">
        <v>2062</v>
      </c>
      <c r="E169" t="s">
        <v>435</v>
      </c>
      <c r="F169" s="4">
        <f>HLOOKUP($E$4,'5. Bilan'!$F$3:$BF$226,164,0)</f>
        <v>0</v>
      </c>
    </row>
    <row r="170" spans="3:6" x14ac:dyDescent="0.3">
      <c r="D170">
        <v>2063</v>
      </c>
      <c r="E170" t="s">
        <v>436</v>
      </c>
      <c r="F170" s="4">
        <f>HLOOKUP($E$4,'5. Bilan'!$F$3:$BF$226,165,0)</f>
        <v>3874321.95</v>
      </c>
    </row>
    <row r="171" spans="3:6" x14ac:dyDescent="0.3">
      <c r="D171">
        <v>2064</v>
      </c>
      <c r="E171" t="s">
        <v>457</v>
      </c>
      <c r="F171" s="4">
        <f>HLOOKUP($E$4,'5. Bilan'!$F$3:$BF$226,166,0)</f>
        <v>0</v>
      </c>
    </row>
    <row r="172" spans="3:6" x14ac:dyDescent="0.3">
      <c r="D172">
        <v>2067</v>
      </c>
      <c r="E172" t="s">
        <v>438</v>
      </c>
      <c r="F172" s="4">
        <f>HLOOKUP($E$4,'5. Bilan'!$F$3:$BF$226,167,0)</f>
        <v>0</v>
      </c>
    </row>
    <row r="173" spans="3:6" x14ac:dyDescent="0.3">
      <c r="D173">
        <v>2069</v>
      </c>
      <c r="E173" t="s">
        <v>439</v>
      </c>
      <c r="F173" s="4">
        <f>HLOOKUP($E$4,'5. Bilan'!$F$3:$BF$226,168,0)</f>
        <v>0</v>
      </c>
    </row>
    <row r="174" spans="3:6" x14ac:dyDescent="0.3">
      <c r="F174" s="4"/>
    </row>
    <row r="175" spans="3:6" x14ac:dyDescent="0.3">
      <c r="C175" s="83">
        <v>208</v>
      </c>
      <c r="D175" s="83"/>
      <c r="E175" s="83" t="s">
        <v>265</v>
      </c>
      <c r="F175" s="84">
        <f>SUM(F176:F184)</f>
        <v>0</v>
      </c>
    </row>
    <row r="176" spans="3:6" x14ac:dyDescent="0.3">
      <c r="D176">
        <v>2081</v>
      </c>
      <c r="E176" t="s">
        <v>440</v>
      </c>
      <c r="F176" s="4">
        <f>HLOOKUP($E$4,'5. Bilan'!$F$3:$BF$226,171,0)</f>
        <v>0</v>
      </c>
    </row>
    <row r="177" spans="2:6" x14ac:dyDescent="0.3">
      <c r="D177">
        <v>2082</v>
      </c>
      <c r="E177" t="s">
        <v>441</v>
      </c>
      <c r="F177" s="4">
        <f>HLOOKUP($E$4,'5. Bilan'!$F$3:$BF$226,172,0)</f>
        <v>0</v>
      </c>
    </row>
    <row r="178" spans="2:6" x14ac:dyDescent="0.3">
      <c r="D178">
        <v>2083</v>
      </c>
      <c r="E178" t="s">
        <v>442</v>
      </c>
      <c r="F178" s="4">
        <f>HLOOKUP($E$4,'5. Bilan'!$F$3:$BF$226,173,0)</f>
        <v>0</v>
      </c>
    </row>
    <row r="179" spans="2:6" x14ac:dyDescent="0.3">
      <c r="D179">
        <v>2084</v>
      </c>
      <c r="E179" t="s">
        <v>443</v>
      </c>
      <c r="F179" s="4">
        <f>HLOOKUP($E$4,'5. Bilan'!$F$3:$BF$226,174,0)</f>
        <v>0</v>
      </c>
    </row>
    <row r="180" spans="2:6" x14ac:dyDescent="0.3">
      <c r="D180">
        <v>2085</v>
      </c>
      <c r="E180" t="s">
        <v>445</v>
      </c>
      <c r="F180" s="4">
        <f>HLOOKUP($E$4,'5. Bilan'!$F$3:$BF$226,175,0)</f>
        <v>0</v>
      </c>
    </row>
    <row r="181" spans="2:6" x14ac:dyDescent="0.3">
      <c r="D181">
        <v>2086</v>
      </c>
      <c r="E181" t="s">
        <v>444</v>
      </c>
      <c r="F181" s="4">
        <f>HLOOKUP($E$4,'5. Bilan'!$F$3:$BF$226,176,0)</f>
        <v>0</v>
      </c>
    </row>
    <row r="182" spans="2:6" x14ac:dyDescent="0.3">
      <c r="D182">
        <v>2087</v>
      </c>
      <c r="E182" t="s">
        <v>446</v>
      </c>
      <c r="F182" s="4">
        <f>HLOOKUP($E$4,'5. Bilan'!$F$3:$BF$226,177,0)</f>
        <v>0</v>
      </c>
    </row>
    <row r="183" spans="2:6" x14ac:dyDescent="0.3">
      <c r="D183">
        <v>2088</v>
      </c>
      <c r="E183" t="s">
        <v>447</v>
      </c>
      <c r="F183" s="4">
        <f>HLOOKUP($E$4,'5. Bilan'!$F$3:$BF$226,178,0)</f>
        <v>0</v>
      </c>
    </row>
    <row r="184" spans="2:6" x14ac:dyDescent="0.3">
      <c r="D184">
        <v>2089</v>
      </c>
      <c r="E184" t="s">
        <v>448</v>
      </c>
      <c r="F184" s="4">
        <f>HLOOKUP($E$4,'5. Bilan'!$F$3:$BF$226,179,0)</f>
        <v>0</v>
      </c>
    </row>
    <row r="185" spans="2:6" x14ac:dyDescent="0.3">
      <c r="F185" s="4"/>
    </row>
    <row r="186" spans="2:6" x14ac:dyDescent="0.3">
      <c r="C186" s="83">
        <v>209</v>
      </c>
      <c r="D186" s="83"/>
      <c r="E186" s="83" t="s">
        <v>266</v>
      </c>
      <c r="F186" s="84">
        <f>SUM(F187:F190)</f>
        <v>0</v>
      </c>
    </row>
    <row r="187" spans="2:6" x14ac:dyDescent="0.3">
      <c r="D187">
        <v>2090</v>
      </c>
      <c r="E187" t="s">
        <v>266</v>
      </c>
      <c r="F187" s="4">
        <f>HLOOKUP($E$4,'5. Bilan'!$F$3:$BF$226,182,0)</f>
        <v>0</v>
      </c>
    </row>
    <row r="188" spans="2:6" x14ac:dyDescent="0.3">
      <c r="D188">
        <v>2091</v>
      </c>
      <c r="E188" t="s">
        <v>449</v>
      </c>
      <c r="F188" s="4">
        <f>HLOOKUP($E$4,'5. Bilan'!$F$3:$BF$226,183,0)</f>
        <v>0</v>
      </c>
    </row>
    <row r="189" spans="2:6" x14ac:dyDescent="0.3">
      <c r="D189">
        <v>2092</v>
      </c>
      <c r="E189" t="s">
        <v>450</v>
      </c>
      <c r="F189" s="4">
        <f>HLOOKUP($E$4,'5. Bilan'!$F$3:$BF$226,184,0)</f>
        <v>0</v>
      </c>
    </row>
    <row r="190" spans="2:6" x14ac:dyDescent="0.3">
      <c r="D190">
        <v>2093</v>
      </c>
      <c r="E190" t="s">
        <v>451</v>
      </c>
      <c r="F190" s="4">
        <f>HLOOKUP($E$4,'5. Bilan'!$F$3:$BF$226,185,0)</f>
        <v>0</v>
      </c>
    </row>
    <row r="191" spans="2:6" x14ac:dyDescent="0.3">
      <c r="F191" s="4"/>
    </row>
    <row r="192" spans="2:6" x14ac:dyDescent="0.3">
      <c r="B192" s="85">
        <v>29</v>
      </c>
      <c r="C192" s="85"/>
      <c r="D192" s="85"/>
      <c r="E192" s="85" t="s">
        <v>267</v>
      </c>
      <c r="F192" s="86">
        <f>HLOOKUP($E$4,'5. Bilan'!$F$3:$BF$226,187,0)</f>
        <v>1379198.75</v>
      </c>
    </row>
    <row r="193" spans="3:6" x14ac:dyDescent="0.3">
      <c r="C193" s="83">
        <v>290</v>
      </c>
      <c r="D193" s="83"/>
      <c r="E193" s="83" t="s">
        <v>268</v>
      </c>
      <c r="F193" s="84">
        <f>SUM(F194)</f>
        <v>760054.2</v>
      </c>
    </row>
    <row r="194" spans="3:6" x14ac:dyDescent="0.3">
      <c r="D194">
        <v>2900</v>
      </c>
      <c r="E194" t="s">
        <v>268</v>
      </c>
      <c r="F194" s="4">
        <f>HLOOKUP($E$4,'5. Bilan'!$F$3:$BF$226,189,0)</f>
        <v>760054.2</v>
      </c>
    </row>
    <row r="195" spans="3:6" x14ac:dyDescent="0.3">
      <c r="F195" s="4"/>
    </row>
    <row r="196" spans="3:6" x14ac:dyDescent="0.3">
      <c r="C196" s="83">
        <v>291</v>
      </c>
      <c r="D196" s="83"/>
      <c r="E196" s="83" t="s">
        <v>269</v>
      </c>
      <c r="F196" s="84">
        <f>SUM(F197:F198)</f>
        <v>0</v>
      </c>
    </row>
    <row r="197" spans="3:6" x14ac:dyDescent="0.3">
      <c r="D197">
        <v>2910</v>
      </c>
      <c r="E197" t="s">
        <v>269</v>
      </c>
      <c r="F197" s="4">
        <f>HLOOKUP($E$4,'5. Bilan'!$F$3:$BF$226,192,0)</f>
        <v>0</v>
      </c>
    </row>
    <row r="198" spans="3:6" x14ac:dyDescent="0.3">
      <c r="D198">
        <v>2911</v>
      </c>
      <c r="E198" t="s">
        <v>452</v>
      </c>
      <c r="F198" s="4">
        <f>HLOOKUP($E$4,'5. Bilan'!$F$3:$BF$226,193,0)</f>
        <v>0</v>
      </c>
    </row>
    <row r="199" spans="3:6" x14ac:dyDescent="0.3">
      <c r="F199" s="4"/>
    </row>
    <row r="200" spans="3:6" x14ac:dyDescent="0.3">
      <c r="C200" s="83">
        <v>292</v>
      </c>
      <c r="D200" s="83"/>
      <c r="E200" s="83" t="s">
        <v>270</v>
      </c>
      <c r="F200" s="84">
        <f>SUM(F201)</f>
        <v>0</v>
      </c>
    </row>
    <row r="201" spans="3:6" x14ac:dyDescent="0.3">
      <c r="D201">
        <v>2920</v>
      </c>
      <c r="E201" t="s">
        <v>270</v>
      </c>
      <c r="F201" s="4">
        <f>HLOOKUP($E$4,'5. Bilan'!$F$3:$BF$226,196,0)</f>
        <v>0</v>
      </c>
    </row>
    <row r="202" spans="3:6" x14ac:dyDescent="0.3">
      <c r="F202" s="4"/>
    </row>
    <row r="203" spans="3:6" x14ac:dyDescent="0.3">
      <c r="C203" s="83">
        <v>293</v>
      </c>
      <c r="D203" s="83"/>
      <c r="E203" s="83" t="s">
        <v>271</v>
      </c>
      <c r="F203" s="84">
        <f>SUM(F204)</f>
        <v>0</v>
      </c>
    </row>
    <row r="204" spans="3:6" x14ac:dyDescent="0.3">
      <c r="D204">
        <v>2930</v>
      </c>
      <c r="E204" t="s">
        <v>271</v>
      </c>
      <c r="F204" s="4">
        <f>HLOOKUP($E$4,'5. Bilan'!$F$3:$BF$226,199,0)</f>
        <v>0</v>
      </c>
    </row>
    <row r="205" spans="3:6" x14ac:dyDescent="0.3">
      <c r="F205" s="4"/>
    </row>
    <row r="206" spans="3:6" x14ac:dyDescent="0.3">
      <c r="C206" s="83">
        <v>294</v>
      </c>
      <c r="D206" s="83"/>
      <c r="E206" s="83" t="s">
        <v>272</v>
      </c>
      <c r="F206" s="84">
        <f>SUM(F207)</f>
        <v>0</v>
      </c>
    </row>
    <row r="207" spans="3:6" x14ac:dyDescent="0.3">
      <c r="D207">
        <v>2940</v>
      </c>
      <c r="E207" t="s">
        <v>272</v>
      </c>
      <c r="F207" s="4">
        <f>HLOOKUP($E$4,'5. Bilan'!$F$3:$BF$226,202,0)</f>
        <v>0</v>
      </c>
    </row>
    <row r="208" spans="3:6" x14ac:dyDescent="0.3">
      <c r="F208" s="4"/>
    </row>
    <row r="209" spans="3:6" x14ac:dyDescent="0.3">
      <c r="C209" s="83">
        <v>295</v>
      </c>
      <c r="D209" s="83"/>
      <c r="E209" s="83" t="s">
        <v>273</v>
      </c>
      <c r="F209" s="84">
        <f>SUM(F210)</f>
        <v>-110449.21</v>
      </c>
    </row>
    <row r="210" spans="3:6" x14ac:dyDescent="0.3">
      <c r="D210">
        <v>2950</v>
      </c>
      <c r="E210" t="s">
        <v>273</v>
      </c>
      <c r="F210" s="4">
        <f>HLOOKUP($E$4,'5. Bilan'!$F$3:$BF$226,205,0)</f>
        <v>-110449.21</v>
      </c>
    </row>
    <row r="211" spans="3:6" x14ac:dyDescent="0.3">
      <c r="F211" s="4"/>
    </row>
    <row r="212" spans="3:6" x14ac:dyDescent="0.3">
      <c r="C212" s="83">
        <v>296</v>
      </c>
      <c r="D212" s="83"/>
      <c r="E212" s="83" t="s">
        <v>274</v>
      </c>
      <c r="F212" s="84">
        <f>SUM(F213)</f>
        <v>361807.95</v>
      </c>
    </row>
    <row r="213" spans="3:6" x14ac:dyDescent="0.3">
      <c r="D213">
        <v>2960</v>
      </c>
      <c r="E213" t="s">
        <v>274</v>
      </c>
      <c r="F213" s="4">
        <f>HLOOKUP($E$4,'5. Bilan'!$F$3:$BF$226,208,0)</f>
        <v>361807.95</v>
      </c>
    </row>
    <row r="214" spans="3:6" x14ac:dyDescent="0.3">
      <c r="F214" s="4"/>
    </row>
    <row r="215" spans="3:6" x14ac:dyDescent="0.3">
      <c r="C215" s="83">
        <v>298</v>
      </c>
      <c r="D215" s="83"/>
      <c r="E215" s="83" t="s">
        <v>275</v>
      </c>
      <c r="F215" s="84">
        <f>SUM(F216)</f>
        <v>0</v>
      </c>
    </row>
    <row r="216" spans="3:6" x14ac:dyDescent="0.3">
      <c r="D216">
        <v>2980</v>
      </c>
      <c r="E216" t="s">
        <v>275</v>
      </c>
      <c r="F216" s="4">
        <f>HLOOKUP($E$4,'5. Bilan'!$F$3:$BF$226,211,0)</f>
        <v>0</v>
      </c>
    </row>
    <row r="217" spans="3:6" x14ac:dyDescent="0.3">
      <c r="F217" s="4"/>
    </row>
    <row r="218" spans="3:6" x14ac:dyDescent="0.3">
      <c r="C218" s="83">
        <v>299</v>
      </c>
      <c r="D218" s="83"/>
      <c r="E218" s="83" t="s">
        <v>453</v>
      </c>
      <c r="F218" s="84">
        <f>SUM(F219:F220)</f>
        <v>367785.81</v>
      </c>
    </row>
    <row r="219" spans="3:6" x14ac:dyDescent="0.3">
      <c r="D219">
        <v>2990</v>
      </c>
      <c r="E219" t="s">
        <v>453</v>
      </c>
      <c r="F219" s="4">
        <f>HLOOKUP($E$4,'5. Bilan'!$F$3:$BF$226,214,0)</f>
        <v>26545.08</v>
      </c>
    </row>
    <row r="220" spans="3:6" x14ac:dyDescent="0.3">
      <c r="D220">
        <v>2999</v>
      </c>
      <c r="E220" t="s">
        <v>595</v>
      </c>
      <c r="F220" s="4">
        <f>HLOOKUP($E$4,'5. Bilan'!$F$3:$BF$226,215,0)</f>
        <v>341240.73</v>
      </c>
    </row>
    <row r="221" spans="3:6" x14ac:dyDescent="0.3">
      <c r="F221" s="4"/>
    </row>
    <row r="222" spans="3:6" x14ac:dyDescent="0.3">
      <c r="C222" s="160"/>
      <c r="D222" s="160"/>
      <c r="E222" s="160" t="s">
        <v>600</v>
      </c>
      <c r="F222" s="178"/>
    </row>
    <row r="223" spans="3:6" x14ac:dyDescent="0.3">
      <c r="D223">
        <v>290</v>
      </c>
      <c r="E223" t="s">
        <v>599</v>
      </c>
      <c r="F223" s="4">
        <f>HLOOKUP($E$4,'5. Bilan'!$F$3:$BF$226,218,0)</f>
        <v>41403.599999999999</v>
      </c>
    </row>
    <row r="224" spans="3:6" x14ac:dyDescent="0.3">
      <c r="D224">
        <v>2990</v>
      </c>
      <c r="E224" t="s">
        <v>603</v>
      </c>
      <c r="F224" s="4">
        <f>HLOOKUP($E$4,'5. Bilan'!$F$3:$BF$226,219,0)</f>
        <v>26545.08</v>
      </c>
    </row>
    <row r="225" spans="5:6" x14ac:dyDescent="0.3">
      <c r="F225" s="4"/>
    </row>
    <row r="226" spans="5:6" x14ac:dyDescent="0.3">
      <c r="E226" s="7" t="s">
        <v>602</v>
      </c>
      <c r="F226" s="4">
        <f>HLOOKUP($E$4,'5. Bilan'!$F$3:$BF$226,221,0)</f>
        <v>67948.679999999993</v>
      </c>
    </row>
    <row r="227" spans="5:6" x14ac:dyDescent="0.3">
      <c r="F227" s="4"/>
    </row>
    <row r="228" spans="5:6" x14ac:dyDescent="0.3">
      <c r="E228" s="60" t="s">
        <v>601</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topLeftCell="A109" workbookViewId="0">
      <selection activeCell="C23" sqref="C23"/>
    </sheetView>
  </sheetViews>
  <sheetFormatPr baseColWidth="10" defaultRowHeight="14.4" x14ac:dyDescent="0.3"/>
  <cols>
    <col min="1" max="3" width="4.6640625" customWidth="1"/>
    <col min="4" max="4" width="9" customWidth="1"/>
    <col min="5" max="5" width="63.5546875" customWidth="1"/>
    <col min="6" max="6" width="27.88671875" customWidth="1"/>
  </cols>
  <sheetData>
    <row r="1" spans="1:6" ht="25.8" x14ac:dyDescent="0.5">
      <c r="A1" s="42" t="s">
        <v>245</v>
      </c>
      <c r="B1" s="7"/>
      <c r="C1" s="7"/>
      <c r="D1" s="7"/>
      <c r="E1" s="7"/>
    </row>
    <row r="2" spans="1:6" x14ac:dyDescent="0.3">
      <c r="A2" t="s">
        <v>201</v>
      </c>
      <c r="F2" s="57">
        <f>'5. Bilan'!BG2</f>
        <v>73709</v>
      </c>
    </row>
    <row r="3" spans="1:6" x14ac:dyDescent="0.3">
      <c r="F3" s="47" t="s">
        <v>455</v>
      </c>
    </row>
    <row r="4" spans="1:6" ht="21" x14ac:dyDescent="0.4">
      <c r="A4" s="73">
        <v>1</v>
      </c>
      <c r="B4" s="73"/>
      <c r="C4" s="73"/>
      <c r="D4" s="73"/>
      <c r="E4" s="73" t="s">
        <v>246</v>
      </c>
      <c r="F4" s="87">
        <f>'5. Bilan'!BG4</f>
        <v>861770711.44999981</v>
      </c>
    </row>
    <row r="5" spans="1:6" x14ac:dyDescent="0.3">
      <c r="A5" s="78"/>
      <c r="B5" s="74">
        <v>10</v>
      </c>
      <c r="C5" s="74"/>
      <c r="D5" s="74"/>
      <c r="E5" s="74" t="s">
        <v>247</v>
      </c>
      <c r="F5" s="75">
        <f>'5. Bilan'!BG5</f>
        <v>335997335.88</v>
      </c>
    </row>
    <row r="6" spans="1:6" x14ac:dyDescent="0.3">
      <c r="A6" s="79"/>
      <c r="B6" s="79"/>
      <c r="C6" s="69">
        <v>100</v>
      </c>
      <c r="D6" s="69"/>
      <c r="E6" s="69" t="s">
        <v>248</v>
      </c>
      <c r="F6" s="70">
        <f>'5. Bilan'!BG6</f>
        <v>99127300.920000017</v>
      </c>
    </row>
    <row r="7" spans="1:6" x14ac:dyDescent="0.3">
      <c r="D7">
        <v>1000</v>
      </c>
      <c r="E7" t="s">
        <v>322</v>
      </c>
      <c r="F7" s="89">
        <f>'5. Bilan'!BG7</f>
        <v>254759.97999999992</v>
      </c>
    </row>
    <row r="8" spans="1:6" x14ac:dyDescent="0.3">
      <c r="D8">
        <v>1001</v>
      </c>
      <c r="E8" t="s">
        <v>323</v>
      </c>
      <c r="F8" s="89">
        <f>'5. Bilan'!BG8</f>
        <v>27891579.709999993</v>
      </c>
    </row>
    <row r="9" spans="1:6" x14ac:dyDescent="0.3">
      <c r="D9">
        <v>1002</v>
      </c>
      <c r="E9" t="s">
        <v>331</v>
      </c>
      <c r="F9" s="89">
        <f>'5. Bilan'!BG9</f>
        <v>70764675.660000011</v>
      </c>
    </row>
    <row r="10" spans="1:6" x14ac:dyDescent="0.3">
      <c r="D10">
        <v>1003</v>
      </c>
      <c r="E10" t="s">
        <v>324</v>
      </c>
      <c r="F10" s="89">
        <f>'5. Bilan'!BG10</f>
        <v>120000</v>
      </c>
    </row>
    <row r="11" spans="1:6" x14ac:dyDescent="0.3">
      <c r="D11">
        <v>1004</v>
      </c>
      <c r="E11" t="s">
        <v>325</v>
      </c>
      <c r="F11" s="89">
        <f>'5. Bilan'!BG11</f>
        <v>-7592.5199999999995</v>
      </c>
    </row>
    <row r="12" spans="1:6" x14ac:dyDescent="0.3">
      <c r="D12">
        <v>1009</v>
      </c>
      <c r="E12" t="s">
        <v>326</v>
      </c>
      <c r="F12" s="89">
        <f>'5. Bilan'!BG12</f>
        <v>103878.09000000001</v>
      </c>
    </row>
    <row r="13" spans="1:6" x14ac:dyDescent="0.3">
      <c r="F13" s="80"/>
    </row>
    <row r="14" spans="1:6" x14ac:dyDescent="0.3">
      <c r="A14" s="79"/>
      <c r="B14" s="79"/>
      <c r="C14" s="69">
        <v>101</v>
      </c>
      <c r="D14" s="69"/>
      <c r="E14" s="69" t="s">
        <v>249</v>
      </c>
      <c r="F14" s="70">
        <f>'5. Bilan'!BG14</f>
        <v>94364768.199999973</v>
      </c>
    </row>
    <row r="15" spans="1:6" x14ac:dyDescent="0.3">
      <c r="D15">
        <v>1010</v>
      </c>
      <c r="E15" t="s">
        <v>327</v>
      </c>
      <c r="F15" s="89">
        <f>'5. Bilan'!BG15</f>
        <v>30122169.16</v>
      </c>
    </row>
    <row r="16" spans="1:6" x14ac:dyDescent="0.3">
      <c r="D16">
        <v>1011</v>
      </c>
      <c r="E16" t="s">
        <v>408</v>
      </c>
      <c r="F16" s="89">
        <f>'5. Bilan'!BG16</f>
        <v>4853584.5599999996</v>
      </c>
    </row>
    <row r="17" spans="3:6" x14ac:dyDescent="0.3">
      <c r="D17">
        <v>1012</v>
      </c>
      <c r="E17" t="s">
        <v>328</v>
      </c>
      <c r="F17" s="89">
        <f>'5. Bilan'!BG17</f>
        <v>52783837.45000001</v>
      </c>
    </row>
    <row r="18" spans="3:6" x14ac:dyDescent="0.3">
      <c r="D18">
        <v>1013</v>
      </c>
      <c r="E18" t="s">
        <v>329</v>
      </c>
      <c r="F18" s="89">
        <f>'5. Bilan'!BG18</f>
        <v>557590.19999999995</v>
      </c>
    </row>
    <row r="19" spans="3:6" x14ac:dyDescent="0.3">
      <c r="D19">
        <v>1014</v>
      </c>
      <c r="E19" t="s">
        <v>330</v>
      </c>
      <c r="F19" s="89">
        <f>'5. Bilan'!BG19</f>
        <v>1492525.1600000001</v>
      </c>
    </row>
    <row r="20" spans="3:6" x14ac:dyDescent="0.3">
      <c r="D20">
        <v>1015</v>
      </c>
      <c r="E20" t="s">
        <v>332</v>
      </c>
      <c r="F20" s="89">
        <f>'5. Bilan'!BG20</f>
        <v>3872905.42</v>
      </c>
    </row>
    <row r="21" spans="3:6" x14ac:dyDescent="0.3">
      <c r="D21">
        <v>1016</v>
      </c>
      <c r="E21" t="s">
        <v>333</v>
      </c>
      <c r="F21" s="89">
        <f>'5. Bilan'!BG21</f>
        <v>34131.949999999997</v>
      </c>
    </row>
    <row r="22" spans="3:6" x14ac:dyDescent="0.3">
      <c r="D22">
        <v>1019</v>
      </c>
      <c r="E22" t="s">
        <v>334</v>
      </c>
      <c r="F22" s="89">
        <f>'5. Bilan'!BG22</f>
        <v>648024.30000000016</v>
      </c>
    </row>
    <row r="23" spans="3:6" x14ac:dyDescent="0.3">
      <c r="F23" s="80"/>
    </row>
    <row r="24" spans="3:6" x14ac:dyDescent="0.3">
      <c r="C24" s="69">
        <v>102</v>
      </c>
      <c r="D24" s="69"/>
      <c r="E24" s="69" t="s">
        <v>250</v>
      </c>
      <c r="F24" s="70">
        <f>'5. Bilan'!BG24</f>
        <v>771632.89</v>
      </c>
    </row>
    <row r="25" spans="3:6" x14ac:dyDescent="0.3">
      <c r="D25">
        <v>1020</v>
      </c>
      <c r="E25" t="s">
        <v>335</v>
      </c>
      <c r="F25" s="89">
        <f>'5. Bilan'!BG25</f>
        <v>771632.89</v>
      </c>
    </row>
    <row r="26" spans="3:6" x14ac:dyDescent="0.3">
      <c r="D26">
        <v>1022</v>
      </c>
      <c r="E26" t="s">
        <v>336</v>
      </c>
      <c r="F26" s="89">
        <f>'5. Bilan'!BG26</f>
        <v>0</v>
      </c>
    </row>
    <row r="27" spans="3:6" x14ac:dyDescent="0.3">
      <c r="D27">
        <v>1023</v>
      </c>
      <c r="E27" t="s">
        <v>337</v>
      </c>
      <c r="F27" s="89">
        <f>'5. Bilan'!BG27</f>
        <v>0</v>
      </c>
    </row>
    <row r="28" spans="3:6" x14ac:dyDescent="0.3">
      <c r="D28">
        <v>1029</v>
      </c>
      <c r="E28" t="s">
        <v>338</v>
      </c>
      <c r="F28" s="89">
        <f>'5. Bilan'!BG28</f>
        <v>0</v>
      </c>
    </row>
    <row r="29" spans="3:6" x14ac:dyDescent="0.3">
      <c r="F29" s="80"/>
    </row>
    <row r="30" spans="3:6" x14ac:dyDescent="0.3">
      <c r="C30" s="69">
        <v>104</v>
      </c>
      <c r="D30" s="69"/>
      <c r="E30" s="69" t="s">
        <v>251</v>
      </c>
      <c r="F30" s="70">
        <f>'5. Bilan'!BG30</f>
        <v>25785773.98</v>
      </c>
    </row>
    <row r="31" spans="3:6" x14ac:dyDescent="0.3">
      <c r="D31">
        <v>1040</v>
      </c>
      <c r="E31" t="s">
        <v>61</v>
      </c>
      <c r="F31" s="89">
        <f>'5. Bilan'!BG31</f>
        <v>39965.65</v>
      </c>
    </row>
    <row r="32" spans="3:6" x14ac:dyDescent="0.3">
      <c r="D32">
        <v>1041</v>
      </c>
      <c r="E32" t="s">
        <v>339</v>
      </c>
      <c r="F32" s="89">
        <f>'5. Bilan'!BG32</f>
        <v>10969351.049999999</v>
      </c>
    </row>
    <row r="33" spans="3:6" x14ac:dyDescent="0.3">
      <c r="D33">
        <v>1042</v>
      </c>
      <c r="E33" t="s">
        <v>340</v>
      </c>
      <c r="F33" s="89">
        <f>'5. Bilan'!BG33</f>
        <v>4405255.2</v>
      </c>
    </row>
    <row r="34" spans="3:6" x14ac:dyDescent="0.3">
      <c r="D34">
        <v>1043</v>
      </c>
      <c r="E34" t="s">
        <v>341</v>
      </c>
      <c r="F34" s="89">
        <f>'5. Bilan'!BG34</f>
        <v>7376301.3900000015</v>
      </c>
    </row>
    <row r="35" spans="3:6" x14ac:dyDescent="0.3">
      <c r="D35">
        <v>1044</v>
      </c>
      <c r="E35" t="s">
        <v>342</v>
      </c>
      <c r="F35" s="89">
        <f>'5. Bilan'!BG35</f>
        <v>409798.27</v>
      </c>
    </row>
    <row r="36" spans="3:6" x14ac:dyDescent="0.3">
      <c r="D36">
        <v>1045</v>
      </c>
      <c r="E36" t="s">
        <v>343</v>
      </c>
      <c r="F36" s="89">
        <f>'5. Bilan'!BG36</f>
        <v>1151943.23</v>
      </c>
    </row>
    <row r="37" spans="3:6" x14ac:dyDescent="0.3">
      <c r="D37">
        <v>1046</v>
      </c>
      <c r="E37" t="s">
        <v>344</v>
      </c>
      <c r="F37" s="89">
        <f>'5. Bilan'!BG37</f>
        <v>662913</v>
      </c>
    </row>
    <row r="38" spans="3:6" x14ac:dyDescent="0.3">
      <c r="D38">
        <v>1049</v>
      </c>
      <c r="E38" t="s">
        <v>345</v>
      </c>
      <c r="F38" s="89">
        <f>'5. Bilan'!BG38</f>
        <v>770246.19000000006</v>
      </c>
    </row>
    <row r="39" spans="3:6" x14ac:dyDescent="0.3">
      <c r="F39" s="80"/>
    </row>
    <row r="40" spans="3:6" x14ac:dyDescent="0.3">
      <c r="C40" s="69">
        <v>106</v>
      </c>
      <c r="D40" s="69"/>
      <c r="E40" s="69" t="s">
        <v>252</v>
      </c>
      <c r="F40" s="70">
        <f>'5. Bilan'!BG40</f>
        <v>1675915.7799999998</v>
      </c>
    </row>
    <row r="41" spans="3:6" x14ac:dyDescent="0.3">
      <c r="D41">
        <v>1060</v>
      </c>
      <c r="E41" t="s">
        <v>346</v>
      </c>
      <c r="F41" s="89">
        <f>'5. Bilan'!BG41</f>
        <v>43828.3</v>
      </c>
    </row>
    <row r="42" spans="3:6" x14ac:dyDescent="0.3">
      <c r="D42">
        <v>1061</v>
      </c>
      <c r="E42" t="s">
        <v>347</v>
      </c>
      <c r="F42" s="89">
        <f>'5. Bilan'!BG42</f>
        <v>871494.88</v>
      </c>
    </row>
    <row r="43" spans="3:6" x14ac:dyDescent="0.3">
      <c r="D43">
        <v>1062</v>
      </c>
      <c r="E43" t="s">
        <v>348</v>
      </c>
      <c r="F43" s="89">
        <f>'5. Bilan'!BG43</f>
        <v>0</v>
      </c>
    </row>
    <row r="44" spans="3:6" x14ac:dyDescent="0.3">
      <c r="D44">
        <v>1063</v>
      </c>
      <c r="E44" t="s">
        <v>349</v>
      </c>
      <c r="F44" s="89">
        <f>'5. Bilan'!BG44</f>
        <v>760592.6</v>
      </c>
    </row>
    <row r="45" spans="3:6" x14ac:dyDescent="0.3">
      <c r="D45">
        <v>1068</v>
      </c>
      <c r="E45" t="s">
        <v>350</v>
      </c>
      <c r="F45" s="89">
        <f>'5. Bilan'!BG45</f>
        <v>0</v>
      </c>
    </row>
    <row r="46" spans="3:6" x14ac:dyDescent="0.3">
      <c r="F46" s="80"/>
    </row>
    <row r="47" spans="3:6" x14ac:dyDescent="0.3">
      <c r="C47" s="69">
        <v>107</v>
      </c>
      <c r="D47" s="69"/>
      <c r="E47" s="69" t="s">
        <v>355</v>
      </c>
      <c r="F47" s="70">
        <f>'5. Bilan'!BG47</f>
        <v>16335060.810000001</v>
      </c>
    </row>
    <row r="48" spans="3:6" x14ac:dyDescent="0.3">
      <c r="D48">
        <v>1070</v>
      </c>
      <c r="E48" t="s">
        <v>351</v>
      </c>
      <c r="F48" s="89">
        <f>'5. Bilan'!BG48</f>
        <v>4503443</v>
      </c>
    </row>
    <row r="49" spans="3:6" x14ac:dyDescent="0.3">
      <c r="D49">
        <v>1071</v>
      </c>
      <c r="E49" t="s">
        <v>352</v>
      </c>
      <c r="F49" s="89">
        <f>'5. Bilan'!BG49</f>
        <v>11804887.810000001</v>
      </c>
    </row>
    <row r="50" spans="3:6" x14ac:dyDescent="0.3">
      <c r="D50">
        <v>1072</v>
      </c>
      <c r="E50" t="s">
        <v>353</v>
      </c>
      <c r="F50" s="89">
        <f>'5. Bilan'!BG50</f>
        <v>26730</v>
      </c>
    </row>
    <row r="51" spans="3:6" x14ac:dyDescent="0.3">
      <c r="D51">
        <v>1079</v>
      </c>
      <c r="E51" t="s">
        <v>354</v>
      </c>
      <c r="F51" s="89">
        <f>'5. Bilan'!BG51</f>
        <v>0</v>
      </c>
    </row>
    <row r="52" spans="3:6" x14ac:dyDescent="0.3">
      <c r="F52" s="80"/>
    </row>
    <row r="53" spans="3:6" x14ac:dyDescent="0.3">
      <c r="C53" s="69">
        <v>108</v>
      </c>
      <c r="D53" s="69"/>
      <c r="E53" s="69" t="s">
        <v>253</v>
      </c>
      <c r="F53" s="70">
        <f>'5. Bilan'!BG53</f>
        <v>97936883.300000012</v>
      </c>
    </row>
    <row r="54" spans="3:6" x14ac:dyDescent="0.3">
      <c r="D54">
        <v>1080</v>
      </c>
      <c r="E54" t="s">
        <v>356</v>
      </c>
      <c r="F54" s="89">
        <f>'5. Bilan'!BG54</f>
        <v>42840556.909999996</v>
      </c>
    </row>
    <row r="55" spans="3:6" x14ac:dyDescent="0.3">
      <c r="D55">
        <v>1084</v>
      </c>
      <c r="E55" t="s">
        <v>357</v>
      </c>
      <c r="F55" s="89">
        <f>'5. Bilan'!BG55</f>
        <v>50584681.700000003</v>
      </c>
    </row>
    <row r="56" spans="3:6" x14ac:dyDescent="0.3">
      <c r="D56">
        <v>1086</v>
      </c>
      <c r="E56" t="s">
        <v>358</v>
      </c>
      <c r="F56" s="89">
        <f>'5. Bilan'!BG56</f>
        <v>0</v>
      </c>
    </row>
    <row r="57" spans="3:6" x14ac:dyDescent="0.3">
      <c r="D57">
        <v>1087</v>
      </c>
      <c r="E57" t="s">
        <v>359</v>
      </c>
      <c r="F57" s="89">
        <f>'5. Bilan'!BG57</f>
        <v>4511644.6900000004</v>
      </c>
    </row>
    <row r="58" spans="3:6" x14ac:dyDescent="0.3">
      <c r="D58">
        <v>1088</v>
      </c>
      <c r="E58" t="s">
        <v>360</v>
      </c>
      <c r="F58" s="89">
        <f>'5. Bilan'!BG58</f>
        <v>0</v>
      </c>
    </row>
    <row r="59" spans="3:6" x14ac:dyDescent="0.3">
      <c r="D59">
        <v>1089</v>
      </c>
      <c r="E59" t="s">
        <v>361</v>
      </c>
      <c r="F59" s="89">
        <f>'5. Bilan'!BG59</f>
        <v>0</v>
      </c>
    </row>
    <row r="60" spans="3:6" x14ac:dyDescent="0.3">
      <c r="F60" s="80"/>
    </row>
    <row r="61" spans="3:6" x14ac:dyDescent="0.3">
      <c r="C61" s="69">
        <v>109</v>
      </c>
      <c r="D61" s="69"/>
      <c r="E61" s="69" t="s">
        <v>362</v>
      </c>
      <c r="F61" s="70">
        <f>'5. Bilan'!BG61</f>
        <v>0</v>
      </c>
    </row>
    <row r="62" spans="3:6" x14ac:dyDescent="0.3">
      <c r="D62">
        <v>1090</v>
      </c>
      <c r="E62" t="s">
        <v>362</v>
      </c>
      <c r="F62" s="89">
        <f>'5. Bilan'!BG62</f>
        <v>0</v>
      </c>
    </row>
    <row r="63" spans="3:6" x14ac:dyDescent="0.3">
      <c r="D63">
        <v>1091</v>
      </c>
      <c r="E63" t="s">
        <v>363</v>
      </c>
      <c r="F63" s="89">
        <f>'5. Bilan'!BG63</f>
        <v>0</v>
      </c>
    </row>
    <row r="64" spans="3:6" x14ac:dyDescent="0.3">
      <c r="D64">
        <v>1092</v>
      </c>
      <c r="E64" t="s">
        <v>364</v>
      </c>
      <c r="F64" s="89">
        <f>'5. Bilan'!BG64</f>
        <v>0</v>
      </c>
    </row>
    <row r="65" spans="2:6" x14ac:dyDescent="0.3">
      <c r="D65">
        <v>1093</v>
      </c>
      <c r="E65" t="s">
        <v>365</v>
      </c>
      <c r="F65" s="89">
        <f>'5. Bilan'!BG65</f>
        <v>0</v>
      </c>
    </row>
    <row r="66" spans="2:6" x14ac:dyDescent="0.3">
      <c r="F66" s="80"/>
    </row>
    <row r="67" spans="2:6" x14ac:dyDescent="0.3">
      <c r="B67" s="74">
        <v>14</v>
      </c>
      <c r="C67" s="74"/>
      <c r="D67" s="74"/>
      <c r="E67" s="74" t="s">
        <v>254</v>
      </c>
      <c r="F67" s="75">
        <f>'5. Bilan'!BG67</f>
        <v>525773375.56999987</v>
      </c>
    </row>
    <row r="68" spans="2:6" x14ac:dyDescent="0.3">
      <c r="C68" s="69">
        <v>140</v>
      </c>
      <c r="D68" s="69"/>
      <c r="E68" s="69" t="s">
        <v>256</v>
      </c>
      <c r="F68" s="90">
        <f>'5. Bilan'!BG68</f>
        <v>511717000.63999999</v>
      </c>
    </row>
    <row r="69" spans="2:6" x14ac:dyDescent="0.3">
      <c r="D69">
        <v>1400</v>
      </c>
      <c r="E69" t="s">
        <v>366</v>
      </c>
      <c r="F69" s="89">
        <f>'5. Bilan'!BG69</f>
        <v>36375514.219999999</v>
      </c>
    </row>
    <row r="70" spans="2:6" x14ac:dyDescent="0.3">
      <c r="D70">
        <v>1401</v>
      </c>
      <c r="E70" t="s">
        <v>367</v>
      </c>
      <c r="F70" s="89">
        <f>'5. Bilan'!BG70</f>
        <v>97337341.24000001</v>
      </c>
    </row>
    <row r="71" spans="2:6" x14ac:dyDescent="0.3">
      <c r="D71">
        <v>1402</v>
      </c>
      <c r="E71" t="s">
        <v>368</v>
      </c>
      <c r="F71" s="89">
        <f>'5. Bilan'!BG71</f>
        <v>4496754.8100000005</v>
      </c>
    </row>
    <row r="72" spans="2:6" x14ac:dyDescent="0.3">
      <c r="D72">
        <v>1403</v>
      </c>
      <c r="E72" t="s">
        <v>369</v>
      </c>
      <c r="F72" s="89">
        <f>'5. Bilan'!BG72</f>
        <v>101140077.73</v>
      </c>
    </row>
    <row r="73" spans="2:6" x14ac:dyDescent="0.3">
      <c r="D73">
        <v>1404</v>
      </c>
      <c r="E73" t="s">
        <v>370</v>
      </c>
      <c r="F73" s="89">
        <f>'5. Bilan'!BG73</f>
        <v>202865702.13999999</v>
      </c>
    </row>
    <row r="74" spans="2:6" x14ac:dyDescent="0.3">
      <c r="D74">
        <v>1405</v>
      </c>
      <c r="E74" t="s">
        <v>371</v>
      </c>
      <c r="F74" s="89">
        <f>'5. Bilan'!BG74</f>
        <v>32445814.75</v>
      </c>
    </row>
    <row r="75" spans="2:6" x14ac:dyDescent="0.3">
      <c r="D75">
        <v>1406</v>
      </c>
      <c r="E75" t="s">
        <v>372</v>
      </c>
      <c r="F75" s="89">
        <f>'5. Bilan'!BG75</f>
        <v>7719132.4899999993</v>
      </c>
    </row>
    <row r="76" spans="2:6" x14ac:dyDescent="0.3">
      <c r="D76">
        <v>1407</v>
      </c>
      <c r="E76" t="s">
        <v>373</v>
      </c>
      <c r="F76" s="89">
        <f>'5. Bilan'!BG76</f>
        <v>24152115.509999998</v>
      </c>
    </row>
    <row r="77" spans="2:6" x14ac:dyDescent="0.3">
      <c r="D77">
        <v>1409</v>
      </c>
      <c r="E77" t="s">
        <v>374</v>
      </c>
      <c r="F77" s="89">
        <f>'5. Bilan'!BG77</f>
        <v>5184547.75</v>
      </c>
    </row>
    <row r="78" spans="2:6" x14ac:dyDescent="0.3">
      <c r="F78" s="80"/>
    </row>
    <row r="79" spans="2:6" x14ac:dyDescent="0.3">
      <c r="C79" s="69">
        <v>142</v>
      </c>
      <c r="D79" s="69"/>
      <c r="E79" s="69" t="s">
        <v>255</v>
      </c>
      <c r="F79" s="70">
        <f>'5. Bilan'!BG79</f>
        <v>6283090.4400000013</v>
      </c>
    </row>
    <row r="80" spans="2:6" x14ac:dyDescent="0.3">
      <c r="D80">
        <v>1420</v>
      </c>
      <c r="E80" t="s">
        <v>375</v>
      </c>
      <c r="F80" s="89">
        <f>'5. Bilan'!BG80</f>
        <v>177167.2</v>
      </c>
    </row>
    <row r="81" spans="3:6" x14ac:dyDescent="0.3">
      <c r="D81">
        <v>1421</v>
      </c>
      <c r="E81" t="s">
        <v>376</v>
      </c>
      <c r="F81" s="89">
        <f>'5. Bilan'!BG81</f>
        <v>0</v>
      </c>
    </row>
    <row r="82" spans="3:6" x14ac:dyDescent="0.3">
      <c r="F82" s="80"/>
    </row>
    <row r="83" spans="3:6" x14ac:dyDescent="0.3">
      <c r="C83" s="69">
        <v>144</v>
      </c>
      <c r="D83" s="69"/>
      <c r="E83" s="69" t="s">
        <v>257</v>
      </c>
      <c r="F83" s="70">
        <f>'5. Bilan'!BG85</f>
        <v>2559580</v>
      </c>
    </row>
    <row r="84" spans="3:6" x14ac:dyDescent="0.3">
      <c r="D84">
        <v>1440</v>
      </c>
      <c r="E84" t="s">
        <v>377</v>
      </c>
      <c r="F84" s="89">
        <f>'5. Bilan'!BG86</f>
        <v>0</v>
      </c>
    </row>
    <row r="85" spans="3:6" x14ac:dyDescent="0.3">
      <c r="D85">
        <v>1441</v>
      </c>
      <c r="E85" t="s">
        <v>379</v>
      </c>
      <c r="F85" s="89">
        <f>'5. Bilan'!BG87</f>
        <v>0</v>
      </c>
    </row>
    <row r="86" spans="3:6" x14ac:dyDescent="0.3">
      <c r="D86">
        <v>1442</v>
      </c>
      <c r="E86" t="s">
        <v>378</v>
      </c>
      <c r="F86" s="89">
        <f>'5. Bilan'!BG88</f>
        <v>1685361</v>
      </c>
    </row>
    <row r="87" spans="3:6" x14ac:dyDescent="0.3">
      <c r="D87">
        <v>1443</v>
      </c>
      <c r="E87" t="s">
        <v>380</v>
      </c>
      <c r="F87" s="89">
        <f>'5. Bilan'!BG89</f>
        <v>0</v>
      </c>
    </row>
    <row r="88" spans="3:6" x14ac:dyDescent="0.3">
      <c r="D88">
        <v>1444</v>
      </c>
      <c r="E88" t="s">
        <v>381</v>
      </c>
      <c r="F88" s="89">
        <f>'5. Bilan'!BG90</f>
        <v>0</v>
      </c>
    </row>
    <row r="89" spans="3:6" x14ac:dyDescent="0.3">
      <c r="D89">
        <v>1445</v>
      </c>
      <c r="E89" t="s">
        <v>382</v>
      </c>
      <c r="F89" s="89">
        <f>'5. Bilan'!BG91</f>
        <v>438477.6</v>
      </c>
    </row>
    <row r="90" spans="3:6" x14ac:dyDescent="0.3">
      <c r="D90">
        <v>1446</v>
      </c>
      <c r="E90" t="s">
        <v>383</v>
      </c>
      <c r="F90" s="89">
        <f>'5. Bilan'!BG92</f>
        <v>435741.4</v>
      </c>
    </row>
    <row r="91" spans="3:6" x14ac:dyDescent="0.3">
      <c r="D91">
        <v>1447</v>
      </c>
      <c r="E91" t="s">
        <v>384</v>
      </c>
      <c r="F91" s="89">
        <f>'5. Bilan'!BG93</f>
        <v>0</v>
      </c>
    </row>
    <row r="92" spans="3:6" x14ac:dyDescent="0.3">
      <c r="D92">
        <v>1448</v>
      </c>
      <c r="E92" t="s">
        <v>385</v>
      </c>
      <c r="F92" s="89">
        <f>'5. Bilan'!BG94</f>
        <v>0</v>
      </c>
    </row>
    <row r="93" spans="3:6" x14ac:dyDescent="0.3">
      <c r="F93" s="80"/>
    </row>
    <row r="94" spans="3:6" x14ac:dyDescent="0.3">
      <c r="C94" s="69">
        <v>145</v>
      </c>
      <c r="D94" s="69"/>
      <c r="E94" s="69" t="s">
        <v>388</v>
      </c>
      <c r="F94" s="70">
        <f>'5. Bilan'!BG96</f>
        <v>4253676.3900000006</v>
      </c>
    </row>
    <row r="95" spans="3:6" x14ac:dyDescent="0.3">
      <c r="D95">
        <v>1450</v>
      </c>
      <c r="E95" t="s">
        <v>387</v>
      </c>
      <c r="F95" s="89">
        <f>'5. Bilan'!BG97</f>
        <v>1</v>
      </c>
    </row>
    <row r="96" spans="3:6" x14ac:dyDescent="0.3">
      <c r="D96">
        <v>1451</v>
      </c>
      <c r="E96" t="s">
        <v>386</v>
      </c>
      <c r="F96" s="89">
        <f>'5. Bilan'!BG98</f>
        <v>0</v>
      </c>
    </row>
    <row r="97" spans="3:6" x14ac:dyDescent="0.3">
      <c r="D97">
        <v>1452</v>
      </c>
      <c r="E97" t="s">
        <v>389</v>
      </c>
      <c r="F97" s="89">
        <f>'5. Bilan'!BG99</f>
        <v>480297</v>
      </c>
    </row>
    <row r="98" spans="3:6" x14ac:dyDescent="0.3">
      <c r="D98">
        <v>1453</v>
      </c>
      <c r="E98" t="s">
        <v>390</v>
      </c>
      <c r="F98" s="89">
        <f>'5. Bilan'!BG100</f>
        <v>0</v>
      </c>
    </row>
    <row r="99" spans="3:6" x14ac:dyDescent="0.3">
      <c r="D99">
        <v>1454</v>
      </c>
      <c r="E99" t="s">
        <v>391</v>
      </c>
      <c r="F99" s="89">
        <f>'5. Bilan'!BG101</f>
        <v>613606</v>
      </c>
    </row>
    <row r="100" spans="3:6" x14ac:dyDescent="0.3">
      <c r="D100">
        <v>1455</v>
      </c>
      <c r="E100" t="s">
        <v>392</v>
      </c>
      <c r="F100" s="89">
        <f>'5. Bilan'!BG102</f>
        <v>3016672.39</v>
      </c>
    </row>
    <row r="101" spans="3:6" x14ac:dyDescent="0.3">
      <c r="D101">
        <v>1456</v>
      </c>
      <c r="E101" t="s">
        <v>393</v>
      </c>
      <c r="F101" s="89">
        <f>'5. Bilan'!BG103</f>
        <v>143100</v>
      </c>
    </row>
    <row r="102" spans="3:6" x14ac:dyDescent="0.3">
      <c r="D102">
        <v>1457</v>
      </c>
      <c r="E102" t="s">
        <v>394</v>
      </c>
      <c r="F102" s="89">
        <f>'5. Bilan'!BG104</f>
        <v>0</v>
      </c>
    </row>
    <row r="103" spans="3:6" x14ac:dyDescent="0.3">
      <c r="D103">
        <v>1458</v>
      </c>
      <c r="E103" t="s">
        <v>395</v>
      </c>
      <c r="F103" s="89">
        <f>'5. Bilan'!BG105</f>
        <v>0</v>
      </c>
    </row>
    <row r="104" spans="3:6" x14ac:dyDescent="0.3">
      <c r="F104" s="80"/>
    </row>
    <row r="105" spans="3:6" x14ac:dyDescent="0.3">
      <c r="C105" s="69">
        <v>146</v>
      </c>
      <c r="D105" s="69"/>
      <c r="E105" s="69" t="s">
        <v>406</v>
      </c>
      <c r="F105" s="70">
        <f>'5. Bilan'!BG107</f>
        <v>960028.1</v>
      </c>
    </row>
    <row r="106" spans="3:6" x14ac:dyDescent="0.3">
      <c r="D106">
        <v>1460</v>
      </c>
      <c r="E106" t="s">
        <v>403</v>
      </c>
      <c r="F106" s="89">
        <f>'5. Bilan'!BG108</f>
        <v>0</v>
      </c>
    </row>
    <row r="107" spans="3:6" x14ac:dyDescent="0.3">
      <c r="D107">
        <v>1461</v>
      </c>
      <c r="E107" t="s">
        <v>404</v>
      </c>
      <c r="F107" s="89">
        <f>'5. Bilan'!BG109</f>
        <v>0</v>
      </c>
    </row>
    <row r="108" spans="3:6" x14ac:dyDescent="0.3">
      <c r="D108">
        <v>1462</v>
      </c>
      <c r="E108" t="s">
        <v>396</v>
      </c>
      <c r="F108" s="89">
        <f>'5. Bilan'!BG110</f>
        <v>854778.1</v>
      </c>
    </row>
    <row r="109" spans="3:6" x14ac:dyDescent="0.3">
      <c r="D109">
        <v>1463</v>
      </c>
      <c r="E109" t="s">
        <v>397</v>
      </c>
      <c r="F109" s="89">
        <f>'5. Bilan'!BG111</f>
        <v>0</v>
      </c>
    </row>
    <row r="110" spans="3:6" x14ac:dyDescent="0.3">
      <c r="D110">
        <v>1464</v>
      </c>
      <c r="E110" t="s">
        <v>398</v>
      </c>
      <c r="F110" s="89">
        <f>'5. Bilan'!BG112</f>
        <v>10000</v>
      </c>
    </row>
    <row r="111" spans="3:6" x14ac:dyDescent="0.3">
      <c r="D111">
        <v>1465</v>
      </c>
      <c r="E111" t="s">
        <v>399</v>
      </c>
      <c r="F111" s="89">
        <f>'5. Bilan'!BG113</f>
        <v>47250</v>
      </c>
    </row>
    <row r="112" spans="3:6" x14ac:dyDescent="0.3">
      <c r="D112">
        <v>1466</v>
      </c>
      <c r="E112" t="s">
        <v>405</v>
      </c>
      <c r="F112" s="89">
        <f>'5. Bilan'!BG114</f>
        <v>48000</v>
      </c>
    </row>
    <row r="113" spans="1:6" x14ac:dyDescent="0.3">
      <c r="D113">
        <v>1467</v>
      </c>
      <c r="E113" t="s">
        <v>400</v>
      </c>
      <c r="F113" s="89">
        <f>'5. Bilan'!BG115</f>
        <v>0</v>
      </c>
    </row>
    <row r="114" spans="1:6" x14ac:dyDescent="0.3">
      <c r="D114">
        <v>1468</v>
      </c>
      <c r="E114" t="s">
        <v>401</v>
      </c>
      <c r="F114" s="89">
        <f>'5. Bilan'!BG116</f>
        <v>0</v>
      </c>
    </row>
    <row r="115" spans="1:6" x14ac:dyDescent="0.3">
      <c r="D115">
        <v>1469</v>
      </c>
      <c r="E115" t="s">
        <v>402</v>
      </c>
      <c r="F115" s="89">
        <f>'5. Bilan'!BG117</f>
        <v>0</v>
      </c>
    </row>
    <row r="116" spans="1:6" x14ac:dyDescent="0.3">
      <c r="F116" s="80"/>
    </row>
    <row r="117" spans="1:6" x14ac:dyDescent="0.3">
      <c r="F117" s="80"/>
    </row>
    <row r="118" spans="1:6" ht="21" x14ac:dyDescent="0.4">
      <c r="A118" s="81">
        <v>2</v>
      </c>
      <c r="B118" s="81"/>
      <c r="C118" s="81"/>
      <c r="D118" s="81"/>
      <c r="E118" s="81" t="s">
        <v>258</v>
      </c>
      <c r="F118" s="88">
        <f>'5. Bilan'!BG120</f>
        <v>861770711.44999981</v>
      </c>
    </row>
    <row r="119" spans="1:6" x14ac:dyDescent="0.3">
      <c r="A119" s="7"/>
      <c r="B119" s="85">
        <v>20</v>
      </c>
      <c r="C119" s="85"/>
      <c r="D119" s="85"/>
      <c r="E119" s="85" t="s">
        <v>259</v>
      </c>
      <c r="F119" s="86">
        <f>'5. Bilan'!BG121</f>
        <v>621330284.08999991</v>
      </c>
    </row>
    <row r="120" spans="1:6" x14ac:dyDescent="0.3">
      <c r="C120" s="83">
        <v>200</v>
      </c>
      <c r="D120" s="83"/>
      <c r="E120" s="83" t="s">
        <v>260</v>
      </c>
      <c r="F120" s="84">
        <f>'5. Bilan'!BG122</f>
        <v>42823231.329999983</v>
      </c>
    </row>
    <row r="121" spans="1:6" x14ac:dyDescent="0.3">
      <c r="D121">
        <v>2000</v>
      </c>
      <c r="E121" t="s">
        <v>407</v>
      </c>
      <c r="F121" s="89">
        <f>'5. Bilan'!BG123</f>
        <v>23529693.860000003</v>
      </c>
    </row>
    <row r="122" spans="1:6" x14ac:dyDescent="0.3">
      <c r="D122">
        <v>2001</v>
      </c>
      <c r="E122" t="s">
        <v>408</v>
      </c>
      <c r="F122" s="89">
        <f>'5. Bilan'!BG124</f>
        <v>3171912.0100000002</v>
      </c>
    </row>
    <row r="123" spans="1:6" x14ac:dyDescent="0.3">
      <c r="D123">
        <v>2002</v>
      </c>
      <c r="E123" t="s">
        <v>409</v>
      </c>
      <c r="F123" s="89">
        <f>'5. Bilan'!BG125</f>
        <v>2993223.6100000008</v>
      </c>
    </row>
    <row r="124" spans="1:6" x14ac:dyDescent="0.3">
      <c r="D124">
        <v>2003</v>
      </c>
      <c r="E124" t="s">
        <v>410</v>
      </c>
      <c r="F124" s="89">
        <f>'5. Bilan'!BG126</f>
        <v>22500</v>
      </c>
    </row>
    <row r="125" spans="1:6" x14ac:dyDescent="0.3">
      <c r="D125">
        <v>2004</v>
      </c>
      <c r="E125" t="s">
        <v>411</v>
      </c>
      <c r="F125" s="89">
        <f>'5. Bilan'!BG127</f>
        <v>582535.15</v>
      </c>
    </row>
    <row r="126" spans="1:6" x14ac:dyDescent="0.3">
      <c r="D126">
        <v>2005</v>
      </c>
      <c r="E126" t="s">
        <v>332</v>
      </c>
      <c r="F126" s="89">
        <f>'5. Bilan'!BG128</f>
        <v>3920798.34</v>
      </c>
    </row>
    <row r="127" spans="1:6" x14ac:dyDescent="0.3">
      <c r="D127">
        <v>2006</v>
      </c>
      <c r="E127" t="s">
        <v>412</v>
      </c>
      <c r="F127" s="89">
        <f>'5. Bilan'!BG129</f>
        <v>8598784.0099999998</v>
      </c>
    </row>
    <row r="128" spans="1:6" x14ac:dyDescent="0.3">
      <c r="D128">
        <v>2009</v>
      </c>
      <c r="E128" t="s">
        <v>413</v>
      </c>
      <c r="F128" s="89">
        <f>'5. Bilan'!BG130</f>
        <v>3784.35</v>
      </c>
    </row>
    <row r="129" spans="3:6" x14ac:dyDescent="0.3">
      <c r="F129" s="80"/>
    </row>
    <row r="130" spans="3:6" x14ac:dyDescent="0.3">
      <c r="C130" s="83">
        <v>201</v>
      </c>
      <c r="D130" s="83"/>
      <c r="E130" s="83" t="s">
        <v>261</v>
      </c>
      <c r="F130" s="84">
        <f>'5. Bilan'!BG132</f>
        <v>111929283.70000002</v>
      </c>
    </row>
    <row r="131" spans="3:6" x14ac:dyDescent="0.3">
      <c r="D131">
        <v>2010</v>
      </c>
      <c r="E131" t="s">
        <v>414</v>
      </c>
      <c r="F131" s="89">
        <f>'5. Bilan'!BG133</f>
        <v>27556979.050000001</v>
      </c>
    </row>
    <row r="132" spans="3:6" x14ac:dyDescent="0.3">
      <c r="D132">
        <v>2011</v>
      </c>
      <c r="E132" t="s">
        <v>415</v>
      </c>
      <c r="F132" s="89">
        <f>'5. Bilan'!BG134</f>
        <v>9204700.4700000007</v>
      </c>
    </row>
    <row r="133" spans="3:6" x14ac:dyDescent="0.3">
      <c r="D133">
        <v>2012</v>
      </c>
      <c r="E133" t="s">
        <v>416</v>
      </c>
      <c r="F133" s="89">
        <f>'5. Bilan'!BG135</f>
        <v>0</v>
      </c>
    </row>
    <row r="134" spans="3:6" x14ac:dyDescent="0.3">
      <c r="D134">
        <v>2013</v>
      </c>
      <c r="E134" t="s">
        <v>417</v>
      </c>
      <c r="F134" s="89">
        <f>'5. Bilan'!BG136</f>
        <v>69173.899999999994</v>
      </c>
    </row>
    <row r="135" spans="3:6" x14ac:dyDescent="0.3">
      <c r="D135">
        <v>2014</v>
      </c>
      <c r="E135" t="s">
        <v>419</v>
      </c>
      <c r="F135" s="89">
        <f>'5. Bilan'!BG137</f>
        <v>74600713.040000007</v>
      </c>
    </row>
    <row r="136" spans="3:6" x14ac:dyDescent="0.3">
      <c r="D136">
        <v>2015</v>
      </c>
      <c r="E136" t="s">
        <v>418</v>
      </c>
      <c r="F136" s="89">
        <f>'5. Bilan'!BG138</f>
        <v>0</v>
      </c>
    </row>
    <row r="137" spans="3:6" x14ac:dyDescent="0.3">
      <c r="D137">
        <v>2016</v>
      </c>
      <c r="E137" t="s">
        <v>276</v>
      </c>
      <c r="F137" s="89">
        <f>'5. Bilan'!BG139</f>
        <v>0</v>
      </c>
    </row>
    <row r="138" spans="3:6" x14ac:dyDescent="0.3">
      <c r="D138">
        <v>2019</v>
      </c>
      <c r="E138" t="s">
        <v>420</v>
      </c>
      <c r="F138" s="89">
        <f>'5. Bilan'!BG140</f>
        <v>497717.24</v>
      </c>
    </row>
    <row r="139" spans="3:6" x14ac:dyDescent="0.3">
      <c r="F139" s="80"/>
    </row>
    <row r="140" spans="3:6" x14ac:dyDescent="0.3">
      <c r="C140" s="83">
        <v>204</v>
      </c>
      <c r="D140" s="83"/>
      <c r="E140" s="83" t="s">
        <v>262</v>
      </c>
      <c r="F140" s="84">
        <f>'5. Bilan'!BG142</f>
        <v>16764158.679999996</v>
      </c>
    </row>
    <row r="141" spans="3:6" x14ac:dyDescent="0.3">
      <c r="D141">
        <v>2040</v>
      </c>
      <c r="E141" t="s">
        <v>61</v>
      </c>
      <c r="F141" s="89">
        <f>'5. Bilan'!BG143</f>
        <v>606792.1</v>
      </c>
    </row>
    <row r="142" spans="3:6" x14ac:dyDescent="0.3">
      <c r="D142">
        <v>2041</v>
      </c>
      <c r="E142" t="s">
        <v>284</v>
      </c>
      <c r="F142" s="89">
        <f>'5. Bilan'!BG144</f>
        <v>9000023.2399999984</v>
      </c>
    </row>
    <row r="143" spans="3:6" x14ac:dyDescent="0.3">
      <c r="D143">
        <v>2042</v>
      </c>
      <c r="E143" t="s">
        <v>340</v>
      </c>
      <c r="F143" s="89">
        <f>'5. Bilan'!BG145</f>
        <v>4480884.2799999993</v>
      </c>
    </row>
    <row r="144" spans="3:6" x14ac:dyDescent="0.3">
      <c r="D144">
        <v>2043</v>
      </c>
      <c r="E144" t="s">
        <v>341</v>
      </c>
      <c r="F144" s="89">
        <f>'5. Bilan'!BG146</f>
        <v>1656010.9600000002</v>
      </c>
    </row>
    <row r="145" spans="3:6" x14ac:dyDescent="0.3">
      <c r="D145">
        <v>2044</v>
      </c>
      <c r="E145" t="s">
        <v>421</v>
      </c>
      <c r="F145" s="89">
        <f>'5. Bilan'!BG147</f>
        <v>455922.68</v>
      </c>
    </row>
    <row r="146" spans="3:6" x14ac:dyDescent="0.3">
      <c r="D146">
        <v>2045</v>
      </c>
      <c r="E146" t="s">
        <v>343</v>
      </c>
      <c r="F146" s="89">
        <f>'5. Bilan'!BG148</f>
        <v>86392.72</v>
      </c>
    </row>
    <row r="147" spans="3:6" x14ac:dyDescent="0.3">
      <c r="D147">
        <v>2046</v>
      </c>
      <c r="E147" t="s">
        <v>422</v>
      </c>
      <c r="F147" s="89">
        <f>'5. Bilan'!BG149</f>
        <v>465732.55</v>
      </c>
    </row>
    <row r="148" spans="3:6" x14ac:dyDescent="0.3">
      <c r="D148">
        <v>2049</v>
      </c>
      <c r="E148" t="s">
        <v>423</v>
      </c>
      <c r="F148" s="89">
        <f>'5. Bilan'!BG150</f>
        <v>12400.15</v>
      </c>
    </row>
    <row r="149" spans="3:6" x14ac:dyDescent="0.3">
      <c r="F149" s="80"/>
    </row>
    <row r="150" spans="3:6" x14ac:dyDescent="0.3">
      <c r="C150" s="83">
        <v>205</v>
      </c>
      <c r="D150" s="83"/>
      <c r="E150" s="83" t="s">
        <v>263</v>
      </c>
      <c r="F150" s="84">
        <f>'5. Bilan'!BG152</f>
        <v>1170286.3500000001</v>
      </c>
    </row>
    <row r="151" spans="3:6" x14ac:dyDescent="0.3">
      <c r="D151">
        <v>2050</v>
      </c>
      <c r="E151" t="s">
        <v>424</v>
      </c>
      <c r="F151" s="89">
        <f>'5. Bilan'!BG153</f>
        <v>796505.2</v>
      </c>
    </row>
    <row r="152" spans="3:6" x14ac:dyDescent="0.3">
      <c r="D152">
        <v>2051</v>
      </c>
      <c r="E152" t="s">
        <v>425</v>
      </c>
      <c r="F152" s="89">
        <f>'5. Bilan'!BG154</f>
        <v>0</v>
      </c>
    </row>
    <row r="153" spans="3:6" x14ac:dyDescent="0.3">
      <c r="D153">
        <v>2052</v>
      </c>
      <c r="E153" t="s">
        <v>426</v>
      </c>
      <c r="F153" s="89">
        <f>'5. Bilan'!BG155</f>
        <v>5000</v>
      </c>
    </row>
    <row r="154" spans="3:6" x14ac:dyDescent="0.3">
      <c r="D154">
        <v>2053</v>
      </c>
      <c r="E154" t="s">
        <v>430</v>
      </c>
      <c r="F154" s="89">
        <f>'5. Bilan'!BG156</f>
        <v>90763.32</v>
      </c>
    </row>
    <row r="155" spans="3:6" x14ac:dyDescent="0.3">
      <c r="D155">
        <v>2054</v>
      </c>
      <c r="E155" t="s">
        <v>428</v>
      </c>
      <c r="F155" s="89">
        <f>'5. Bilan'!BG157</f>
        <v>495.6</v>
      </c>
    </row>
    <row r="156" spans="3:6" x14ac:dyDescent="0.3">
      <c r="D156">
        <v>2055</v>
      </c>
      <c r="E156" t="s">
        <v>427</v>
      </c>
      <c r="F156" s="89">
        <f>'5. Bilan'!BG158</f>
        <v>176862.88</v>
      </c>
    </row>
    <row r="157" spans="3:6" x14ac:dyDescent="0.3">
      <c r="D157">
        <v>2056</v>
      </c>
      <c r="E157" t="s">
        <v>429</v>
      </c>
      <c r="F157" s="89">
        <f>'5. Bilan'!BG159</f>
        <v>0</v>
      </c>
    </row>
    <row r="158" spans="3:6" x14ac:dyDescent="0.3">
      <c r="D158">
        <v>2057</v>
      </c>
      <c r="E158" t="s">
        <v>431</v>
      </c>
      <c r="F158" s="89">
        <f>'5. Bilan'!BG160</f>
        <v>13968</v>
      </c>
    </row>
    <row r="159" spans="3:6" x14ac:dyDescent="0.3">
      <c r="D159">
        <v>2058</v>
      </c>
      <c r="E159" t="s">
        <v>432</v>
      </c>
      <c r="F159" s="89">
        <f>'5. Bilan'!BG161</f>
        <v>0</v>
      </c>
    </row>
    <row r="160" spans="3:6" x14ac:dyDescent="0.3">
      <c r="D160">
        <v>2059</v>
      </c>
      <c r="E160" t="s">
        <v>433</v>
      </c>
      <c r="F160" s="89">
        <f>'5. Bilan'!BG162</f>
        <v>86691.35</v>
      </c>
    </row>
    <row r="161" spans="3:6" x14ac:dyDescent="0.3">
      <c r="F161" s="80"/>
    </row>
    <row r="162" spans="3:6" x14ac:dyDescent="0.3">
      <c r="C162" s="83">
        <v>206</v>
      </c>
      <c r="D162" s="83"/>
      <c r="E162" s="83" t="s">
        <v>264</v>
      </c>
      <c r="F162" s="84">
        <f>'5. Bilan'!BG164</f>
        <v>432917677.81</v>
      </c>
    </row>
    <row r="163" spans="3:6" x14ac:dyDescent="0.3">
      <c r="D163">
        <v>2060</v>
      </c>
      <c r="E163" t="s">
        <v>434</v>
      </c>
      <c r="F163" s="89">
        <f>'5. Bilan'!BG165</f>
        <v>34749167.049999997</v>
      </c>
    </row>
    <row r="164" spans="3:6" x14ac:dyDescent="0.3">
      <c r="D164">
        <v>2062</v>
      </c>
      <c r="E164" t="s">
        <v>435</v>
      </c>
      <c r="F164" s="89">
        <f>'5. Bilan'!BG166</f>
        <v>0</v>
      </c>
    </row>
    <row r="165" spans="3:6" x14ac:dyDescent="0.3">
      <c r="D165">
        <v>2063</v>
      </c>
      <c r="E165" t="s">
        <v>436</v>
      </c>
      <c r="F165" s="89">
        <f>'5. Bilan'!BG167</f>
        <v>260040003.54999995</v>
      </c>
    </row>
    <row r="166" spans="3:6" x14ac:dyDescent="0.3">
      <c r="D166">
        <v>2064</v>
      </c>
      <c r="E166" t="s">
        <v>437</v>
      </c>
      <c r="F166" s="89">
        <f>'5. Bilan'!BG168</f>
        <v>139438197.00999999</v>
      </c>
    </row>
    <row r="167" spans="3:6" x14ac:dyDescent="0.3">
      <c r="D167">
        <v>2067</v>
      </c>
      <c r="E167" t="s">
        <v>438</v>
      </c>
      <c r="F167" s="89">
        <f>'5. Bilan'!BG169</f>
        <v>0</v>
      </c>
    </row>
    <row r="168" spans="3:6" x14ac:dyDescent="0.3">
      <c r="D168">
        <v>2069</v>
      </c>
      <c r="E168" t="s">
        <v>439</v>
      </c>
      <c r="F168" s="89">
        <f>'5. Bilan'!BG170</f>
        <v>-1309689.8</v>
      </c>
    </row>
    <row r="169" spans="3:6" x14ac:dyDescent="0.3">
      <c r="F169" s="80"/>
    </row>
    <row r="170" spans="3:6" x14ac:dyDescent="0.3">
      <c r="C170" s="83">
        <v>208</v>
      </c>
      <c r="D170" s="83"/>
      <c r="E170" s="83" t="s">
        <v>265</v>
      </c>
      <c r="F170" s="84">
        <f>'5. Bilan'!BG172</f>
        <v>6467363.7199999997</v>
      </c>
    </row>
    <row r="171" spans="3:6" x14ac:dyDescent="0.3">
      <c r="D171">
        <v>2081</v>
      </c>
      <c r="E171" t="s">
        <v>440</v>
      </c>
      <c r="F171" s="89">
        <f>'5. Bilan'!BG173</f>
        <v>0</v>
      </c>
    </row>
    <row r="172" spans="3:6" x14ac:dyDescent="0.3">
      <c r="D172">
        <v>2082</v>
      </c>
      <c r="E172" t="s">
        <v>441</v>
      </c>
      <c r="F172" s="89">
        <f>'5. Bilan'!BG174</f>
        <v>0</v>
      </c>
    </row>
    <row r="173" spans="3:6" x14ac:dyDescent="0.3">
      <c r="D173">
        <v>2083</v>
      </c>
      <c r="E173" t="s">
        <v>442</v>
      </c>
      <c r="F173" s="89">
        <f>'5. Bilan'!BG175</f>
        <v>10691.47</v>
      </c>
    </row>
    <row r="174" spans="3:6" x14ac:dyDescent="0.3">
      <c r="D174">
        <v>2084</v>
      </c>
      <c r="E174" t="s">
        <v>443</v>
      </c>
      <c r="F174" s="89">
        <f>'5. Bilan'!BG176</f>
        <v>0</v>
      </c>
    </row>
    <row r="175" spans="3:6" x14ac:dyDescent="0.3">
      <c r="D175">
        <v>2085</v>
      </c>
      <c r="E175" t="s">
        <v>445</v>
      </c>
      <c r="F175" s="89">
        <f>'5. Bilan'!BG177</f>
        <v>1989366.5</v>
      </c>
    </row>
    <row r="176" spans="3:6" x14ac:dyDescent="0.3">
      <c r="D176">
        <v>2086</v>
      </c>
      <c r="E176" t="s">
        <v>444</v>
      </c>
      <c r="F176" s="89">
        <f>'5. Bilan'!BG178</f>
        <v>0</v>
      </c>
    </row>
    <row r="177" spans="2:6" x14ac:dyDescent="0.3">
      <c r="D177">
        <v>2087</v>
      </c>
      <c r="E177" t="s">
        <v>446</v>
      </c>
      <c r="F177" s="89">
        <f>'5. Bilan'!BG179</f>
        <v>0</v>
      </c>
    </row>
    <row r="178" spans="2:6" x14ac:dyDescent="0.3">
      <c r="D178">
        <v>2088</v>
      </c>
      <c r="E178" t="s">
        <v>447</v>
      </c>
      <c r="F178" s="89">
        <f>'5. Bilan'!BG180</f>
        <v>0</v>
      </c>
    </row>
    <row r="179" spans="2:6" x14ac:dyDescent="0.3">
      <c r="D179">
        <v>2089</v>
      </c>
      <c r="E179" t="s">
        <v>448</v>
      </c>
      <c r="F179" s="89">
        <f>'5. Bilan'!BG181</f>
        <v>4467305.75</v>
      </c>
    </row>
    <row r="180" spans="2:6" x14ac:dyDescent="0.3">
      <c r="F180" s="80"/>
    </row>
    <row r="181" spans="2:6" x14ac:dyDescent="0.3">
      <c r="C181" s="83">
        <v>209</v>
      </c>
      <c r="D181" s="83"/>
      <c r="E181" s="83" t="s">
        <v>266</v>
      </c>
      <c r="F181" s="84">
        <f>'5. Bilan'!BG183</f>
        <v>9258282.5</v>
      </c>
    </row>
    <row r="182" spans="2:6" x14ac:dyDescent="0.3">
      <c r="D182">
        <v>2090</v>
      </c>
      <c r="E182" t="s">
        <v>266</v>
      </c>
      <c r="F182" s="89">
        <f>'5. Bilan'!BG184</f>
        <v>1108475.05</v>
      </c>
    </row>
    <row r="183" spans="2:6" x14ac:dyDescent="0.3">
      <c r="D183">
        <v>2091</v>
      </c>
      <c r="E183" t="s">
        <v>449</v>
      </c>
      <c r="F183" s="89">
        <f>'5. Bilan'!BG185</f>
        <v>8098847.1500000004</v>
      </c>
    </row>
    <row r="184" spans="2:6" x14ac:dyDescent="0.3">
      <c r="D184">
        <v>2092</v>
      </c>
      <c r="E184" t="s">
        <v>450</v>
      </c>
      <c r="F184" s="89">
        <f>'5. Bilan'!BG186</f>
        <v>900</v>
      </c>
    </row>
    <row r="185" spans="2:6" x14ac:dyDescent="0.3">
      <c r="D185">
        <v>2093</v>
      </c>
      <c r="E185" t="s">
        <v>451</v>
      </c>
      <c r="F185" s="89">
        <f>'5. Bilan'!BG187</f>
        <v>50060.3</v>
      </c>
    </row>
    <row r="186" spans="2:6" x14ac:dyDescent="0.3">
      <c r="F186" s="80"/>
    </row>
    <row r="187" spans="2:6" x14ac:dyDescent="0.3">
      <c r="B187" s="85">
        <v>29</v>
      </c>
      <c r="C187" s="85"/>
      <c r="D187" s="85"/>
      <c r="E187" s="85" t="s">
        <v>267</v>
      </c>
      <c r="F187" s="86">
        <f>'5. Bilan'!BG189</f>
        <v>240440427.36000007</v>
      </c>
    </row>
    <row r="188" spans="2:6" x14ac:dyDescent="0.3">
      <c r="C188" s="83">
        <v>290</v>
      </c>
      <c r="D188" s="83"/>
      <c r="E188" s="83" t="s">
        <v>268</v>
      </c>
      <c r="F188" s="84">
        <f>'5. Bilan'!BG190</f>
        <v>91838538.320000038</v>
      </c>
    </row>
    <row r="189" spans="2:6" x14ac:dyDescent="0.3">
      <c r="D189">
        <v>2900</v>
      </c>
      <c r="E189" t="s">
        <v>268</v>
      </c>
      <c r="F189" s="89">
        <f>'5. Bilan'!BG191</f>
        <v>91838538.320000038</v>
      </c>
    </row>
    <row r="190" spans="2:6" x14ac:dyDescent="0.3">
      <c r="F190" s="80"/>
    </row>
    <row r="191" spans="2:6" x14ac:dyDescent="0.3">
      <c r="C191" s="83">
        <v>291</v>
      </c>
      <c r="D191" s="83"/>
      <c r="E191" s="83" t="s">
        <v>269</v>
      </c>
      <c r="F191" s="84">
        <f>'5. Bilan'!BG193</f>
        <v>5824194.0499999998</v>
      </c>
    </row>
    <row r="192" spans="2:6" x14ac:dyDescent="0.3">
      <c r="D192">
        <v>2910</v>
      </c>
      <c r="E192" t="s">
        <v>269</v>
      </c>
      <c r="F192" s="89">
        <f>'5. Bilan'!BG194</f>
        <v>5554469.2399999993</v>
      </c>
    </row>
    <row r="193" spans="3:6" x14ac:dyDescent="0.3">
      <c r="D193">
        <v>2911</v>
      </c>
      <c r="E193" t="s">
        <v>452</v>
      </c>
      <c r="F193" s="89">
        <f>'5. Bilan'!BG195</f>
        <v>269724.81</v>
      </c>
    </row>
    <row r="194" spans="3:6" x14ac:dyDescent="0.3">
      <c r="F194" s="80"/>
    </row>
    <row r="195" spans="3:6" x14ac:dyDescent="0.3">
      <c r="C195" s="83">
        <v>292</v>
      </c>
      <c r="D195" s="83"/>
      <c r="E195" s="83" t="s">
        <v>270</v>
      </c>
      <c r="F195" s="84">
        <f>'5. Bilan'!BG197</f>
        <v>2171523.7999999998</v>
      </c>
    </row>
    <row r="196" spans="3:6" x14ac:dyDescent="0.3">
      <c r="D196">
        <v>2920</v>
      </c>
      <c r="E196" t="s">
        <v>270</v>
      </c>
      <c r="F196" s="89">
        <f>'5. Bilan'!BG198</f>
        <v>2171523.7999999998</v>
      </c>
    </row>
    <row r="197" spans="3:6" x14ac:dyDescent="0.3">
      <c r="F197" s="80"/>
    </row>
    <row r="198" spans="3:6" x14ac:dyDescent="0.3">
      <c r="C198" s="83">
        <v>293</v>
      </c>
      <c r="D198" s="83"/>
      <c r="E198" s="83" t="s">
        <v>271</v>
      </c>
      <c r="F198" s="84">
        <f>'5. Bilan'!BG200</f>
        <v>5019487.7799999993</v>
      </c>
    </row>
    <row r="199" spans="3:6" x14ac:dyDescent="0.3">
      <c r="D199">
        <v>2930</v>
      </c>
      <c r="E199" t="s">
        <v>271</v>
      </c>
      <c r="F199" s="89">
        <f>'5. Bilan'!BG201</f>
        <v>5019487.7799999993</v>
      </c>
    </row>
    <row r="200" spans="3:6" x14ac:dyDescent="0.3">
      <c r="F200" s="80"/>
    </row>
    <row r="201" spans="3:6" x14ac:dyDescent="0.3">
      <c r="C201" s="83">
        <v>294</v>
      </c>
      <c r="D201" s="83"/>
      <c r="E201" s="83" t="s">
        <v>272</v>
      </c>
      <c r="F201" s="84">
        <f>'5. Bilan'!BG203</f>
        <v>31038418.739999998</v>
      </c>
    </row>
    <row r="202" spans="3:6" x14ac:dyDescent="0.3">
      <c r="D202">
        <v>2940</v>
      </c>
      <c r="E202" t="s">
        <v>272</v>
      </c>
      <c r="F202" s="89">
        <f>'5. Bilan'!BG204</f>
        <v>31038418.739999998</v>
      </c>
    </row>
    <row r="203" spans="3:6" x14ac:dyDescent="0.3">
      <c r="F203" s="80"/>
    </row>
    <row r="204" spans="3:6" x14ac:dyDescent="0.3">
      <c r="C204" s="83">
        <v>295</v>
      </c>
      <c r="D204" s="83"/>
      <c r="E204" s="83" t="s">
        <v>273</v>
      </c>
      <c r="F204" s="84">
        <f>'5. Bilan'!BG206</f>
        <v>96130.319999999992</v>
      </c>
    </row>
    <row r="205" spans="3:6" x14ac:dyDescent="0.3">
      <c r="D205">
        <v>2950</v>
      </c>
      <c r="E205" t="s">
        <v>273</v>
      </c>
      <c r="F205" s="89">
        <f>'5. Bilan'!BG207</f>
        <v>96130.319999999992</v>
      </c>
    </row>
    <row r="206" spans="3:6" x14ac:dyDescent="0.3">
      <c r="F206" s="80"/>
    </row>
    <row r="207" spans="3:6" x14ac:dyDescent="0.3">
      <c r="C207" s="83">
        <v>296</v>
      </c>
      <c r="D207" s="83"/>
      <c r="E207" s="83" t="s">
        <v>274</v>
      </c>
      <c r="F207" s="84">
        <f>'5. Bilan'!BG209</f>
        <v>16454611.33</v>
      </c>
    </row>
    <row r="208" spans="3:6" x14ac:dyDescent="0.3">
      <c r="D208">
        <v>2960</v>
      </c>
      <c r="E208" t="s">
        <v>274</v>
      </c>
      <c r="F208" s="89">
        <f>'5. Bilan'!BG210</f>
        <v>16454611.33</v>
      </c>
    </row>
    <row r="209" spans="3:6" x14ac:dyDescent="0.3">
      <c r="F209" s="80"/>
    </row>
    <row r="210" spans="3:6" x14ac:dyDescent="0.3">
      <c r="C210" s="83">
        <v>298</v>
      </c>
      <c r="D210" s="83"/>
      <c r="E210" s="83" t="s">
        <v>275</v>
      </c>
      <c r="F210" s="84">
        <f>'5. Bilan'!BG212</f>
        <v>146786.6</v>
      </c>
    </row>
    <row r="211" spans="3:6" x14ac:dyDescent="0.3">
      <c r="D211">
        <v>2980</v>
      </c>
      <c r="E211" t="s">
        <v>275</v>
      </c>
      <c r="F211" s="89">
        <f>'5. Bilan'!BG213</f>
        <v>146786.6</v>
      </c>
    </row>
    <row r="212" spans="3:6" x14ac:dyDescent="0.3">
      <c r="F212" s="80"/>
    </row>
    <row r="213" spans="3:6" x14ac:dyDescent="0.3">
      <c r="C213" s="83">
        <v>299</v>
      </c>
      <c r="D213" s="83"/>
      <c r="E213" s="83" t="s">
        <v>453</v>
      </c>
      <c r="F213" s="84">
        <f>'5. Bilan'!BG215</f>
        <v>87850736.420000032</v>
      </c>
    </row>
    <row r="214" spans="3:6" x14ac:dyDescent="0.3">
      <c r="D214">
        <v>2990</v>
      </c>
      <c r="E214" t="s">
        <v>453</v>
      </c>
      <c r="F214" s="80">
        <f>'5. Bilan'!BG216</f>
        <v>2257613.4299999992</v>
      </c>
    </row>
    <row r="215" spans="3:6" x14ac:dyDescent="0.3">
      <c r="D215">
        <v>2999</v>
      </c>
      <c r="E215" t="s">
        <v>454</v>
      </c>
      <c r="F215" s="80">
        <f>'5. Bilan'!BG217</f>
        <v>85593122.990000024</v>
      </c>
    </row>
    <row r="216" spans="3:6" x14ac:dyDescent="0.3">
      <c r="F216" s="80"/>
    </row>
    <row r="217" spans="3:6" x14ac:dyDescent="0.3">
      <c r="F217" s="80"/>
    </row>
    <row r="218" spans="3:6" x14ac:dyDescent="0.3">
      <c r="F218" s="80"/>
    </row>
    <row r="219" spans="3:6" x14ac:dyDescent="0.3">
      <c r="E219" s="60" t="s">
        <v>68</v>
      </c>
      <c r="F219" s="207">
        <f>'5. Bilan'!BG225</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C23" sqref="C23"/>
    </sheetView>
  </sheetViews>
  <sheetFormatPr baseColWidth="10" defaultRowHeight="14.4" x14ac:dyDescent="0.3"/>
  <cols>
    <col min="1" max="1" width="5.88671875" customWidth="1"/>
    <col min="2" max="2" width="7.44140625" customWidth="1"/>
    <col min="3" max="3" width="8.33203125" customWidth="1"/>
    <col min="4" max="4" width="60.5546875" customWidth="1"/>
    <col min="5" max="5" width="22.88671875" customWidth="1"/>
  </cols>
  <sheetData>
    <row r="2" spans="2:5" x14ac:dyDescent="0.3">
      <c r="B2" s="78">
        <v>290</v>
      </c>
      <c r="C2" s="78"/>
      <c r="D2" s="134" t="s">
        <v>268</v>
      </c>
      <c r="E2" s="89">
        <f>'5.2 Tableau bilan'!F188</f>
        <v>91838538.320000038</v>
      </c>
    </row>
    <row r="3" spans="2:5" x14ac:dyDescent="0.3">
      <c r="B3" s="78">
        <v>291</v>
      </c>
      <c r="C3" s="78"/>
      <c r="D3" s="134" t="s">
        <v>269</v>
      </c>
      <c r="E3" s="89">
        <f>'5.2 Tableau bilan'!F191</f>
        <v>5824194.0499999998</v>
      </c>
    </row>
    <row r="4" spans="2:5" x14ac:dyDescent="0.3">
      <c r="B4" s="78">
        <v>292</v>
      </c>
      <c r="C4" s="78"/>
      <c r="D4" s="134" t="s">
        <v>270</v>
      </c>
      <c r="E4" s="89">
        <f>'5.2 Tableau bilan'!F195</f>
        <v>2171523.7999999998</v>
      </c>
    </row>
    <row r="5" spans="2:5" x14ac:dyDescent="0.3">
      <c r="B5" s="78">
        <v>293</v>
      </c>
      <c r="C5" s="78"/>
      <c r="D5" s="134" t="s">
        <v>271</v>
      </c>
      <c r="E5" s="89">
        <f>'5.2 Tableau bilan'!F198</f>
        <v>5019487.7799999993</v>
      </c>
    </row>
    <row r="6" spans="2:5" x14ac:dyDescent="0.3">
      <c r="B6" s="78">
        <v>294</v>
      </c>
      <c r="C6" s="78"/>
      <c r="D6" s="134" t="s">
        <v>272</v>
      </c>
      <c r="E6" s="89">
        <f>'5.2 Tableau bilan'!F201</f>
        <v>31038418.739999998</v>
      </c>
    </row>
    <row r="7" spans="2:5" x14ac:dyDescent="0.3">
      <c r="B7" s="78">
        <v>295</v>
      </c>
      <c r="C7" s="78"/>
      <c r="D7" s="134" t="s">
        <v>273</v>
      </c>
      <c r="E7" s="89">
        <f>'5.2 Tableau bilan'!F204</f>
        <v>96130.319999999992</v>
      </c>
    </row>
    <row r="8" spans="2:5" x14ac:dyDescent="0.3">
      <c r="B8" s="78">
        <v>296</v>
      </c>
      <c r="C8" s="78"/>
      <c r="D8" s="134" t="s">
        <v>274</v>
      </c>
      <c r="E8" s="89">
        <f>'5.2 Tableau bilan'!F207</f>
        <v>16454611.33</v>
      </c>
    </row>
    <row r="9" spans="2:5" x14ac:dyDescent="0.3">
      <c r="B9" s="78">
        <v>298</v>
      </c>
      <c r="C9" s="78"/>
      <c r="D9" s="134" t="s">
        <v>275</v>
      </c>
      <c r="E9" s="89">
        <f>'5.2 Tableau bilan'!F210</f>
        <v>146786.6</v>
      </c>
    </row>
    <row r="10" spans="2:5" x14ac:dyDescent="0.3">
      <c r="B10" s="78">
        <v>299</v>
      </c>
      <c r="C10" s="78"/>
      <c r="D10" s="134" t="s">
        <v>453</v>
      </c>
      <c r="E10" s="89">
        <f>'5.2 Tableau bilan'!F213</f>
        <v>87850736.420000032</v>
      </c>
    </row>
    <row r="11" spans="2:5" x14ac:dyDescent="0.3">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AV7" activePane="bottomRight" state="frozen"/>
      <selection activeCell="C23" sqref="C23"/>
      <selection pane="topRight" activeCell="C23" sqref="C23"/>
      <selection pane="bottomLeft" activeCell="C23" sqref="C23"/>
      <selection pane="bottomRight" activeCell="C23" sqref="C23"/>
    </sheetView>
  </sheetViews>
  <sheetFormatPr baseColWidth="10" defaultRowHeight="14.4" x14ac:dyDescent="0.3"/>
  <cols>
    <col min="1" max="1" width="5.6640625" customWidth="1"/>
    <col min="2" max="2" width="50.33203125" customWidth="1"/>
    <col min="3" max="56" width="16.33203125" customWidth="1"/>
    <col min="57" max="59" width="17.88671875" customWidth="1"/>
  </cols>
  <sheetData>
    <row r="1" spans="1:59" ht="25.8" x14ac:dyDescent="0.5">
      <c r="A1" s="42" t="s">
        <v>461</v>
      </c>
      <c r="B1" s="7"/>
    </row>
    <row r="2" spans="1:59" ht="15" customHeight="1" x14ac:dyDescent="0.3">
      <c r="A2" s="183" t="s">
        <v>459</v>
      </c>
      <c r="B2" s="7"/>
    </row>
    <row r="3" spans="1:59" ht="15" customHeight="1" x14ac:dyDescent="0.3">
      <c r="A3" s="7"/>
      <c r="B3" s="7"/>
    </row>
    <row r="4" spans="1:59" ht="15" customHeight="1" x14ac:dyDescent="0.5">
      <c r="A4" s="42"/>
      <c r="B4" s="7"/>
    </row>
    <row r="5" spans="1:59" x14ac:dyDescent="0.3">
      <c r="A5" s="184"/>
      <c r="C5" s="57">
        <f>'Base de données pop.'!C2</f>
        <v>923</v>
      </c>
      <c r="D5" s="57">
        <f>'Base de données pop.'!C3</f>
        <v>270</v>
      </c>
      <c r="E5" s="57">
        <f>'Base de données pop.'!C4</f>
        <v>485</v>
      </c>
      <c r="F5" s="57">
        <f>'Base de données pop.'!C5</f>
        <v>446</v>
      </c>
      <c r="G5" s="57">
        <f>'Base de données pop.'!C6</f>
        <v>3631</v>
      </c>
      <c r="H5" s="57">
        <f>'Base de données pop.'!C7</f>
        <v>3313</v>
      </c>
      <c r="I5" s="57">
        <f>'Base de données pop.'!C8</f>
        <v>2644</v>
      </c>
      <c r="J5" s="57">
        <f>'Base de données pop.'!C9</f>
        <v>12618</v>
      </c>
      <c r="K5" s="57">
        <f>'Base de données pop.'!C10</f>
        <v>1371</v>
      </c>
      <c r="L5" s="57">
        <f>'Base de données pop.'!C11</f>
        <v>118</v>
      </c>
      <c r="M5" s="57">
        <f>'Base de données pop.'!C12</f>
        <v>7167</v>
      </c>
      <c r="N5" s="57">
        <f>'Base de données pop.'!C13</f>
        <v>528</v>
      </c>
      <c r="O5" s="57">
        <f>'Base de données pop.'!C14</f>
        <v>108</v>
      </c>
      <c r="P5" s="57">
        <f>'Base de données pop.'!C15</f>
        <v>415</v>
      </c>
      <c r="Q5" s="57">
        <f>'Base de données pop.'!C16</f>
        <v>349</v>
      </c>
      <c r="R5" s="57">
        <f>'Base de données pop.'!C17</f>
        <v>687</v>
      </c>
      <c r="S5" s="57">
        <f>'Base de données pop.'!C18</f>
        <v>255</v>
      </c>
      <c r="T5" s="57">
        <f>'Base de données pop.'!C19</f>
        <v>436</v>
      </c>
      <c r="U5" s="57">
        <f>'Base de données pop.'!C20</f>
        <v>3190</v>
      </c>
      <c r="V5" s="57">
        <f>'Base de données pop.'!C21</f>
        <v>324</v>
      </c>
      <c r="W5" s="57">
        <f>'Base de données pop.'!C22</f>
        <v>1246</v>
      </c>
      <c r="X5" s="57">
        <f>'Base de données pop.'!C23</f>
        <v>1528</v>
      </c>
      <c r="Y5" s="57">
        <f>'Base de données pop.'!C24</f>
        <v>96</v>
      </c>
      <c r="Z5" s="57">
        <f>'Base de données pop.'!C25</f>
        <v>149</v>
      </c>
      <c r="AA5" s="57">
        <f>'Base de données pop.'!C26</f>
        <v>516</v>
      </c>
      <c r="AB5" s="57">
        <f>'Base de données pop.'!C27</f>
        <v>671</v>
      </c>
      <c r="AC5" s="57">
        <f>'Base de données pop.'!C28</f>
        <v>572</v>
      </c>
      <c r="AD5" s="57">
        <f>'Base de données pop.'!C29</f>
        <v>490</v>
      </c>
      <c r="AE5" s="57">
        <f>'Base de données pop.'!C30</f>
        <v>1914</v>
      </c>
      <c r="AF5" s="57">
        <f>'Base de données pop.'!C31</f>
        <v>2615</v>
      </c>
      <c r="AG5" s="57">
        <f>'Base de données pop.'!C32</f>
        <v>227</v>
      </c>
      <c r="AH5" s="57">
        <f>'Base de données pop.'!C33</f>
        <v>131</v>
      </c>
      <c r="AI5" s="57">
        <f>'Base de données pop.'!C34</f>
        <v>1895</v>
      </c>
      <c r="AJ5" s="57">
        <f>'Base de données pop.'!C35</f>
        <v>1135</v>
      </c>
      <c r="AK5" s="57">
        <f>'Base de données pop.'!C36</f>
        <v>1241</v>
      </c>
      <c r="AL5" s="57">
        <f>'Base de données pop.'!C37</f>
        <v>119</v>
      </c>
      <c r="AM5" s="57">
        <f>'Base de données pop.'!C38</f>
        <v>1195</v>
      </c>
      <c r="AN5" s="57">
        <f>'Base de données pop.'!C39</f>
        <v>663</v>
      </c>
      <c r="AO5" s="57">
        <f>'Base de données pop.'!C40</f>
        <v>645</v>
      </c>
      <c r="AP5" s="57">
        <f>'Base de données pop.'!C41</f>
        <v>1263</v>
      </c>
      <c r="AQ5" s="57">
        <f>'Base de données pop.'!C42</f>
        <v>740</v>
      </c>
      <c r="AR5" s="57">
        <f>'Base de données pop.'!C43</f>
        <v>1028</v>
      </c>
      <c r="AS5" s="57">
        <f>'Base de données pop.'!C44</f>
        <v>314</v>
      </c>
      <c r="AT5" s="57">
        <f>'Base de données pop.'!C45</f>
        <v>2400</v>
      </c>
      <c r="AU5" s="57">
        <f>'Base de données pop.'!C46</f>
        <v>755</v>
      </c>
      <c r="AV5" s="57">
        <f>'Base de données pop.'!C47</f>
        <v>181</v>
      </c>
      <c r="AW5" s="57">
        <f>'Base de données pop.'!C48</f>
        <v>347</v>
      </c>
      <c r="AX5" s="57">
        <f>'Base de données pop.'!C49</f>
        <v>1690</v>
      </c>
      <c r="AY5" s="57">
        <f>'Base de données pop.'!C50</f>
        <v>387</v>
      </c>
      <c r="AZ5" s="57">
        <f>'Base de données pop.'!C51</f>
        <v>1096</v>
      </c>
      <c r="BA5" s="57">
        <f>'Base de données pop.'!C52</f>
        <v>188</v>
      </c>
      <c r="BB5" s="57">
        <f>'Base de données pop.'!C53</f>
        <v>6434</v>
      </c>
      <c r="BC5" s="57">
        <f>'Base de données pop.'!C54</f>
        <v>560</v>
      </c>
      <c r="BD5" s="57">
        <f>SUM(C5:BC5)</f>
        <v>73709</v>
      </c>
      <c r="BE5" s="57">
        <f>SUM(C5:U5)</f>
        <v>38954</v>
      </c>
      <c r="BF5" s="57">
        <f>SUM(V5:AH5)</f>
        <v>10479</v>
      </c>
      <c r="BG5" s="57">
        <f>SUM(AI5:BC5)</f>
        <v>24276</v>
      </c>
    </row>
    <row r="6" spans="1:59" x14ac:dyDescent="0.3">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3">
      <c r="A7" s="67">
        <v>10</v>
      </c>
      <c r="B7" s="67" t="s">
        <v>247</v>
      </c>
      <c r="C7" s="101">
        <f>'5. Bilan'!F5</f>
        <v>6025500.6899999995</v>
      </c>
      <c r="D7" s="101">
        <f>'5. Bilan'!G5</f>
        <v>1369739.14</v>
      </c>
      <c r="E7" s="101">
        <f>'5. Bilan'!H5</f>
        <v>4309212.78</v>
      </c>
      <c r="F7" s="101">
        <f>'5. Bilan'!I5</f>
        <v>4657259.62</v>
      </c>
      <c r="G7" s="101">
        <f>'5. Bilan'!J5</f>
        <v>15173301.85</v>
      </c>
      <c r="H7" s="101">
        <f>'5. Bilan'!K5</f>
        <v>8929891.379999999</v>
      </c>
      <c r="I7" s="101">
        <f>'5. Bilan'!L5</f>
        <v>10459838.139999999</v>
      </c>
      <c r="J7" s="101">
        <f>'5. Bilan'!M5</f>
        <v>48329637.409999996</v>
      </c>
      <c r="K7" s="101">
        <f>'5. Bilan'!N5</f>
        <v>4231787.96</v>
      </c>
      <c r="L7" s="101">
        <f>'5. Bilan'!O5</f>
        <v>401366.44</v>
      </c>
      <c r="M7" s="101">
        <f>'5. Bilan'!P5</f>
        <v>19270794.450000003</v>
      </c>
      <c r="N7" s="101">
        <f>'5. Bilan'!Q5</f>
        <v>2306934.9900000002</v>
      </c>
      <c r="O7" s="101">
        <f>'5. Bilan'!R5</f>
        <v>340332.25000000006</v>
      </c>
      <c r="P7" s="101">
        <f>'5. Bilan'!S5</f>
        <v>1454184.04</v>
      </c>
      <c r="Q7" s="101">
        <f>'5. Bilan'!T5</f>
        <v>2240322.35</v>
      </c>
      <c r="R7" s="101">
        <f>'5. Bilan'!U5</f>
        <v>5578034.3599999994</v>
      </c>
      <c r="S7" s="101">
        <f>'5. Bilan'!V5</f>
        <v>797906.42</v>
      </c>
      <c r="T7" s="101">
        <f>'5. Bilan'!W5</f>
        <v>2606499.7699999996</v>
      </c>
      <c r="U7" s="101">
        <f>'5. Bilan'!X5</f>
        <v>5690503.7400000002</v>
      </c>
      <c r="V7" s="101">
        <f>'5. Bilan'!Y5</f>
        <v>1782334.11</v>
      </c>
      <c r="W7" s="101">
        <f>'5. Bilan'!Z5</f>
        <v>4607305.3099999996</v>
      </c>
      <c r="X7" s="101">
        <f>'5. Bilan'!AA5</f>
        <v>22682781.649999999</v>
      </c>
      <c r="Y7" s="101">
        <f>'5. Bilan'!AB5</f>
        <v>514539.83999999997</v>
      </c>
      <c r="Z7" s="101">
        <f>'5. Bilan'!AC5</f>
        <v>1718422.2500000002</v>
      </c>
      <c r="AA7" s="101">
        <f>'5. Bilan'!AD5</f>
        <v>3153746.6100000003</v>
      </c>
      <c r="AB7" s="101">
        <f>'5. Bilan'!AE5</f>
        <v>3204642.4699999997</v>
      </c>
      <c r="AC7" s="101">
        <f>'5. Bilan'!AF5</f>
        <v>2898436.0999999996</v>
      </c>
      <c r="AD7" s="101">
        <f>'5. Bilan'!AG5</f>
        <v>4936104.3499999996</v>
      </c>
      <c r="AE7" s="101">
        <f>'5. Bilan'!AH5</f>
        <v>9508703.8300000001</v>
      </c>
      <c r="AF7" s="101">
        <f>'5. Bilan'!AI5</f>
        <v>10854436.879999999</v>
      </c>
      <c r="AG7" s="101">
        <f>'5. Bilan'!AJ5</f>
        <v>1895624.56</v>
      </c>
      <c r="AH7" s="101">
        <f>'5. Bilan'!AK5</f>
        <v>2296499.59</v>
      </c>
      <c r="AI7" s="101">
        <f>'5. Bilan'!AL5</f>
        <v>5395628.6899999995</v>
      </c>
      <c r="AJ7" s="101">
        <f>'5. Bilan'!AM5</f>
        <v>5311232.7699999996</v>
      </c>
      <c r="AK7" s="101">
        <f>'5. Bilan'!AN5</f>
        <v>5192149.76</v>
      </c>
      <c r="AL7" s="101">
        <f>'5. Bilan'!AO5</f>
        <v>945916.81999999983</v>
      </c>
      <c r="AM7" s="101">
        <f>'5. Bilan'!AP5</f>
        <v>14951876.23</v>
      </c>
      <c r="AN7" s="101">
        <f>'5. Bilan'!AQ5</f>
        <v>4059251.8099999996</v>
      </c>
      <c r="AO7" s="101">
        <f>'5. Bilan'!AR5</f>
        <v>3653483.9</v>
      </c>
      <c r="AP7" s="101">
        <f>'5. Bilan'!AS5</f>
        <v>12084593.449999999</v>
      </c>
      <c r="AQ7" s="101">
        <f>'5. Bilan'!AT5</f>
        <v>2583134</v>
      </c>
      <c r="AR7" s="101">
        <f>'5. Bilan'!AU5</f>
        <v>4268060.6800000006</v>
      </c>
      <c r="AS7" s="101">
        <f>'5. Bilan'!AV5</f>
        <v>3818782.6800000006</v>
      </c>
      <c r="AT7" s="101">
        <f>'5. Bilan'!AW5</f>
        <v>6505495.3100000005</v>
      </c>
      <c r="AU7" s="101">
        <f>'5. Bilan'!AX5</f>
        <v>3077294.9799999995</v>
      </c>
      <c r="AV7" s="101">
        <f>'5. Bilan'!AY5</f>
        <v>678851.45</v>
      </c>
      <c r="AW7" s="101">
        <f>'5. Bilan'!AZ5</f>
        <v>2359237.4</v>
      </c>
      <c r="AX7" s="101">
        <f>'5. Bilan'!BA5</f>
        <v>4869007.3099999996</v>
      </c>
      <c r="AY7" s="101">
        <f>'5. Bilan'!BB5</f>
        <v>3035892.37</v>
      </c>
      <c r="AZ7" s="101">
        <f>'5. Bilan'!BC5</f>
        <v>4691561.72</v>
      </c>
      <c r="BA7" s="101">
        <f>'5. Bilan'!BD5</f>
        <v>866228.97</v>
      </c>
      <c r="BB7" s="101">
        <f>'5. Bilan'!BE5</f>
        <v>30853239.349999994</v>
      </c>
      <c r="BC7" s="101">
        <f>'5. Bilan'!BF5</f>
        <v>2569790.9000000004</v>
      </c>
      <c r="BD7" s="101">
        <f>SUM(C7:BC7)</f>
        <v>335997335.88</v>
      </c>
      <c r="BE7" s="101">
        <f>SUM(C7:U7)</f>
        <v>144173047.77999997</v>
      </c>
      <c r="BF7" s="101">
        <f>SUM(V7:AH7)</f>
        <v>70053577.550000012</v>
      </c>
      <c r="BG7" s="101">
        <f>SUM(AI7:BC7)</f>
        <v>121770710.55000001</v>
      </c>
    </row>
    <row r="8" spans="1:59" x14ac:dyDescent="0.3">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3">
      <c r="A9" s="67">
        <v>20</v>
      </c>
      <c r="B9" s="67" t="s">
        <v>259</v>
      </c>
      <c r="C9" s="101">
        <f>'5. Bilan'!F121</f>
        <v>9136260.5199999996</v>
      </c>
      <c r="D9" s="101">
        <f>'5. Bilan'!G121</f>
        <v>2523210.25</v>
      </c>
      <c r="E9" s="101">
        <f>'5. Bilan'!H121</f>
        <v>6461558.5199999996</v>
      </c>
      <c r="F9" s="101">
        <f>'5. Bilan'!I121</f>
        <v>4936358.18</v>
      </c>
      <c r="G9" s="101">
        <f>'5. Bilan'!J121</f>
        <v>26343468.57</v>
      </c>
      <c r="H9" s="101">
        <f>'5. Bilan'!K121</f>
        <v>25837679.66</v>
      </c>
      <c r="I9" s="101">
        <f>'5. Bilan'!L121</f>
        <v>11484688.109999999</v>
      </c>
      <c r="J9" s="101">
        <f>'5. Bilan'!M121</f>
        <v>139191397.21999997</v>
      </c>
      <c r="K9" s="101">
        <f>'5. Bilan'!N121</f>
        <v>7307071.8300000001</v>
      </c>
      <c r="L9" s="101">
        <f>'5. Bilan'!O121</f>
        <v>862038.84000000008</v>
      </c>
      <c r="M9" s="154">
        <f>'5. Bilan'!P121</f>
        <v>46214165.719999999</v>
      </c>
      <c r="N9" s="101">
        <f>'5. Bilan'!Q121</f>
        <v>3674228.8800000004</v>
      </c>
      <c r="O9" s="101">
        <f>'5. Bilan'!R121</f>
        <v>585366.75</v>
      </c>
      <c r="P9" s="101">
        <f>'5. Bilan'!S121</f>
        <v>3329882.66</v>
      </c>
      <c r="Q9" s="101">
        <f>'5. Bilan'!T121</f>
        <v>4328768.28</v>
      </c>
      <c r="R9" s="101">
        <f>'5. Bilan'!U121</f>
        <v>5783474.6900000004</v>
      </c>
      <c r="S9" s="101">
        <f>'5. Bilan'!V121</f>
        <v>1064577.6300000001</v>
      </c>
      <c r="T9" s="101">
        <f>'5. Bilan'!W121</f>
        <v>4351613.58</v>
      </c>
      <c r="U9" s="101">
        <f>'5. Bilan'!X121</f>
        <v>16521169.08</v>
      </c>
      <c r="V9" s="101">
        <f>'5. Bilan'!Y121</f>
        <v>701823.61</v>
      </c>
      <c r="W9" s="101">
        <f>'5. Bilan'!Z121</f>
        <v>12393883.23</v>
      </c>
      <c r="X9" s="101">
        <f>'5. Bilan'!AA121</f>
        <v>13352559.84</v>
      </c>
      <c r="Y9" s="101">
        <f>'5. Bilan'!AB121</f>
        <v>650530.85</v>
      </c>
      <c r="Z9" s="101">
        <f>'5. Bilan'!AC121</f>
        <v>1324155.57</v>
      </c>
      <c r="AA9" s="101">
        <f>'5. Bilan'!AD121</f>
        <v>3949290.9899999998</v>
      </c>
      <c r="AB9" s="101">
        <f>'5. Bilan'!AE121</f>
        <v>8603148.8800000008</v>
      </c>
      <c r="AC9" s="101">
        <f>'5. Bilan'!AF121</f>
        <v>4184157.13</v>
      </c>
      <c r="AD9" s="101">
        <f>'5. Bilan'!AG121</f>
        <v>1835141.4</v>
      </c>
      <c r="AE9" s="101">
        <f>'5. Bilan'!AH121</f>
        <v>8867147.3900000006</v>
      </c>
      <c r="AF9" s="101">
        <f>'5. Bilan'!AI121</f>
        <v>21041584.219999999</v>
      </c>
      <c r="AG9" s="101">
        <f>'5. Bilan'!AJ121</f>
        <v>1776842.86</v>
      </c>
      <c r="AH9" s="101">
        <f>'5. Bilan'!AK121</f>
        <v>1181704</v>
      </c>
      <c r="AI9" s="101">
        <f>'5. Bilan'!AL121</f>
        <v>17629904.52</v>
      </c>
      <c r="AJ9" s="101">
        <f>'5. Bilan'!AM121</f>
        <v>10327486.98</v>
      </c>
      <c r="AK9" s="101">
        <f>'5. Bilan'!AN121</f>
        <v>11723916.060000002</v>
      </c>
      <c r="AL9" s="101">
        <f>'5. Bilan'!AO121</f>
        <v>2118226.58</v>
      </c>
      <c r="AM9" s="101">
        <f>'5. Bilan'!AP121</f>
        <v>11108782.970000001</v>
      </c>
      <c r="AN9" s="101">
        <f>'5. Bilan'!AQ121</f>
        <v>5278048.49</v>
      </c>
      <c r="AO9" s="101">
        <f>'5. Bilan'!AR121</f>
        <v>4581585.83</v>
      </c>
      <c r="AP9" s="101">
        <f>'5. Bilan'!AS121</f>
        <v>10511435.380000001</v>
      </c>
      <c r="AQ9" s="101">
        <f>'5. Bilan'!AT121</f>
        <v>5932741.29</v>
      </c>
      <c r="AR9" s="101">
        <f>'5. Bilan'!AU121</f>
        <v>8541645.5500000007</v>
      </c>
      <c r="AS9" s="101">
        <f>'5. Bilan'!AV121</f>
        <v>2009618.6500000001</v>
      </c>
      <c r="AT9" s="101">
        <f>'5. Bilan'!AW121</f>
        <v>14597972.57</v>
      </c>
      <c r="AU9" s="101">
        <f>'5. Bilan'!AX121</f>
        <v>6019600.25</v>
      </c>
      <c r="AV9" s="101">
        <f>'5. Bilan'!AY121</f>
        <v>982153.85</v>
      </c>
      <c r="AW9" s="101">
        <f>'5. Bilan'!AZ121</f>
        <v>2330422.44</v>
      </c>
      <c r="AX9" s="101">
        <f>'5. Bilan'!BA121</f>
        <v>21035834.379999999</v>
      </c>
      <c r="AY9" s="101">
        <f>'5. Bilan'!BB121</f>
        <v>1750180.59</v>
      </c>
      <c r="AZ9" s="101">
        <f>'5. Bilan'!BC121</f>
        <v>10648246.140000001</v>
      </c>
      <c r="BA9" s="101">
        <f>'5. Bilan'!BD121</f>
        <v>295678.96000000002</v>
      </c>
      <c r="BB9" s="101">
        <f>'5. Bilan'!BE121</f>
        <v>69383333.870000005</v>
      </c>
      <c r="BC9" s="101">
        <f>'5. Bilan'!BF121</f>
        <v>4724519.8</v>
      </c>
      <c r="BD9" s="101">
        <f>SUM(C9:BC9)</f>
        <v>621330284.08999991</v>
      </c>
      <c r="BE9" s="101">
        <f t="shared" ref="BE9:BE23" si="0">SUM(C9:U9)</f>
        <v>319936978.96999991</v>
      </c>
      <c r="BF9" s="101">
        <f t="shared" ref="BF9:BF23" si="1">SUM(V9:AH9)</f>
        <v>79861969.969999999</v>
      </c>
      <c r="BG9" s="101">
        <f t="shared" ref="BG9:BG23" si="2">SUM(AI9:BC9)</f>
        <v>221531335.15000001</v>
      </c>
    </row>
    <row r="10" spans="1:59" x14ac:dyDescent="0.3">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3">
      <c r="A11" s="67">
        <v>200</v>
      </c>
      <c r="B11" s="67" t="s">
        <v>460</v>
      </c>
      <c r="C11" s="101">
        <f>'5. Bilan'!F122</f>
        <v>3771.65</v>
      </c>
      <c r="D11" s="101">
        <f>'5. Bilan'!G122</f>
        <v>44599</v>
      </c>
      <c r="E11" s="101">
        <f>'5. Bilan'!H122</f>
        <v>112759.55</v>
      </c>
      <c r="F11" s="101">
        <f>'5. Bilan'!I122</f>
        <v>235227.35</v>
      </c>
      <c r="G11" s="101">
        <f>'5. Bilan'!J122</f>
        <v>600201.06999999995</v>
      </c>
      <c r="H11" s="101">
        <f>'5. Bilan'!K122</f>
        <v>1247071.52</v>
      </c>
      <c r="I11" s="101">
        <f>'5. Bilan'!L122</f>
        <v>201552.2</v>
      </c>
      <c r="J11" s="101">
        <f>'5. Bilan'!M122</f>
        <v>9604614.6600000001</v>
      </c>
      <c r="K11" s="101">
        <f>'5. Bilan'!N122</f>
        <v>409615.93</v>
      </c>
      <c r="L11" s="101">
        <f>'5. Bilan'!O122</f>
        <v>0</v>
      </c>
      <c r="M11" s="101">
        <f>'5. Bilan'!P122</f>
        <v>1453277.2199999997</v>
      </c>
      <c r="N11" s="101">
        <f>'5. Bilan'!Q122</f>
        <v>97190.07</v>
      </c>
      <c r="O11" s="101">
        <f>'5. Bilan'!R122</f>
        <v>25537.75</v>
      </c>
      <c r="P11" s="101">
        <f>'5. Bilan'!S122</f>
        <v>266808.40999999997</v>
      </c>
      <c r="Q11" s="101">
        <f>'5. Bilan'!T122</f>
        <v>563608.91</v>
      </c>
      <c r="R11" s="101">
        <f>'5. Bilan'!U122</f>
        <v>394276.37</v>
      </c>
      <c r="S11" s="101">
        <f>'5. Bilan'!V122</f>
        <v>213190.62</v>
      </c>
      <c r="T11" s="101">
        <f>'5. Bilan'!W122</f>
        <v>221716.44999999998</v>
      </c>
      <c r="U11" s="101">
        <f>'5. Bilan'!X122</f>
        <v>2071297.1199999999</v>
      </c>
      <c r="V11" s="101">
        <f>'5. Bilan'!Y122</f>
        <v>0</v>
      </c>
      <c r="W11" s="101">
        <f>'5. Bilan'!Z122</f>
        <v>8866789.9800000004</v>
      </c>
      <c r="X11" s="101">
        <f>'5. Bilan'!AA122</f>
        <v>3389024.96</v>
      </c>
      <c r="Y11" s="101">
        <f>'5. Bilan'!AB122</f>
        <v>33957.25</v>
      </c>
      <c r="Z11" s="101">
        <f>'5. Bilan'!AC122</f>
        <v>31444.129999999997</v>
      </c>
      <c r="AA11" s="101">
        <f>'5. Bilan'!AD122</f>
        <v>287157.11</v>
      </c>
      <c r="AB11" s="101">
        <f>'5. Bilan'!AE122</f>
        <v>667667.15</v>
      </c>
      <c r="AC11" s="101">
        <f>'5. Bilan'!AF122</f>
        <v>0</v>
      </c>
      <c r="AD11" s="101">
        <f>'5. Bilan'!AG122</f>
        <v>163650.84999999998</v>
      </c>
      <c r="AE11" s="101">
        <f>'5. Bilan'!AH122</f>
        <v>1264494.6400000001</v>
      </c>
      <c r="AF11" s="101">
        <f>'5. Bilan'!AI122</f>
        <v>283596.94999999995</v>
      </c>
      <c r="AG11" s="101">
        <f>'5. Bilan'!AJ122</f>
        <v>613599.80000000005</v>
      </c>
      <c r="AH11" s="101">
        <f>'5. Bilan'!AK122</f>
        <v>43246.05</v>
      </c>
      <c r="AI11" s="101">
        <f>'5. Bilan'!AL122</f>
        <v>341959.9</v>
      </c>
      <c r="AJ11" s="101">
        <f>'5. Bilan'!AM122</f>
        <v>16414.79</v>
      </c>
      <c r="AK11" s="101">
        <f>'5. Bilan'!AN122</f>
        <v>228127.4</v>
      </c>
      <c r="AL11" s="101">
        <f>'5. Bilan'!AO122</f>
        <v>30726.94</v>
      </c>
      <c r="AM11" s="101">
        <f>'5. Bilan'!AP122</f>
        <v>1175364.1000000001</v>
      </c>
      <c r="AN11" s="101">
        <f>'5. Bilan'!AQ122</f>
        <v>422314.19</v>
      </c>
      <c r="AO11" s="101">
        <f>'5. Bilan'!AR122</f>
        <v>135767.88</v>
      </c>
      <c r="AP11" s="101">
        <f>'5. Bilan'!AS122</f>
        <v>322954.8</v>
      </c>
      <c r="AQ11" s="101">
        <f>'5. Bilan'!AT122</f>
        <v>362403.69</v>
      </c>
      <c r="AR11" s="101">
        <f>'5. Bilan'!AU122</f>
        <v>315891.65999999997</v>
      </c>
      <c r="AS11" s="101">
        <f>'5. Bilan'!AV122</f>
        <v>47182.1</v>
      </c>
      <c r="AT11" s="101">
        <f>'5. Bilan'!AW122</f>
        <v>526840.46</v>
      </c>
      <c r="AU11" s="101">
        <f>'5. Bilan'!AX122</f>
        <v>125306.3</v>
      </c>
      <c r="AV11" s="101">
        <f>'5. Bilan'!AY122</f>
        <v>18759.349999999999</v>
      </c>
      <c r="AW11" s="101">
        <f>'5. Bilan'!AZ122</f>
        <v>158646.04999999999</v>
      </c>
      <c r="AX11" s="101">
        <f>'5. Bilan'!BA122</f>
        <v>1392297.75</v>
      </c>
      <c r="AY11" s="101">
        <f>'5. Bilan'!BB122</f>
        <v>34063.440000000002</v>
      </c>
      <c r="AZ11" s="101">
        <f>'5. Bilan'!BC122</f>
        <v>1010318.05</v>
      </c>
      <c r="BA11" s="101">
        <f>'5. Bilan'!BD122</f>
        <v>57543.880000000005</v>
      </c>
      <c r="BB11" s="101">
        <f>'5. Bilan'!BE122</f>
        <v>2286095.0300000003</v>
      </c>
      <c r="BC11" s="101">
        <f>'5. Bilan'!BF122</f>
        <v>403308.85</v>
      </c>
      <c r="BD11" s="101">
        <f>SUM(C11:BC11)</f>
        <v>42823231.329999983</v>
      </c>
      <c r="BE11" s="101">
        <f t="shared" si="0"/>
        <v>17766315.849999998</v>
      </c>
      <c r="BF11" s="101">
        <f t="shared" si="1"/>
        <v>15644628.870000003</v>
      </c>
      <c r="BG11" s="101">
        <f t="shared" si="2"/>
        <v>9412286.6099999994</v>
      </c>
    </row>
    <row r="12" spans="1:59" x14ac:dyDescent="0.3">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3">
      <c r="A13" s="67">
        <v>201</v>
      </c>
      <c r="B13" s="67" t="s">
        <v>261</v>
      </c>
      <c r="C13" s="101">
        <f>'5. Bilan'!F132</f>
        <v>3909040.7600000002</v>
      </c>
      <c r="D13" s="101">
        <f>'5. Bilan'!G132</f>
        <v>112700</v>
      </c>
      <c r="E13" s="101">
        <f>'5. Bilan'!H132</f>
        <v>180090.75</v>
      </c>
      <c r="F13" s="101">
        <f>'5. Bilan'!I132</f>
        <v>352998.32999999996</v>
      </c>
      <c r="G13" s="101">
        <f>'5. Bilan'!J132</f>
        <v>4511771.7</v>
      </c>
      <c r="H13" s="101">
        <f>'5. Bilan'!K132</f>
        <v>5916914</v>
      </c>
      <c r="I13" s="101">
        <f>'5. Bilan'!L132</f>
        <v>0</v>
      </c>
      <c r="J13" s="101">
        <f>'5. Bilan'!M132</f>
        <v>49004578.5</v>
      </c>
      <c r="K13" s="101">
        <f>'5. Bilan'!N132</f>
        <v>267000</v>
      </c>
      <c r="L13" s="101">
        <f>'5. Bilan'!O132</f>
        <v>0</v>
      </c>
      <c r="M13" s="101">
        <f>'5. Bilan'!P132</f>
        <v>12857311.639999999</v>
      </c>
      <c r="N13" s="101">
        <f>'5. Bilan'!Q132</f>
        <v>1264473.8700000001</v>
      </c>
      <c r="O13" s="101">
        <f>'5. Bilan'!R132</f>
        <v>125256.5</v>
      </c>
      <c r="P13" s="101">
        <f>'5. Bilan'!S132</f>
        <v>0</v>
      </c>
      <c r="Q13" s="101">
        <f>'5. Bilan'!T132</f>
        <v>2512156.62</v>
      </c>
      <c r="R13" s="101">
        <f>'5. Bilan'!U132</f>
        <v>0</v>
      </c>
      <c r="S13" s="101">
        <f>'5. Bilan'!V132</f>
        <v>160308.08000000002</v>
      </c>
      <c r="T13" s="101">
        <f>'5. Bilan'!W132</f>
        <v>1963055.37</v>
      </c>
      <c r="U13" s="101">
        <f>'5. Bilan'!X132</f>
        <v>-76048.84</v>
      </c>
      <c r="V13" s="101">
        <f>'5. Bilan'!Y132</f>
        <v>63507.4</v>
      </c>
      <c r="W13" s="101">
        <f>'5. Bilan'!Z132</f>
        <v>0</v>
      </c>
      <c r="X13" s="101">
        <f>'5. Bilan'!AA132</f>
        <v>0</v>
      </c>
      <c r="Y13" s="101">
        <f>'5. Bilan'!AB132</f>
        <v>0</v>
      </c>
      <c r="Z13" s="101">
        <f>'5. Bilan'!AC132</f>
        <v>0</v>
      </c>
      <c r="AA13" s="101">
        <f>'5. Bilan'!AD132</f>
        <v>795091.5</v>
      </c>
      <c r="AB13" s="101">
        <f>'5. Bilan'!AE132</f>
        <v>87760.01</v>
      </c>
      <c r="AC13" s="101">
        <f>'5. Bilan'!AF132</f>
        <v>195428.94</v>
      </c>
      <c r="AD13" s="101">
        <f>'5. Bilan'!AG132</f>
        <v>484090.64999999997</v>
      </c>
      <c r="AE13" s="101">
        <f>'5. Bilan'!AH132</f>
        <v>1436720.75</v>
      </c>
      <c r="AF13" s="101">
        <f>'5. Bilan'!AI132</f>
        <v>7465503.8499999996</v>
      </c>
      <c r="AG13" s="101">
        <f>'5. Bilan'!AJ132</f>
        <v>64804.639999999999</v>
      </c>
      <c r="AH13" s="101">
        <f>'5. Bilan'!AK132</f>
        <v>148300</v>
      </c>
      <c r="AI13" s="101">
        <f>'5. Bilan'!AL132</f>
        <v>0</v>
      </c>
      <c r="AJ13" s="101">
        <f>'5. Bilan'!AM132</f>
        <v>1134925.8399999999</v>
      </c>
      <c r="AK13" s="101">
        <f>'5. Bilan'!AN132</f>
        <v>438479.73</v>
      </c>
      <c r="AL13" s="101">
        <f>'5. Bilan'!AO132</f>
        <v>0</v>
      </c>
      <c r="AM13" s="101">
        <f>'5. Bilan'!AP132</f>
        <v>1000000</v>
      </c>
      <c r="AN13" s="101">
        <f>'5. Bilan'!AQ132</f>
        <v>50050</v>
      </c>
      <c r="AO13" s="101">
        <f>'5. Bilan'!AR132</f>
        <v>334240</v>
      </c>
      <c r="AP13" s="101">
        <f>'5. Bilan'!AS132</f>
        <v>524000</v>
      </c>
      <c r="AQ13" s="101">
        <f>'5. Bilan'!AT132</f>
        <v>333359.06</v>
      </c>
      <c r="AR13" s="101">
        <f>'5. Bilan'!AU132</f>
        <v>276059</v>
      </c>
      <c r="AS13" s="101">
        <f>'5. Bilan'!AV132</f>
        <v>19300</v>
      </c>
      <c r="AT13" s="101">
        <f>'5. Bilan'!AW132</f>
        <v>0</v>
      </c>
      <c r="AU13" s="101">
        <f>'5. Bilan'!AX132</f>
        <v>1227600</v>
      </c>
      <c r="AV13" s="101">
        <f>'5. Bilan'!AY132</f>
        <v>0</v>
      </c>
      <c r="AW13" s="101">
        <f>'5. Bilan'!AZ132</f>
        <v>235243.64</v>
      </c>
      <c r="AX13" s="101">
        <f>'5. Bilan'!BA132</f>
        <v>530829.82999999996</v>
      </c>
      <c r="AY13" s="101">
        <f>'5. Bilan'!BB132</f>
        <v>772673.41</v>
      </c>
      <c r="AZ13" s="101">
        <f>'5. Bilan'!BC132</f>
        <v>988442.09</v>
      </c>
      <c r="BA13" s="101">
        <f>'5. Bilan'!BD132</f>
        <v>0</v>
      </c>
      <c r="BB13" s="101">
        <f>'5. Bilan'!BE132</f>
        <v>10110840.08</v>
      </c>
      <c r="BC13" s="101">
        <f>'5. Bilan'!BF132</f>
        <v>150426</v>
      </c>
      <c r="BD13" s="101">
        <f>SUM(C13:BC13)</f>
        <v>111929283.70000002</v>
      </c>
      <c r="BE13" s="101">
        <f t="shared" si="0"/>
        <v>83061607.280000001</v>
      </c>
      <c r="BF13" s="101">
        <f t="shared" si="1"/>
        <v>10741207.74</v>
      </c>
      <c r="BG13" s="101">
        <f t="shared" si="2"/>
        <v>18126468.68</v>
      </c>
    </row>
    <row r="14" spans="1:59" x14ac:dyDescent="0.3">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3">
      <c r="A15" s="67">
        <v>206</v>
      </c>
      <c r="B15" s="67" t="s">
        <v>264</v>
      </c>
      <c r="C15" s="101">
        <f>'5. Bilan'!F164</f>
        <v>4874949.96</v>
      </c>
      <c r="D15" s="101">
        <f>'5. Bilan'!G164</f>
        <v>2330502.85</v>
      </c>
      <c r="E15" s="101">
        <f>'5. Bilan'!H164</f>
        <v>5359040</v>
      </c>
      <c r="F15" s="101">
        <f>'5. Bilan'!I164</f>
        <v>3992448.21</v>
      </c>
      <c r="G15" s="101">
        <f>'5. Bilan'!J164</f>
        <v>20219956.25</v>
      </c>
      <c r="H15" s="101">
        <f>'5. Bilan'!K164</f>
        <v>16975600</v>
      </c>
      <c r="I15" s="101">
        <f>'5. Bilan'!L164</f>
        <v>10391906.689999999</v>
      </c>
      <c r="J15" s="101">
        <f>'5. Bilan'!M164</f>
        <v>74043576.549999997</v>
      </c>
      <c r="K15" s="101">
        <f>'5. Bilan'!N164</f>
        <v>6416829.75</v>
      </c>
      <c r="L15" s="101">
        <f>'5. Bilan'!O164</f>
        <v>825716.9</v>
      </c>
      <c r="M15" s="101">
        <f>'5. Bilan'!P164</f>
        <v>30426335.699999999</v>
      </c>
      <c r="N15" s="101">
        <f>'5. Bilan'!Q164</f>
        <v>1797463.35</v>
      </c>
      <c r="O15" s="101">
        <f>'5. Bilan'!R164</f>
        <v>385600</v>
      </c>
      <c r="P15" s="101">
        <f>'5. Bilan'!S164</f>
        <v>3046722.25</v>
      </c>
      <c r="Q15" s="101">
        <f>'5. Bilan'!T164</f>
        <v>1129011</v>
      </c>
      <c r="R15" s="101">
        <f>'5. Bilan'!U164</f>
        <v>5103900</v>
      </c>
      <c r="S15" s="101">
        <f>'5. Bilan'!V164</f>
        <v>564750</v>
      </c>
      <c r="T15" s="101">
        <f>'5. Bilan'!W164</f>
        <v>1959468.1</v>
      </c>
      <c r="U15" s="101">
        <f>'5. Bilan'!X164</f>
        <v>13434310</v>
      </c>
      <c r="V15" s="101">
        <f>'5. Bilan'!Y164</f>
        <v>504064</v>
      </c>
      <c r="W15" s="101">
        <f>'5. Bilan'!Z164</f>
        <v>3210200</v>
      </c>
      <c r="X15" s="101">
        <f>'5. Bilan'!AA164</f>
        <v>4729200</v>
      </c>
      <c r="Y15" s="101">
        <f>'5. Bilan'!AB164</f>
        <v>610190</v>
      </c>
      <c r="Z15" s="101">
        <f>'5. Bilan'!AC164</f>
        <v>1200000</v>
      </c>
      <c r="AA15" s="101">
        <f>'5. Bilan'!AD164</f>
        <v>2672245</v>
      </c>
      <c r="AB15" s="101">
        <f>'5. Bilan'!AE164</f>
        <v>7824482.2800000003</v>
      </c>
      <c r="AC15" s="101">
        <f>'5. Bilan'!AF164</f>
        <v>3642000</v>
      </c>
      <c r="AD15" s="101">
        <f>'5. Bilan'!AG164</f>
        <v>515000</v>
      </c>
      <c r="AE15" s="101">
        <f>'5. Bilan'!AH164</f>
        <v>5331400</v>
      </c>
      <c r="AF15" s="101">
        <f>'5. Bilan'!AI164</f>
        <v>11523397.299999999</v>
      </c>
      <c r="AG15" s="101">
        <f>'5. Bilan'!AJ164</f>
        <v>912417.62</v>
      </c>
      <c r="AH15" s="101">
        <f>'5. Bilan'!AK164</f>
        <v>971910</v>
      </c>
      <c r="AI15" s="101">
        <f>'5. Bilan'!AL164</f>
        <v>17252944.620000001</v>
      </c>
      <c r="AJ15" s="101">
        <f>'5. Bilan'!AM164</f>
        <v>8541150</v>
      </c>
      <c r="AK15" s="101">
        <f>'5. Bilan'!AN164</f>
        <v>10805793.380000001</v>
      </c>
      <c r="AL15" s="101">
        <f>'5. Bilan'!AO164</f>
        <v>1600000</v>
      </c>
      <c r="AM15" s="101">
        <f>'5. Bilan'!AP164</f>
        <v>8720525</v>
      </c>
      <c r="AN15" s="101">
        <f>'5. Bilan'!AQ164</f>
        <v>4736229.05</v>
      </c>
      <c r="AO15" s="101">
        <f>'5. Bilan'!AR164</f>
        <v>3968985</v>
      </c>
      <c r="AP15" s="101">
        <f>'5. Bilan'!AS164</f>
        <v>9226404.7300000004</v>
      </c>
      <c r="AQ15" s="101">
        <f>'5. Bilan'!AT164</f>
        <v>5073767.0999999996</v>
      </c>
      <c r="AR15" s="101">
        <f>'5. Bilan'!AU164</f>
        <v>7532739.1200000001</v>
      </c>
      <c r="AS15" s="101">
        <f>'5. Bilan'!AV164</f>
        <v>1825965</v>
      </c>
      <c r="AT15" s="101">
        <f>'5. Bilan'!AW164</f>
        <v>13357775</v>
      </c>
      <c r="AU15" s="101">
        <f>'5. Bilan'!AX164</f>
        <v>4368892</v>
      </c>
      <c r="AV15" s="101">
        <f>'5. Bilan'!AY164</f>
        <v>676480</v>
      </c>
      <c r="AW15" s="101">
        <f>'5. Bilan'!AZ164</f>
        <v>1825900</v>
      </c>
      <c r="AX15" s="101">
        <f>'5. Bilan'!BA164</f>
        <v>18661404.399999999</v>
      </c>
      <c r="AY15" s="101">
        <f>'5. Bilan'!BB164</f>
        <v>871280</v>
      </c>
      <c r="AZ15" s="101">
        <f>'5. Bilan'!BC164</f>
        <v>8226220</v>
      </c>
      <c r="BA15" s="101">
        <f>'5. Bilan'!BD164</f>
        <v>148745.70000000001</v>
      </c>
      <c r="BB15" s="101">
        <f>'5. Bilan'!BE164</f>
        <v>54697562</v>
      </c>
      <c r="BC15" s="101">
        <f>'5. Bilan'!BF164</f>
        <v>3874321.95</v>
      </c>
      <c r="BD15" s="101">
        <f>SUM(C15:BC15)</f>
        <v>432917677.81</v>
      </c>
      <c r="BE15" s="101">
        <f t="shared" si="0"/>
        <v>203278087.55999997</v>
      </c>
      <c r="BF15" s="101">
        <f t="shared" si="1"/>
        <v>43646506.199999996</v>
      </c>
      <c r="BG15" s="101">
        <f t="shared" si="2"/>
        <v>185993084.05000001</v>
      </c>
    </row>
    <row r="16" spans="1:59" x14ac:dyDescent="0.3">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3">
      <c r="A17" s="67">
        <v>2016</v>
      </c>
      <c r="B17" s="67" t="s">
        <v>276</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3">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3">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3">
      <c r="A20" s="67"/>
      <c r="B20" s="99" t="s">
        <v>653</v>
      </c>
      <c r="C20" s="180">
        <f>C11+C13+C15-C17</f>
        <v>8787762.370000001</v>
      </c>
      <c r="D20" s="180">
        <f t="shared" ref="D20:BC20" si="3">D11+D13+D15-D17</f>
        <v>2487801.85</v>
      </c>
      <c r="E20" s="180">
        <f t="shared" si="3"/>
        <v>5651890.2999999998</v>
      </c>
      <c r="F20" s="180">
        <f t="shared" si="3"/>
        <v>4580673.8899999997</v>
      </c>
      <c r="G20" s="180">
        <f t="shared" si="3"/>
        <v>25331929.02</v>
      </c>
      <c r="H20" s="180">
        <f t="shared" si="3"/>
        <v>24139585.52</v>
      </c>
      <c r="I20" s="180">
        <f t="shared" si="3"/>
        <v>10593458.889999999</v>
      </c>
      <c r="J20" s="180">
        <f t="shared" si="3"/>
        <v>132652769.70999999</v>
      </c>
      <c r="K20" s="180">
        <f t="shared" si="3"/>
        <v>7093445.6799999997</v>
      </c>
      <c r="L20" s="180">
        <f t="shared" si="3"/>
        <v>825716.9</v>
      </c>
      <c r="M20" s="180">
        <f t="shared" si="3"/>
        <v>44736924.560000002</v>
      </c>
      <c r="N20" s="180">
        <f t="shared" si="3"/>
        <v>3159127.29</v>
      </c>
      <c r="O20" s="180">
        <f t="shared" si="3"/>
        <v>536394.25</v>
      </c>
      <c r="P20" s="180">
        <f t="shared" si="3"/>
        <v>3313530.66</v>
      </c>
      <c r="Q20" s="180">
        <f t="shared" si="3"/>
        <v>4204776.53</v>
      </c>
      <c r="R20" s="180">
        <f t="shared" si="3"/>
        <v>5498176.3700000001</v>
      </c>
      <c r="S20" s="180">
        <f t="shared" si="3"/>
        <v>938248.7</v>
      </c>
      <c r="T20" s="180">
        <f t="shared" si="3"/>
        <v>4144239.9200000004</v>
      </c>
      <c r="U20" s="180">
        <f t="shared" si="3"/>
        <v>15429558.279999999</v>
      </c>
      <c r="V20" s="180">
        <f t="shared" si="3"/>
        <v>567571.4</v>
      </c>
      <c r="W20" s="180">
        <f t="shared" si="3"/>
        <v>12076989.98</v>
      </c>
      <c r="X20" s="180">
        <f t="shared" si="3"/>
        <v>8118224.96</v>
      </c>
      <c r="Y20" s="180">
        <f t="shared" si="3"/>
        <v>644147.25</v>
      </c>
      <c r="Z20" s="180">
        <f t="shared" si="3"/>
        <v>1231444.1299999999</v>
      </c>
      <c r="AA20" s="180">
        <f t="shared" si="3"/>
        <v>3754493.61</v>
      </c>
      <c r="AB20" s="180">
        <f t="shared" si="3"/>
        <v>8579909.4399999995</v>
      </c>
      <c r="AC20" s="180">
        <f t="shared" si="3"/>
        <v>3837428.94</v>
      </c>
      <c r="AD20" s="180">
        <f t="shared" si="3"/>
        <v>1162741.5</v>
      </c>
      <c r="AE20" s="180">
        <f t="shared" si="3"/>
        <v>8032615.3900000006</v>
      </c>
      <c r="AF20" s="180">
        <f t="shared" si="3"/>
        <v>19272498.099999998</v>
      </c>
      <c r="AG20" s="180">
        <f t="shared" si="3"/>
        <v>1590822.06</v>
      </c>
      <c r="AH20" s="180">
        <f t="shared" si="3"/>
        <v>1163456.05</v>
      </c>
      <c r="AI20" s="180">
        <f t="shared" si="3"/>
        <v>17594904.52</v>
      </c>
      <c r="AJ20" s="180">
        <f t="shared" si="3"/>
        <v>9692490.629999999</v>
      </c>
      <c r="AK20" s="180">
        <f t="shared" si="3"/>
        <v>11472400.510000002</v>
      </c>
      <c r="AL20" s="180">
        <f t="shared" si="3"/>
        <v>1630726.94</v>
      </c>
      <c r="AM20" s="180">
        <f t="shared" si="3"/>
        <v>10895889.1</v>
      </c>
      <c r="AN20" s="180">
        <f t="shared" si="3"/>
        <v>5208593.24</v>
      </c>
      <c r="AO20" s="180">
        <f t="shared" si="3"/>
        <v>4438992.88</v>
      </c>
      <c r="AP20" s="180">
        <f t="shared" si="3"/>
        <v>10073359.530000001</v>
      </c>
      <c r="AQ20" s="180">
        <f t="shared" si="3"/>
        <v>5769529.8499999996</v>
      </c>
      <c r="AR20" s="180">
        <f t="shared" si="3"/>
        <v>8124689.7800000003</v>
      </c>
      <c r="AS20" s="180">
        <f t="shared" si="3"/>
        <v>1892447.1</v>
      </c>
      <c r="AT20" s="180">
        <f t="shared" si="3"/>
        <v>13884615.460000001</v>
      </c>
      <c r="AU20" s="180">
        <f t="shared" si="3"/>
        <v>5721798.2999999998</v>
      </c>
      <c r="AV20" s="180">
        <f t="shared" si="3"/>
        <v>695239.35</v>
      </c>
      <c r="AW20" s="180">
        <f t="shared" si="3"/>
        <v>2219789.69</v>
      </c>
      <c r="AX20" s="180">
        <f t="shared" si="3"/>
        <v>20584531.979999997</v>
      </c>
      <c r="AY20" s="180">
        <f t="shared" si="3"/>
        <v>1678016.85</v>
      </c>
      <c r="AZ20" s="180">
        <f t="shared" si="3"/>
        <v>10224980.140000001</v>
      </c>
      <c r="BA20" s="180">
        <f t="shared" si="3"/>
        <v>206289.58000000002</v>
      </c>
      <c r="BB20" s="180">
        <f t="shared" si="3"/>
        <v>67094497.109999999</v>
      </c>
      <c r="BC20" s="180">
        <f t="shared" si="3"/>
        <v>4428056.8</v>
      </c>
      <c r="BD20" s="180">
        <f>SUM(C20:BC20)</f>
        <v>587670192.84000003</v>
      </c>
      <c r="BE20" s="180">
        <f t="shared" si="0"/>
        <v>304106010.69</v>
      </c>
      <c r="BF20" s="180">
        <f t="shared" si="1"/>
        <v>70032342.809999987</v>
      </c>
      <c r="BG20" s="180">
        <f t="shared" si="2"/>
        <v>213531839.33999997</v>
      </c>
    </row>
    <row r="21" spans="1:59" x14ac:dyDescent="0.3">
      <c r="A21" s="67"/>
      <c r="B21" s="69" t="s">
        <v>458</v>
      </c>
      <c r="C21" s="173">
        <f>C20/C5</f>
        <v>9520.8693066088854</v>
      </c>
      <c r="D21" s="173">
        <f t="shared" ref="D21:BC21" si="4">D20/D5</f>
        <v>9214.0809259259258</v>
      </c>
      <c r="E21" s="173">
        <f t="shared" si="4"/>
        <v>11653.382061855669</v>
      </c>
      <c r="F21" s="173">
        <f t="shared" si="4"/>
        <v>10270.569260089685</v>
      </c>
      <c r="G21" s="173">
        <f t="shared" si="4"/>
        <v>6976.5709226108511</v>
      </c>
      <c r="H21" s="173">
        <f t="shared" si="4"/>
        <v>7286.3222215514634</v>
      </c>
      <c r="I21" s="173">
        <f t="shared" si="4"/>
        <v>4006.6032110438723</v>
      </c>
      <c r="J21" s="173">
        <f t="shared" si="4"/>
        <v>10512.97905452528</v>
      </c>
      <c r="K21" s="173">
        <f t="shared" si="4"/>
        <v>5173.920991976659</v>
      </c>
      <c r="L21" s="173">
        <f t="shared" si="4"/>
        <v>6997.6008474576274</v>
      </c>
      <c r="M21" s="173">
        <f t="shared" si="4"/>
        <v>6242.0712376168558</v>
      </c>
      <c r="N21" s="173">
        <f t="shared" si="4"/>
        <v>5983.1956250000003</v>
      </c>
      <c r="O21" s="173">
        <f t="shared" si="4"/>
        <v>4966.6134259259261</v>
      </c>
      <c r="P21" s="173">
        <f t="shared" si="4"/>
        <v>7984.4112289156628</v>
      </c>
      <c r="Q21" s="173">
        <f t="shared" si="4"/>
        <v>12048.070286532951</v>
      </c>
      <c r="R21" s="173">
        <f t="shared" si="4"/>
        <v>8003.167933042213</v>
      </c>
      <c r="S21" s="173">
        <f t="shared" si="4"/>
        <v>3679.4066666666663</v>
      </c>
      <c r="T21" s="173">
        <f t="shared" si="4"/>
        <v>9505.1374311926611</v>
      </c>
      <c r="U21" s="173">
        <f t="shared" si="4"/>
        <v>4836.8521253918498</v>
      </c>
      <c r="V21" s="173">
        <f t="shared" si="4"/>
        <v>1751.7635802469138</v>
      </c>
      <c r="W21" s="173">
        <f t="shared" si="4"/>
        <v>9692.6083306581058</v>
      </c>
      <c r="X21" s="173">
        <f t="shared" si="4"/>
        <v>5312.9744502617805</v>
      </c>
      <c r="Y21" s="173">
        <f t="shared" si="4"/>
        <v>6709.8671875</v>
      </c>
      <c r="Z21" s="173">
        <f t="shared" si="4"/>
        <v>8264.7257046979867</v>
      </c>
      <c r="AA21" s="173">
        <f t="shared" si="4"/>
        <v>7276.1504069767443</v>
      </c>
      <c r="AB21" s="173">
        <f t="shared" si="4"/>
        <v>12786.750283159463</v>
      </c>
      <c r="AC21" s="173">
        <f t="shared" si="4"/>
        <v>6708.7918531468531</v>
      </c>
      <c r="AD21" s="173">
        <f t="shared" si="4"/>
        <v>2372.9418367346939</v>
      </c>
      <c r="AE21" s="173">
        <f t="shared" si="4"/>
        <v>4196.7687513061655</v>
      </c>
      <c r="AF21" s="173">
        <f t="shared" si="4"/>
        <v>7369.9801529636707</v>
      </c>
      <c r="AG21" s="173">
        <f t="shared" si="4"/>
        <v>7008.0266960352428</v>
      </c>
      <c r="AH21" s="173">
        <f t="shared" si="4"/>
        <v>8881.3438931297715</v>
      </c>
      <c r="AI21" s="173">
        <f t="shared" si="4"/>
        <v>9284.9100369393145</v>
      </c>
      <c r="AJ21" s="173">
        <f t="shared" si="4"/>
        <v>8539.6393215859025</v>
      </c>
      <c r="AK21" s="173">
        <f t="shared" si="4"/>
        <v>9244.4806688154731</v>
      </c>
      <c r="AL21" s="173">
        <f t="shared" si="4"/>
        <v>13703.587731092437</v>
      </c>
      <c r="AM21" s="173">
        <f t="shared" si="4"/>
        <v>9117.8988284518819</v>
      </c>
      <c r="AN21" s="173">
        <f t="shared" si="4"/>
        <v>7856.0984012066365</v>
      </c>
      <c r="AO21" s="173">
        <f t="shared" si="4"/>
        <v>6882.1595038759688</v>
      </c>
      <c r="AP21" s="173">
        <f t="shared" si="4"/>
        <v>7975.7399287410935</v>
      </c>
      <c r="AQ21" s="173">
        <f t="shared" si="4"/>
        <v>7796.6619594594586</v>
      </c>
      <c r="AR21" s="173">
        <f t="shared" si="4"/>
        <v>7903.3947276264598</v>
      </c>
      <c r="AS21" s="173">
        <f t="shared" si="4"/>
        <v>6026.9015923566885</v>
      </c>
      <c r="AT21" s="173">
        <f t="shared" si="4"/>
        <v>5785.2564416666673</v>
      </c>
      <c r="AU21" s="173">
        <f t="shared" si="4"/>
        <v>7578.5407947019867</v>
      </c>
      <c r="AV21" s="173">
        <f t="shared" si="4"/>
        <v>3841.1013812154697</v>
      </c>
      <c r="AW21" s="173">
        <f t="shared" si="4"/>
        <v>6397.0884438040348</v>
      </c>
      <c r="AX21" s="173">
        <f t="shared" si="4"/>
        <v>12180.196437869821</v>
      </c>
      <c r="AY21" s="173">
        <f t="shared" si="4"/>
        <v>4335.9608527131786</v>
      </c>
      <c r="AZ21" s="173">
        <f t="shared" si="4"/>
        <v>9329.3614416058408</v>
      </c>
      <c r="BA21" s="173">
        <f t="shared" si="4"/>
        <v>1097.2850000000001</v>
      </c>
      <c r="BB21" s="173">
        <f t="shared" si="4"/>
        <v>10428.115808206403</v>
      </c>
      <c r="BC21" s="173">
        <f t="shared" si="4"/>
        <v>7907.2442857142851</v>
      </c>
      <c r="BD21" s="173">
        <f>BD20/BD5</f>
        <v>7972.8417539242164</v>
      </c>
      <c r="BE21" s="173">
        <f t="shared" ref="BE21:BG21" si="5">BE20/BE5</f>
        <v>7806.7980358884834</v>
      </c>
      <c r="BF21" s="173">
        <f t="shared" si="5"/>
        <v>6683.1131606069266</v>
      </c>
      <c r="BG21" s="173">
        <f t="shared" si="5"/>
        <v>8796.005904597132</v>
      </c>
    </row>
    <row r="22" spans="1:59" x14ac:dyDescent="0.3">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3">
      <c r="A23" s="67"/>
      <c r="B23" s="99" t="s">
        <v>654</v>
      </c>
      <c r="C23" s="180">
        <f>C9-C7</f>
        <v>3110759.83</v>
      </c>
      <c r="D23" s="180">
        <f t="shared" ref="D23:BC23" si="6">D9-D7</f>
        <v>1153471.1100000001</v>
      </c>
      <c r="E23" s="180">
        <f t="shared" si="6"/>
        <v>2152345.7399999993</v>
      </c>
      <c r="F23" s="180">
        <f t="shared" si="6"/>
        <v>279098.55999999959</v>
      </c>
      <c r="G23" s="180">
        <f t="shared" si="6"/>
        <v>11170166.720000001</v>
      </c>
      <c r="H23" s="180">
        <f t="shared" si="6"/>
        <v>16907788.280000001</v>
      </c>
      <c r="I23" s="180">
        <f t="shared" si="6"/>
        <v>1024849.9700000007</v>
      </c>
      <c r="J23" s="180">
        <f t="shared" si="6"/>
        <v>90861759.809999973</v>
      </c>
      <c r="K23" s="180">
        <f t="shared" si="6"/>
        <v>3075283.87</v>
      </c>
      <c r="L23" s="180">
        <f t="shared" si="6"/>
        <v>460672.40000000008</v>
      </c>
      <c r="M23" s="180">
        <f t="shared" si="6"/>
        <v>26943371.269999996</v>
      </c>
      <c r="N23" s="180">
        <f t="shared" si="6"/>
        <v>1367293.8900000001</v>
      </c>
      <c r="O23" s="180">
        <f t="shared" si="6"/>
        <v>245034.49999999994</v>
      </c>
      <c r="P23" s="180">
        <f t="shared" si="6"/>
        <v>1875698.62</v>
      </c>
      <c r="Q23" s="180">
        <f t="shared" si="6"/>
        <v>2088445.9300000002</v>
      </c>
      <c r="R23" s="180">
        <f t="shared" si="6"/>
        <v>205440.33000000101</v>
      </c>
      <c r="S23" s="180">
        <f t="shared" si="6"/>
        <v>266671.21000000008</v>
      </c>
      <c r="T23" s="180">
        <f t="shared" si="6"/>
        <v>1745113.8100000005</v>
      </c>
      <c r="U23" s="180">
        <f t="shared" si="6"/>
        <v>10830665.34</v>
      </c>
      <c r="V23" s="180">
        <f t="shared" si="6"/>
        <v>-1080510.5</v>
      </c>
      <c r="W23" s="180">
        <f t="shared" si="6"/>
        <v>7786577.9200000009</v>
      </c>
      <c r="X23" s="180">
        <f t="shared" si="6"/>
        <v>-9330221.8099999987</v>
      </c>
      <c r="Y23" s="180">
        <f t="shared" si="6"/>
        <v>135991.01</v>
      </c>
      <c r="Z23" s="180">
        <f t="shared" si="6"/>
        <v>-394266.68000000017</v>
      </c>
      <c r="AA23" s="180">
        <f t="shared" si="6"/>
        <v>795544.37999999942</v>
      </c>
      <c r="AB23" s="180">
        <f t="shared" si="6"/>
        <v>5398506.4100000011</v>
      </c>
      <c r="AC23" s="180">
        <f t="shared" si="6"/>
        <v>1285721.0300000003</v>
      </c>
      <c r="AD23" s="180">
        <f t="shared" si="6"/>
        <v>-3100962.9499999997</v>
      </c>
      <c r="AE23" s="180">
        <f t="shared" si="6"/>
        <v>-641556.43999999948</v>
      </c>
      <c r="AF23" s="180">
        <f t="shared" si="6"/>
        <v>10187147.34</v>
      </c>
      <c r="AG23" s="180">
        <f t="shared" si="6"/>
        <v>-118781.69999999995</v>
      </c>
      <c r="AH23" s="180">
        <f t="shared" si="6"/>
        <v>-1114795.5899999999</v>
      </c>
      <c r="AI23" s="180">
        <f t="shared" si="6"/>
        <v>12234275.83</v>
      </c>
      <c r="AJ23" s="180">
        <f t="shared" si="6"/>
        <v>5016254.2100000009</v>
      </c>
      <c r="AK23" s="180">
        <f t="shared" si="6"/>
        <v>6531766.3000000026</v>
      </c>
      <c r="AL23" s="180">
        <f t="shared" si="6"/>
        <v>1172309.7600000002</v>
      </c>
      <c r="AM23" s="180">
        <f t="shared" si="6"/>
        <v>-3843093.26</v>
      </c>
      <c r="AN23" s="180">
        <f t="shared" si="6"/>
        <v>1218796.6800000006</v>
      </c>
      <c r="AO23" s="180">
        <f t="shared" si="6"/>
        <v>928101.93000000017</v>
      </c>
      <c r="AP23" s="180">
        <f t="shared" si="6"/>
        <v>-1573158.0699999984</v>
      </c>
      <c r="AQ23" s="180">
        <f t="shared" si="6"/>
        <v>3349607.29</v>
      </c>
      <c r="AR23" s="180">
        <f t="shared" si="6"/>
        <v>4273584.87</v>
      </c>
      <c r="AS23" s="180">
        <f t="shared" si="6"/>
        <v>-1809164.0300000005</v>
      </c>
      <c r="AT23" s="180">
        <f t="shared" si="6"/>
        <v>8092477.2599999998</v>
      </c>
      <c r="AU23" s="180">
        <f t="shared" si="6"/>
        <v>2942305.2700000005</v>
      </c>
      <c r="AV23" s="180">
        <f t="shared" si="6"/>
        <v>303302.40000000002</v>
      </c>
      <c r="AW23" s="180">
        <f t="shared" si="6"/>
        <v>-28814.959999999963</v>
      </c>
      <c r="AX23" s="180">
        <f t="shared" si="6"/>
        <v>16166827.07</v>
      </c>
      <c r="AY23" s="180">
        <f t="shared" si="6"/>
        <v>-1285711.78</v>
      </c>
      <c r="AZ23" s="180">
        <f t="shared" si="6"/>
        <v>5956684.4200000009</v>
      </c>
      <c r="BA23" s="180">
        <f t="shared" si="6"/>
        <v>-570550.01</v>
      </c>
      <c r="BB23" s="180">
        <f t="shared" si="6"/>
        <v>38530094.520000011</v>
      </c>
      <c r="BC23" s="180">
        <f t="shared" si="6"/>
        <v>2154728.8999999994</v>
      </c>
      <c r="BD23" s="180">
        <f>SUM(C23:BC23)</f>
        <v>285332948.21000004</v>
      </c>
      <c r="BE23" s="180">
        <f t="shared" si="0"/>
        <v>175763931.19000003</v>
      </c>
      <c r="BF23" s="180">
        <f t="shared" si="1"/>
        <v>9808392.4200000037</v>
      </c>
      <c r="BG23" s="180">
        <f t="shared" si="2"/>
        <v>99760624.600000024</v>
      </c>
    </row>
    <row r="24" spans="1:59" x14ac:dyDescent="0.3">
      <c r="A24" s="67"/>
      <c r="B24" s="69" t="s">
        <v>458</v>
      </c>
      <c r="C24" s="173">
        <f>C23/C5</f>
        <v>3370.2706717226438</v>
      </c>
      <c r="D24" s="173">
        <f t="shared" ref="D24:BG24" si="7">D23/D5</f>
        <v>4272.1152222222227</v>
      </c>
      <c r="E24" s="173">
        <f t="shared" si="7"/>
        <v>4437.8262680412354</v>
      </c>
      <c r="F24" s="173">
        <f t="shared" si="7"/>
        <v>625.78152466367624</v>
      </c>
      <c r="G24" s="173">
        <f t="shared" si="7"/>
        <v>3076.3334398237403</v>
      </c>
      <c r="H24" s="173">
        <f t="shared" si="7"/>
        <v>5103.4676365831574</v>
      </c>
      <c r="I24" s="173">
        <f t="shared" si="7"/>
        <v>387.61345310136181</v>
      </c>
      <c r="J24" s="173">
        <f t="shared" si="7"/>
        <v>7200.9636875891565</v>
      </c>
      <c r="K24" s="173">
        <f t="shared" si="7"/>
        <v>2243.0954558716267</v>
      </c>
      <c r="L24" s="173">
        <f t="shared" si="7"/>
        <v>3904.0033898305091</v>
      </c>
      <c r="M24" s="173">
        <f t="shared" si="7"/>
        <v>3759.3653230082314</v>
      </c>
      <c r="N24" s="173">
        <f t="shared" si="7"/>
        <v>2589.5717613636366</v>
      </c>
      <c r="O24" s="173">
        <f t="shared" si="7"/>
        <v>2268.8379629629626</v>
      </c>
      <c r="P24" s="173">
        <f t="shared" si="7"/>
        <v>4519.7557108433739</v>
      </c>
      <c r="Q24" s="173">
        <f t="shared" si="7"/>
        <v>5984.085759312321</v>
      </c>
      <c r="R24" s="173">
        <f t="shared" si="7"/>
        <v>299.03978165939009</v>
      </c>
      <c r="S24" s="173">
        <f t="shared" si="7"/>
        <v>1045.7694509803925</v>
      </c>
      <c r="T24" s="173">
        <f t="shared" si="7"/>
        <v>4002.5546100917445</v>
      </c>
      <c r="U24" s="173">
        <f t="shared" si="7"/>
        <v>3395.1928965517241</v>
      </c>
      <c r="V24" s="173">
        <f t="shared" si="7"/>
        <v>-3334.9089506172841</v>
      </c>
      <c r="W24" s="173">
        <f t="shared" si="7"/>
        <v>6249.259967897272</v>
      </c>
      <c r="X24" s="173">
        <f t="shared" si="7"/>
        <v>-6106.1661060209417</v>
      </c>
      <c r="Y24" s="173">
        <f t="shared" si="7"/>
        <v>1416.5730208333334</v>
      </c>
      <c r="Z24" s="173">
        <f t="shared" si="7"/>
        <v>-2646.0851006711418</v>
      </c>
      <c r="AA24" s="173">
        <f t="shared" si="7"/>
        <v>1541.7526744186034</v>
      </c>
      <c r="AB24" s="173">
        <f t="shared" si="7"/>
        <v>8045.4640983606578</v>
      </c>
      <c r="AC24" s="173">
        <f t="shared" si="7"/>
        <v>2247.7640384615388</v>
      </c>
      <c r="AD24" s="173">
        <f t="shared" si="7"/>
        <v>-6328.4958163265301</v>
      </c>
      <c r="AE24" s="173">
        <f t="shared" si="7"/>
        <v>-335.19145245559014</v>
      </c>
      <c r="AF24" s="173">
        <f t="shared" si="7"/>
        <v>3895.6586386233271</v>
      </c>
      <c r="AG24" s="173">
        <f t="shared" si="7"/>
        <v>-523.26740088105703</v>
      </c>
      <c r="AH24" s="173">
        <f t="shared" si="7"/>
        <v>-8509.89</v>
      </c>
      <c r="AI24" s="173">
        <f t="shared" si="7"/>
        <v>6456.0822321899741</v>
      </c>
      <c r="AJ24" s="173">
        <f t="shared" si="7"/>
        <v>4419.6072334801765</v>
      </c>
      <c r="AK24" s="173">
        <f t="shared" si="7"/>
        <v>5263.3088638195022</v>
      </c>
      <c r="AL24" s="173">
        <f t="shared" si="7"/>
        <v>9851.342521008406</v>
      </c>
      <c r="AM24" s="173">
        <f t="shared" si="7"/>
        <v>-3215.977623430962</v>
      </c>
      <c r="AN24" s="173">
        <f t="shared" si="7"/>
        <v>1838.3057013574671</v>
      </c>
      <c r="AO24" s="173">
        <f t="shared" si="7"/>
        <v>1438.9177209302329</v>
      </c>
      <c r="AP24" s="173">
        <f t="shared" si="7"/>
        <v>-1245.5725019794129</v>
      </c>
      <c r="AQ24" s="173">
        <f t="shared" si="7"/>
        <v>4526.4963378378379</v>
      </c>
      <c r="AR24" s="173">
        <f t="shared" si="7"/>
        <v>4157.183725680934</v>
      </c>
      <c r="AS24" s="173">
        <f t="shared" si="7"/>
        <v>-5761.6688853503201</v>
      </c>
      <c r="AT24" s="173">
        <f t="shared" si="7"/>
        <v>3371.8655249999997</v>
      </c>
      <c r="AU24" s="173">
        <f t="shared" si="7"/>
        <v>3897.0930728476828</v>
      </c>
      <c r="AV24" s="173">
        <f t="shared" si="7"/>
        <v>1675.7038674033151</v>
      </c>
      <c r="AW24" s="173">
        <f t="shared" si="7"/>
        <v>-83.040230547550323</v>
      </c>
      <c r="AX24" s="173">
        <f t="shared" si="7"/>
        <v>9566.1698639053247</v>
      </c>
      <c r="AY24" s="173">
        <f t="shared" si="7"/>
        <v>-3322.2526614987082</v>
      </c>
      <c r="AZ24" s="173">
        <f t="shared" si="7"/>
        <v>5434.9310401459861</v>
      </c>
      <c r="BA24" s="173">
        <f t="shared" si="7"/>
        <v>-3034.8404787234044</v>
      </c>
      <c r="BB24" s="173">
        <f t="shared" si="7"/>
        <v>5988.513291886853</v>
      </c>
      <c r="BC24" s="173">
        <f t="shared" si="7"/>
        <v>3847.7301785714276</v>
      </c>
      <c r="BD24" s="173">
        <f t="shared" si="7"/>
        <v>3871.0733860179903</v>
      </c>
      <c r="BE24" s="173">
        <f t="shared" si="7"/>
        <v>4512.0894180315254</v>
      </c>
      <c r="BF24" s="173">
        <f t="shared" si="7"/>
        <v>936.00462066991156</v>
      </c>
      <c r="BG24" s="173">
        <f t="shared" si="7"/>
        <v>4109.4341983852373</v>
      </c>
    </row>
    <row r="25" spans="1:59" x14ac:dyDescent="0.3">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3">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3">
      <c r="A27" s="7" t="s">
        <v>652</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3">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3">
      <c r="A29" s="67">
        <v>10</v>
      </c>
      <c r="B29" s="67" t="s">
        <v>247</v>
      </c>
      <c r="C29" s="101">
        <f>'Base de données indicateurs1'!E5</f>
        <v>5729343.4000000004</v>
      </c>
      <c r="D29" s="101">
        <f>'Base de données indicateurs1'!F5</f>
        <v>1313751.3999999999</v>
      </c>
      <c r="E29" s="101">
        <f>'Base de données indicateurs1'!G5</f>
        <v>4291473.13</v>
      </c>
      <c r="F29" s="101">
        <f>'Base de données indicateurs1'!H5</f>
        <v>4279580.0599999996</v>
      </c>
      <c r="G29" s="101">
        <f>'Base de données indicateurs1'!I5</f>
        <v>15173301</v>
      </c>
      <c r="H29" s="101">
        <f>'Base de données indicateurs1'!J5</f>
        <v>8024691.8499999996</v>
      </c>
      <c r="I29" s="101">
        <f>'Base de données indicateurs1'!K5</f>
        <v>10459838.140000001</v>
      </c>
      <c r="J29" s="101">
        <f>'Base de données indicateurs1'!L5</f>
        <v>55034877.579999998</v>
      </c>
      <c r="K29" s="101">
        <f>'Base de données indicateurs1'!M5</f>
        <v>3743166.68</v>
      </c>
      <c r="L29" s="101">
        <f>'Base de données indicateurs1'!N5</f>
        <v>0</v>
      </c>
      <c r="M29" s="101">
        <f>'Base de données indicateurs1'!O5</f>
        <v>17870825.219999999</v>
      </c>
      <c r="N29" s="101">
        <f>'Base de données indicateurs1'!P5</f>
        <v>2306934.9900000002</v>
      </c>
      <c r="O29" s="101">
        <f>'Base de données indicateurs1'!Q5</f>
        <v>340332.25</v>
      </c>
      <c r="P29" s="101">
        <f>'Base de données indicateurs1'!R5</f>
        <v>1454384.04</v>
      </c>
      <c r="Q29" s="101">
        <f>'Base de données indicateurs1'!S5</f>
        <v>2174540.65</v>
      </c>
      <c r="R29" s="101">
        <f>'Base de données indicateurs1'!T5</f>
        <v>5578034.3600000003</v>
      </c>
      <c r="S29" s="101">
        <f>'Base de données indicateurs1'!U5</f>
        <v>771790.42</v>
      </c>
      <c r="T29" s="101">
        <f>'Base de données indicateurs1'!V5</f>
        <v>2513060.25</v>
      </c>
      <c r="U29" s="101">
        <f>'Base de données indicateurs1'!W5</f>
        <v>5690503.7400000002</v>
      </c>
      <c r="V29" s="101">
        <f>'Base de données indicateurs1'!X5</f>
        <v>1782334</v>
      </c>
      <c r="W29" s="101">
        <f>'Base de données indicateurs1'!Y5</f>
        <v>4607305.3099999996</v>
      </c>
      <c r="X29" s="101">
        <f>'Base de données indicateurs1'!Z5</f>
        <v>22337836.73</v>
      </c>
      <c r="Y29" s="101">
        <f>'Base de données indicateurs1'!AA5</f>
        <v>514539</v>
      </c>
      <c r="Z29" s="101">
        <f>'Base de données indicateurs1'!AB5</f>
        <v>1164911.31</v>
      </c>
      <c r="AA29" s="101">
        <f>'Base de données indicateurs1'!AC5</f>
        <v>3000469.46</v>
      </c>
      <c r="AB29" s="101">
        <f>'Base de données indicateurs1'!AD5</f>
        <v>1298160.8999999999</v>
      </c>
      <c r="AC29" s="101">
        <f>'Base de données indicateurs1'!AE5</f>
        <v>2898436.1</v>
      </c>
      <c r="AD29" s="101">
        <f>'Base de données indicateurs1'!AF5</f>
        <v>4936104.3499999996</v>
      </c>
      <c r="AE29" s="101">
        <f>'Base de données indicateurs1'!AG5</f>
        <v>8990815.1799999997</v>
      </c>
      <c r="AF29" s="101">
        <f>'Base de données indicateurs1'!AH5</f>
        <v>10854437</v>
      </c>
      <c r="AG29" s="101">
        <f>'Base de données indicateurs1'!AI5</f>
        <v>907440</v>
      </c>
      <c r="AH29" s="101">
        <f>'Base de données indicateurs1'!AJ5</f>
        <v>1868313.05</v>
      </c>
      <c r="AI29" s="101">
        <f>'Base de données indicateurs1'!AK5</f>
        <v>5849957.46</v>
      </c>
      <c r="AJ29" s="101">
        <f>'Base de données indicateurs1'!AL5</f>
        <v>3398783</v>
      </c>
      <c r="AK29" s="101">
        <f>'Base de données indicateurs1'!AM5</f>
        <v>4876876.1100000003</v>
      </c>
      <c r="AL29" s="101">
        <f>'Base de données indicateurs1'!AN5</f>
        <v>529407.81999999995</v>
      </c>
      <c r="AM29" s="101">
        <f>'Base de données indicateurs1'!AO5</f>
        <v>14951876</v>
      </c>
      <c r="AN29" s="101">
        <f>'Base de données indicateurs1'!AP5</f>
        <v>3720554.4</v>
      </c>
      <c r="AO29" s="101">
        <f>'Base de données indicateurs1'!AQ5</f>
        <v>3653484</v>
      </c>
      <c r="AP29" s="101">
        <f>'Base de données indicateurs1'!AR5</f>
        <v>11819557.02</v>
      </c>
      <c r="AQ29" s="101">
        <f>'Base de données indicateurs1'!AS5</f>
        <v>2533324.2999999998</v>
      </c>
      <c r="AR29" s="101">
        <f>'Base de données indicateurs1'!AT5</f>
        <v>3348405.97</v>
      </c>
      <c r="AS29" s="101">
        <f>'Base de données indicateurs1'!AU5</f>
        <v>3818782.68</v>
      </c>
      <c r="AT29" s="101">
        <f>'Base de données indicateurs1'!AV5</f>
        <v>4797496.66</v>
      </c>
      <c r="AU29" s="101">
        <f>'Base de données indicateurs1'!AW5</f>
        <v>3077294.98</v>
      </c>
      <c r="AV29" s="101">
        <f>'Base de données indicateurs1'!AX5</f>
        <v>678851.45</v>
      </c>
      <c r="AW29" s="101">
        <f>'Base de données indicateurs1'!AY5</f>
        <v>2029594.24</v>
      </c>
      <c r="AX29" s="101">
        <f>'Base de données indicateurs1'!AZ5</f>
        <v>4272308.3099999996</v>
      </c>
      <c r="AY29" s="101">
        <f>'Base de données indicateurs1'!BA5</f>
        <v>1690939.23</v>
      </c>
      <c r="AZ29" s="101">
        <f>'Base de données indicateurs1'!BB5</f>
        <v>4279723.32</v>
      </c>
      <c r="BA29" s="101">
        <f>'Base de données indicateurs1'!BC5</f>
        <v>866229.02</v>
      </c>
      <c r="BB29" s="101">
        <f>'Base de données indicateurs1'!BD5</f>
        <v>28478770</v>
      </c>
      <c r="BC29" s="101">
        <f>'Base de données indicateurs1'!BE5</f>
        <v>2581993.19</v>
      </c>
      <c r="BD29" s="101">
        <f>SUM(C29:BC29)</f>
        <v>323165740.7100001</v>
      </c>
      <c r="BE29" s="101">
        <f>SUM(C29:U29)</f>
        <v>146750429.16000003</v>
      </c>
      <c r="BF29" s="101">
        <f>SUM(V29:AH29)</f>
        <v>65161102.390000001</v>
      </c>
      <c r="BG29" s="101">
        <f>SUM(AI29:BC29)</f>
        <v>111254209.16000001</v>
      </c>
    </row>
    <row r="30" spans="1:59" x14ac:dyDescent="0.3">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3">
      <c r="A31" s="67">
        <v>20</v>
      </c>
      <c r="B31" s="67" t="s">
        <v>259</v>
      </c>
      <c r="C31" s="101">
        <f>'Base de données indicateurs1'!E8</f>
        <v>7710885.7000000002</v>
      </c>
      <c r="D31" s="101">
        <f>'Base de données indicateurs1'!F8</f>
        <v>1661251.45</v>
      </c>
      <c r="E31" s="101">
        <f>'Base de données indicateurs1'!G8</f>
        <v>6404558.5199999996</v>
      </c>
      <c r="F31" s="101">
        <f>'Base de données indicateurs1'!H8</f>
        <v>4613400.9400000004</v>
      </c>
      <c r="G31" s="101">
        <f>'Base de données indicateurs1'!I8</f>
        <v>26343468</v>
      </c>
      <c r="H31" s="101">
        <f>'Base de données indicateurs1'!J8</f>
        <v>21137174.780000001</v>
      </c>
      <c r="I31" s="101">
        <f>'Base de données indicateurs1'!K8</f>
        <v>11484688.109999999</v>
      </c>
      <c r="J31" s="101">
        <f>'Base de données indicateurs1'!L8</f>
        <v>125557688.95</v>
      </c>
      <c r="K31" s="101">
        <f>'Base de données indicateurs1'!M8</f>
        <v>5868070.6299999999</v>
      </c>
      <c r="L31" s="101">
        <f>'Base de données indicateurs1'!N8</f>
        <v>0</v>
      </c>
      <c r="M31" s="101">
        <f>'Base de données indicateurs1'!O8</f>
        <v>39464606.920000002</v>
      </c>
      <c r="N31" s="101">
        <f>'Base de données indicateurs1'!P8</f>
        <v>3674228.88</v>
      </c>
      <c r="O31" s="101">
        <f>'Base de données indicateurs1'!Q8</f>
        <v>585366.75</v>
      </c>
      <c r="P31" s="101">
        <f>'Base de données indicateurs1'!R8</f>
        <v>3329882.66</v>
      </c>
      <c r="Q31" s="101">
        <f>'Base de données indicateurs1'!S8</f>
        <v>4328768.28</v>
      </c>
      <c r="R31" s="101">
        <f>'Base de données indicateurs1'!T8</f>
        <v>5790676.8899999997</v>
      </c>
      <c r="S31" s="101">
        <f>'Base de données indicateurs1'!U8</f>
        <v>1064577.6299999999</v>
      </c>
      <c r="T31" s="101">
        <f>'Base de données indicateurs1'!V8</f>
        <v>2952271.95</v>
      </c>
      <c r="U31" s="101">
        <f>'Base de données indicateurs1'!W8</f>
        <v>16108731.58</v>
      </c>
      <c r="V31" s="101">
        <f>'Base de données indicateurs1'!X8</f>
        <v>701824</v>
      </c>
      <c r="W31" s="101">
        <f>'Base de données indicateurs1'!Y8</f>
        <v>12393883.23</v>
      </c>
      <c r="X31" s="101">
        <f>'Base de données indicateurs1'!Z8</f>
        <v>13352559.84</v>
      </c>
      <c r="Y31" s="101">
        <f>'Base de données indicateurs1'!AA8</f>
        <v>650530</v>
      </c>
      <c r="Z31" s="101">
        <f>'Base de données indicateurs1'!AB8</f>
        <v>1324155.57</v>
      </c>
      <c r="AA31" s="101">
        <f>'Base de données indicateurs1'!AC8</f>
        <v>3262180.61</v>
      </c>
      <c r="AB31" s="101">
        <f>'Base de données indicateurs1'!AD8</f>
        <v>7901506.1299999999</v>
      </c>
      <c r="AC31" s="101">
        <f>'Base de données indicateurs1'!AE8</f>
        <v>4184157.13</v>
      </c>
      <c r="AD31" s="101">
        <f>'Base de données indicateurs1'!AF8</f>
        <v>1835141.4</v>
      </c>
      <c r="AE31" s="101">
        <f>'Base de données indicateurs1'!AG8</f>
        <v>7913147.3899999997</v>
      </c>
      <c r="AF31" s="101">
        <f>'Base de données indicateurs1'!AH8</f>
        <v>21041584</v>
      </c>
      <c r="AG31" s="101">
        <f>'Base de données indicateurs1'!AI8</f>
        <v>1029453</v>
      </c>
      <c r="AH31" s="101">
        <f>'Base de données indicateurs1'!AJ8</f>
        <v>737274</v>
      </c>
      <c r="AI31" s="101">
        <f>'Base de données indicateurs1'!AK8</f>
        <v>17215810.02</v>
      </c>
      <c r="AJ31" s="101">
        <f>'Base de données indicateurs1'!AL8</f>
        <v>16414</v>
      </c>
      <c r="AK31" s="101">
        <f>'Base de données indicateurs1'!AM8</f>
        <v>11723916.060000001</v>
      </c>
      <c r="AL31" s="101">
        <f>'Base de données indicateurs1'!AN8</f>
        <v>11500</v>
      </c>
      <c r="AM31" s="101">
        <f>'Base de données indicateurs1'!AO8</f>
        <v>11108782.970000001</v>
      </c>
      <c r="AN31" s="101">
        <f>'Base de données indicateurs1'!AP8</f>
        <v>5180403.1399999997</v>
      </c>
      <c r="AO31" s="101">
        <f>'Base de données indicateurs1'!AQ8</f>
        <v>4581586</v>
      </c>
      <c r="AP31" s="101">
        <f>'Base de données indicateurs1'!AR8</f>
        <v>9798705.8300000001</v>
      </c>
      <c r="AQ31" s="101">
        <f>'Base de données indicateurs1'!AS8</f>
        <v>5672676.1900000004</v>
      </c>
      <c r="AR31" s="101">
        <f>'Base de données indicateurs1'!AT8</f>
        <v>8438512.1400000006</v>
      </c>
      <c r="AS31" s="101">
        <f>'Base de données indicateurs1'!AU8</f>
        <v>2009618.65</v>
      </c>
      <c r="AT31" s="101">
        <f>'Base de données indicateurs1'!AV8</f>
        <v>14597972.57</v>
      </c>
      <c r="AU31" s="101">
        <f>'Base de données indicateurs1'!AW8</f>
        <v>6019600.25</v>
      </c>
      <c r="AV31" s="101">
        <f>'Base de données indicateurs1'!AX8</f>
        <v>982153.85</v>
      </c>
      <c r="AW31" s="101">
        <f>'Base de données indicateurs1'!AY8</f>
        <v>2091959</v>
      </c>
      <c r="AX31" s="101">
        <f>'Base de données indicateurs1'!AZ8</f>
        <v>21006891.079999998</v>
      </c>
      <c r="AY31" s="101">
        <f>'Base de données indicateurs1'!BA8</f>
        <v>1270560.3899999999</v>
      </c>
      <c r="AZ31" s="101">
        <f>'Base de données indicateurs1'!BB8</f>
        <v>10609246.140000001</v>
      </c>
      <c r="BA31" s="101">
        <f>'Base de données indicateurs1'!BC8</f>
        <v>295678.96000000002</v>
      </c>
      <c r="BB31" s="101">
        <f>'Base de données indicateurs1'!BD8</f>
        <v>69341997.879999995</v>
      </c>
      <c r="BC31" s="101">
        <f>'Base de données indicateurs1'!BE8</f>
        <v>4724519.8</v>
      </c>
      <c r="BD31" s="101">
        <f t="shared" ref="BD31:BD39" si="8">SUM(C31:BC31)</f>
        <v>571106199.83999968</v>
      </c>
      <c r="BE31" s="101">
        <f t="shared" ref="BE31:BE39" si="9">SUM(C31:U31)</f>
        <v>288080298.61999995</v>
      </c>
      <c r="BF31" s="101">
        <f t="shared" ref="BF31:BF39" si="10">SUM(V31:AH31)</f>
        <v>76327396.300000012</v>
      </c>
      <c r="BG31" s="101">
        <f t="shared" ref="BG31:BG39" si="11">SUM(AI31:BC31)</f>
        <v>206698504.91999999</v>
      </c>
    </row>
    <row r="32" spans="1:59" x14ac:dyDescent="0.3">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3">
      <c r="A33" s="67">
        <v>200</v>
      </c>
      <c r="B33" s="67" t="s">
        <v>460</v>
      </c>
      <c r="C33" s="101">
        <f>'Base de données indicateurs1'!E9</f>
        <v>3771.65</v>
      </c>
      <c r="D33" s="101">
        <f>'Base de données indicateurs1'!F9</f>
        <v>44599</v>
      </c>
      <c r="E33" s="101">
        <f>'Base de données indicateurs1'!G9</f>
        <v>112759.55</v>
      </c>
      <c r="F33" s="101">
        <f>'Base de données indicateurs1'!H9</f>
        <v>233640.35</v>
      </c>
      <c r="G33" s="101">
        <f>'Base de données indicateurs1'!I9</f>
        <v>600201</v>
      </c>
      <c r="H33" s="101">
        <f>'Base de données indicateurs1'!J9</f>
        <v>950985.5</v>
      </c>
      <c r="I33" s="101">
        <f>'Base de données indicateurs1'!K9</f>
        <v>201552.2</v>
      </c>
      <c r="J33" s="101">
        <f>'Base de données indicateurs1'!L9</f>
        <v>3705859.12</v>
      </c>
      <c r="K33" s="101">
        <f>'Base de données indicateurs1'!M9</f>
        <v>242544.73</v>
      </c>
      <c r="L33" s="101">
        <f>'Base de données indicateurs1'!N9</f>
        <v>0</v>
      </c>
      <c r="M33" s="101">
        <f>'Base de données indicateurs1'!O9</f>
        <v>1453277.22</v>
      </c>
      <c r="N33" s="101">
        <f>'Base de données indicateurs1'!P9</f>
        <v>91190.97</v>
      </c>
      <c r="O33" s="101">
        <f>'Base de données indicateurs1'!Q9</f>
        <v>25537.75</v>
      </c>
      <c r="P33" s="101">
        <f>'Base de données indicateurs1'!R9</f>
        <v>266808.40999999997</v>
      </c>
      <c r="Q33" s="101">
        <f>'Base de données indicateurs1'!S9</f>
        <v>563608.91</v>
      </c>
      <c r="R33" s="101">
        <f>'Base de données indicateurs1'!T9</f>
        <v>401478.57</v>
      </c>
      <c r="S33" s="101">
        <f>'Base de données indicateurs1'!U9</f>
        <v>213190.62</v>
      </c>
      <c r="T33" s="101">
        <f>'Base de données indicateurs1'!V9</f>
        <v>221716.45</v>
      </c>
      <c r="U33" s="101">
        <f>'Base de données indicateurs1'!W9</f>
        <v>2071297.12</v>
      </c>
      <c r="V33" s="101">
        <f>'Base de données indicateurs1'!X9</f>
        <v>135</v>
      </c>
      <c r="W33" s="101">
        <f>'Base de données indicateurs1'!Y9</f>
        <v>8866789.9800000004</v>
      </c>
      <c r="X33" s="101">
        <f>'Base de données indicateurs1'!Z9</f>
        <v>3389024.96</v>
      </c>
      <c r="Y33" s="101">
        <f>'Base de données indicateurs1'!AA9</f>
        <v>33957</v>
      </c>
      <c r="Z33" s="101">
        <f>'Base de données indicateurs1'!AB9</f>
        <v>31444.13</v>
      </c>
      <c r="AA33" s="101">
        <f>'Base de données indicateurs1'!AC9</f>
        <v>287157.11</v>
      </c>
      <c r="AB33" s="101">
        <f>'Base de données indicateurs1'!AD9</f>
        <v>640852.55000000005</v>
      </c>
      <c r="AC33" s="101">
        <f>'Base de données indicateurs1'!AE9</f>
        <v>0</v>
      </c>
      <c r="AD33" s="101">
        <f>'Base de données indicateurs1'!AF9</f>
        <v>163650.85</v>
      </c>
      <c r="AE33" s="101">
        <f>'Base de données indicateurs1'!AG9</f>
        <v>1264494.6399999999</v>
      </c>
      <c r="AF33" s="101">
        <f>'Base de données indicateurs1'!AH9</f>
        <v>283597</v>
      </c>
      <c r="AG33" s="101">
        <f>'Base de données indicateurs1'!AI9</f>
        <v>74.5</v>
      </c>
      <c r="AH33" s="101">
        <f>'Base de données indicateurs1'!AJ9</f>
        <v>43246.05</v>
      </c>
      <c r="AI33" s="101">
        <f>'Base de données indicateurs1'!AK9</f>
        <v>341865.4</v>
      </c>
      <c r="AJ33" s="101">
        <f>'Base de données indicateurs1'!AL9</f>
        <v>320246</v>
      </c>
      <c r="AK33" s="101">
        <f>'Base de données indicateurs1'!AM9</f>
        <v>179595.55</v>
      </c>
      <c r="AL33" s="101">
        <f>'Base de données indicateurs1'!AN9</f>
        <v>30726.94</v>
      </c>
      <c r="AM33" s="101">
        <f>'Base de données indicateurs1'!AO9</f>
        <v>1175364.1000000001</v>
      </c>
      <c r="AN33" s="101">
        <f>'Base de données indicateurs1'!AP9</f>
        <v>352732.84</v>
      </c>
      <c r="AO33" s="101">
        <f>'Base de données indicateurs1'!AQ9</f>
        <v>135768</v>
      </c>
      <c r="AP33" s="101">
        <f>'Base de données indicateurs1'!AR9</f>
        <v>320325.25</v>
      </c>
      <c r="AQ33" s="101">
        <f>'Base de données indicateurs1'!AS9</f>
        <v>362403.69</v>
      </c>
      <c r="AR33" s="101">
        <f>'Base de données indicateurs1'!AT9</f>
        <v>212758.25</v>
      </c>
      <c r="AS33" s="101">
        <f>'Base de données indicateurs1'!AU9</f>
        <v>47182.1</v>
      </c>
      <c r="AT33" s="101">
        <f>'Base de données indicateurs1'!AV9</f>
        <v>526840.46</v>
      </c>
      <c r="AU33" s="101">
        <f>'Base de données indicateurs1'!AW9</f>
        <v>125306.3</v>
      </c>
      <c r="AV33" s="101">
        <f>'Base de données indicateurs1'!AX9</f>
        <v>18759.349999999999</v>
      </c>
      <c r="AW33" s="101">
        <f>'Base de données indicateurs1'!AY9</f>
        <v>110841.3</v>
      </c>
      <c r="AX33" s="101">
        <f>'Base de données indicateurs1'!AZ9</f>
        <v>1391754.4</v>
      </c>
      <c r="AY33" s="101">
        <f>'Base de données indicateurs1'!BA9</f>
        <v>34063.440000000002</v>
      </c>
      <c r="AZ33" s="101">
        <f>'Base de données indicateurs1'!BB9</f>
        <v>1010318.05</v>
      </c>
      <c r="BA33" s="101">
        <f>'Base de données indicateurs1'!BC9</f>
        <v>57543.88</v>
      </c>
      <c r="BB33" s="101">
        <f>'Base de données indicateurs1'!BD9</f>
        <v>2244759.54</v>
      </c>
      <c r="BC33" s="101">
        <f>'Base de données indicateurs1'!BE9</f>
        <v>403308.85</v>
      </c>
      <c r="BD33" s="101">
        <f t="shared" si="8"/>
        <v>35810906.580000013</v>
      </c>
      <c r="BE33" s="101">
        <f t="shared" si="9"/>
        <v>11404019.119999997</v>
      </c>
      <c r="BF33" s="101">
        <f t="shared" si="10"/>
        <v>15004423.770000003</v>
      </c>
      <c r="BG33" s="101">
        <f t="shared" si="11"/>
        <v>9402463.6899999995</v>
      </c>
    </row>
    <row r="34" spans="1:59" x14ac:dyDescent="0.3">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3">
      <c r="A35" s="67">
        <v>201</v>
      </c>
      <c r="B35" s="67" t="s">
        <v>261</v>
      </c>
      <c r="C35" s="101">
        <f>'Base de données indicateurs1'!E10</f>
        <v>3909040.76</v>
      </c>
      <c r="D35" s="101">
        <f>'Base de données indicateurs1'!F10</f>
        <v>74260</v>
      </c>
      <c r="E35" s="101">
        <f>'Base de données indicateurs1'!G10</f>
        <v>180090.75</v>
      </c>
      <c r="F35" s="101">
        <f>'Base de données indicateurs1'!H10</f>
        <v>352998.33</v>
      </c>
      <c r="G35" s="101">
        <f>'Base de données indicateurs1'!I10</f>
        <v>4511771</v>
      </c>
      <c r="H35" s="101">
        <f>'Base de données indicateurs1'!J10</f>
        <v>5336550</v>
      </c>
      <c r="I35" s="101">
        <f>'Base de données indicateurs1'!K10</f>
        <v>0</v>
      </c>
      <c r="J35" s="101">
        <f>'Base de données indicateurs1'!L10</f>
        <v>49004578.5</v>
      </c>
      <c r="K35" s="101">
        <f>'Base de données indicateurs1'!M10</f>
        <v>213200</v>
      </c>
      <c r="L35" s="101">
        <f>'Base de données indicateurs1'!N10</f>
        <v>0</v>
      </c>
      <c r="M35" s="101">
        <f>'Base de données indicateurs1'!O10</f>
        <v>3586455.24</v>
      </c>
      <c r="N35" s="101">
        <f>'Base de données indicateurs1'!P10</f>
        <v>1264473.8700000001</v>
      </c>
      <c r="O35" s="101">
        <f>'Base de données indicateurs1'!Q10</f>
        <v>125256.5</v>
      </c>
      <c r="P35" s="101">
        <f>'Base de données indicateurs1'!R10</f>
        <v>0</v>
      </c>
      <c r="Q35" s="101">
        <f>'Base de données indicateurs1'!S10</f>
        <v>2512156.62</v>
      </c>
      <c r="R35" s="101">
        <f>'Base de données indicateurs1'!T10</f>
        <v>0</v>
      </c>
      <c r="S35" s="101">
        <f>'Base de données indicateurs1'!U10</f>
        <v>160308.07999999999</v>
      </c>
      <c r="T35" s="101">
        <f>'Base de données indicateurs1'!V10</f>
        <v>675483.74</v>
      </c>
      <c r="U35" s="101">
        <f>'Base de données indicateurs1'!W10</f>
        <v>0</v>
      </c>
      <c r="V35" s="101">
        <f>'Base de données indicateurs1'!X10</f>
        <v>63507</v>
      </c>
      <c r="W35" s="101">
        <f>'Base de données indicateurs1'!Y10</f>
        <v>0</v>
      </c>
      <c r="X35" s="101">
        <f>'Base de données indicateurs1'!Z10</f>
        <v>0</v>
      </c>
      <c r="Y35" s="101">
        <f>'Base de données indicateurs1'!AA10</f>
        <v>0</v>
      </c>
      <c r="Z35" s="101">
        <f>'Base de données indicateurs1'!AB10</f>
        <v>0</v>
      </c>
      <c r="AA35" s="101">
        <f>'Base de données indicateurs1'!AC10</f>
        <v>795091.5</v>
      </c>
      <c r="AB35" s="101">
        <f>'Base de données indicateurs1'!AD10</f>
        <v>87760.01</v>
      </c>
      <c r="AC35" s="101">
        <f>'Base de données indicateurs1'!AE10</f>
        <v>195428.94</v>
      </c>
      <c r="AD35" s="101">
        <f>'Base de données indicateurs1'!AF10</f>
        <v>484090.65</v>
      </c>
      <c r="AE35" s="101">
        <f>'Base de données indicateurs1'!AG10</f>
        <v>1436720.75</v>
      </c>
      <c r="AF35" s="101">
        <f>'Base de données indicateurs1'!AH10</f>
        <v>7465504</v>
      </c>
      <c r="AG35" s="101">
        <f>'Base de données indicateurs1'!AI10</f>
        <v>-28418</v>
      </c>
      <c r="AH35" s="101">
        <f>'Base de données indicateurs1'!AJ10</f>
        <v>16520</v>
      </c>
      <c r="AI35" s="101">
        <f>'Base de données indicateurs1'!AK10</f>
        <v>0</v>
      </c>
      <c r="AJ35" s="101">
        <f>'Base de données indicateurs1'!AL10</f>
        <v>512379</v>
      </c>
      <c r="AK35" s="101">
        <f>'Base de données indicateurs1'!AM10</f>
        <v>438479.73</v>
      </c>
      <c r="AL35" s="101">
        <f>'Base de données indicateurs1'!AN10</f>
        <v>0</v>
      </c>
      <c r="AM35" s="101">
        <f>'Base de données indicateurs1'!AO10</f>
        <v>1000000</v>
      </c>
      <c r="AN35" s="101">
        <f>'Base de données indicateurs1'!AP10</f>
        <v>50050</v>
      </c>
      <c r="AO35" s="101">
        <f>'Base de données indicateurs1'!AQ10</f>
        <v>334240</v>
      </c>
      <c r="AP35" s="101">
        <f>'Base de données indicateurs1'!AR10</f>
        <v>32000</v>
      </c>
      <c r="AQ35" s="101">
        <f>'Base de données indicateurs1'!AS10</f>
        <v>333359.06</v>
      </c>
      <c r="AR35" s="101">
        <f>'Base de données indicateurs1'!AT10</f>
        <v>276059</v>
      </c>
      <c r="AS35" s="101">
        <f>'Base de données indicateurs1'!AU10</f>
        <v>19300</v>
      </c>
      <c r="AT35" s="101">
        <f>'Base de données indicateurs1'!AV10</f>
        <v>0</v>
      </c>
      <c r="AU35" s="101">
        <f>'Base de données indicateurs1'!AW10</f>
        <v>1227600</v>
      </c>
      <c r="AV35" s="101">
        <f>'Base de données indicateurs1'!AX10</f>
        <v>10000</v>
      </c>
      <c r="AW35" s="101">
        <f>'Base de données indicateurs1'!AY10</f>
        <v>235243.64</v>
      </c>
      <c r="AX35" s="101">
        <f>'Base de données indicateurs1'!AZ10</f>
        <v>530829.82999999996</v>
      </c>
      <c r="AY35" s="101">
        <f>'Base de données indicateurs1'!BA10</f>
        <v>306582.07</v>
      </c>
      <c r="AZ35" s="101">
        <f>'Base de données indicateurs1'!BB10</f>
        <v>725276.54</v>
      </c>
      <c r="BA35" s="101">
        <f>'Base de données indicateurs1'!BC10</f>
        <v>0</v>
      </c>
      <c r="BB35" s="101">
        <f>'Base de données indicateurs1'!BD10</f>
        <v>10110840.08</v>
      </c>
      <c r="BC35" s="101">
        <f>'Base de données indicateurs1'!BE10</f>
        <v>150426</v>
      </c>
      <c r="BD35" s="101">
        <f t="shared" si="8"/>
        <v>98715493.190000013</v>
      </c>
      <c r="BE35" s="101">
        <f t="shared" si="9"/>
        <v>71906623.390000001</v>
      </c>
      <c r="BF35" s="101">
        <f t="shared" si="10"/>
        <v>10516204.85</v>
      </c>
      <c r="BG35" s="101">
        <f t="shared" si="11"/>
        <v>16292664.949999999</v>
      </c>
    </row>
    <row r="36" spans="1:59" x14ac:dyDescent="0.3">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3">
      <c r="A37" s="67">
        <v>206</v>
      </c>
      <c r="B37" s="67" t="s">
        <v>264</v>
      </c>
      <c r="C37" s="101">
        <f>'Base de données indicateurs1'!E12</f>
        <v>3449574.66</v>
      </c>
      <c r="D37" s="101">
        <f>'Base de données indicateurs1'!F12</f>
        <v>1575200.85</v>
      </c>
      <c r="E37" s="101">
        <f>'Base de données indicateurs1'!G12</f>
        <v>5302040</v>
      </c>
      <c r="F37" s="101">
        <f>'Base de données indicateurs1'!H12</f>
        <v>3739314.97</v>
      </c>
      <c r="G37" s="101">
        <f>'Base de données indicateurs1'!I12</f>
        <v>17801406</v>
      </c>
      <c r="H37" s="101">
        <f>'Base de données indicateurs1'!J12</f>
        <v>14552620</v>
      </c>
      <c r="I37" s="101">
        <f>'Base de données indicateurs1'!K12</f>
        <v>6615738.4900000002</v>
      </c>
      <c r="J37" s="101">
        <f>'Base de données indicateurs1'!L12</f>
        <v>66513986.549999997</v>
      </c>
      <c r="K37" s="101">
        <f>'Base de données indicateurs1'!M12</f>
        <v>5198699.75</v>
      </c>
      <c r="L37" s="101">
        <f>'Base de données indicateurs1'!N12</f>
        <v>0</v>
      </c>
      <c r="M37" s="101">
        <f>'Base de données indicateurs1'!O12</f>
        <v>32997633.300000001</v>
      </c>
      <c r="N37" s="101">
        <f>'Base de données indicateurs1'!P12</f>
        <v>1797463.35</v>
      </c>
      <c r="O37" s="101">
        <f>'Base de données indicateurs1'!Q12</f>
        <v>385600</v>
      </c>
      <c r="P37" s="101">
        <f>'Base de données indicateurs1'!R12</f>
        <v>3046722.25</v>
      </c>
      <c r="Q37" s="101">
        <f>'Base de données indicateurs1'!S12</f>
        <v>1129011</v>
      </c>
      <c r="R37" s="101">
        <f>'Base de données indicateurs1'!T12</f>
        <v>5103900</v>
      </c>
      <c r="S37" s="101">
        <f>'Base de données indicateurs1'!U12</f>
        <v>280221.77</v>
      </c>
      <c r="T37" s="101">
        <f>'Base de données indicateurs1'!V12</f>
        <v>1847698.1</v>
      </c>
      <c r="U37" s="101">
        <f>'Base de données indicateurs1'!W12</f>
        <v>12761720</v>
      </c>
      <c r="V37" s="101">
        <f>'Base de données indicateurs1'!X12</f>
        <v>504064</v>
      </c>
      <c r="W37" s="101">
        <f>'Base de données indicateurs1'!Y12</f>
        <v>3210200</v>
      </c>
      <c r="X37" s="101">
        <f>'Base de données indicateurs1'!Z12</f>
        <v>4729200</v>
      </c>
      <c r="Y37" s="101">
        <f>'Base de données indicateurs1'!AA12</f>
        <v>610190</v>
      </c>
      <c r="Z37" s="101">
        <f>'Base de données indicateurs1'!AB12</f>
        <v>1200000</v>
      </c>
      <c r="AA37" s="101">
        <f>'Base de données indicateurs1'!AC12</f>
        <v>1985134.62</v>
      </c>
      <c r="AB37" s="101">
        <f>'Base de données indicateurs1'!AD12</f>
        <v>6970357.2800000003</v>
      </c>
      <c r="AC37" s="101">
        <f>'Base de données indicateurs1'!AE12</f>
        <v>3642000</v>
      </c>
      <c r="AD37" s="101">
        <f>'Base de données indicateurs1'!AF12</f>
        <v>515000</v>
      </c>
      <c r="AE37" s="101">
        <f>'Base de données indicateurs1'!AG12</f>
        <v>4377400</v>
      </c>
      <c r="AF37" s="101">
        <f>'Base de données indicateurs1'!AH12</f>
        <v>11523397</v>
      </c>
      <c r="AG37" s="101">
        <f>'Base de données indicateurs1'!AI12</f>
        <v>913401</v>
      </c>
      <c r="AH37" s="101">
        <f>'Base de données indicateurs1'!AJ12</f>
        <v>659260</v>
      </c>
      <c r="AI37" s="101">
        <f>'Base de données indicateurs1'!AK12</f>
        <v>16838944.620000001</v>
      </c>
      <c r="AJ37" s="101">
        <f>'Base de données indicateurs1'!AL12</f>
        <v>5808800</v>
      </c>
      <c r="AK37" s="101">
        <f>'Base de données indicateurs1'!AM12</f>
        <v>10805793.380000001</v>
      </c>
      <c r="AL37" s="101">
        <f>'Base de données indicateurs1'!AN12</f>
        <v>1600000</v>
      </c>
      <c r="AM37" s="101">
        <f>'Base de données indicateurs1'!AO12</f>
        <v>7922475</v>
      </c>
      <c r="AN37" s="101">
        <f>'Base de données indicateurs1'!AP12</f>
        <v>4736229.05</v>
      </c>
      <c r="AO37" s="101">
        <f>'Base de données indicateurs1'!AQ12</f>
        <v>3968985</v>
      </c>
      <c r="AP37" s="101">
        <f>'Base de données indicateurs1'!AR12</f>
        <v>9008304.7300000004</v>
      </c>
      <c r="AQ37" s="101">
        <f>'Base de données indicateurs1'!AS12</f>
        <v>4813702</v>
      </c>
      <c r="AR37" s="101">
        <f>'Base de données indicateurs1'!AT12</f>
        <v>7532739.1200000001</v>
      </c>
      <c r="AS37" s="101">
        <f>'Base de données indicateurs1'!AU12</f>
        <v>1825965</v>
      </c>
      <c r="AT37" s="101">
        <f>'Base de données indicateurs1'!AV12</f>
        <v>13357775</v>
      </c>
      <c r="AU37" s="101">
        <f>'Base de données indicateurs1'!AW12</f>
        <v>4368892</v>
      </c>
      <c r="AV37" s="101">
        <f>'Base de données indicateurs1'!AX12</f>
        <v>798406.85</v>
      </c>
      <c r="AW37" s="101">
        <f>'Base de données indicateurs1'!AY12</f>
        <v>1660900</v>
      </c>
      <c r="AX37" s="101">
        <f>'Base de données indicateurs1'!AZ12</f>
        <v>18633004.399999999</v>
      </c>
      <c r="AY37" s="101">
        <f>'Base de données indicateurs1'!BA12</f>
        <v>871280</v>
      </c>
      <c r="AZ37" s="101">
        <f>'Base de données indicateurs1'!BB12</f>
        <v>8489385.5500000007</v>
      </c>
      <c r="BA37" s="101">
        <f>'Base de données indicateurs1'!BC12</f>
        <v>148745.70000000001</v>
      </c>
      <c r="BB37" s="101">
        <f>'Base de données indicateurs1'!BD12</f>
        <v>52347931</v>
      </c>
      <c r="BC37" s="101">
        <f>'Base de données indicateurs1'!BE12</f>
        <v>3874321.95</v>
      </c>
      <c r="BD37" s="101">
        <f t="shared" si="8"/>
        <v>404350735.29000002</v>
      </c>
      <c r="BE37" s="101">
        <f t="shared" si="9"/>
        <v>184098551.04000002</v>
      </c>
      <c r="BF37" s="101">
        <f t="shared" si="10"/>
        <v>40839603.900000006</v>
      </c>
      <c r="BG37" s="101">
        <f t="shared" si="11"/>
        <v>179412580.34999999</v>
      </c>
    </row>
    <row r="38" spans="1:59" x14ac:dyDescent="0.3">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3">
      <c r="A39" s="67">
        <v>2016</v>
      </c>
      <c r="B39" s="67" t="s">
        <v>276</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162300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162300</v>
      </c>
      <c r="BE39" s="101">
        <f t="shared" si="9"/>
        <v>0</v>
      </c>
      <c r="BF39" s="101">
        <f t="shared" si="10"/>
        <v>0</v>
      </c>
      <c r="BG39" s="101">
        <f t="shared" si="11"/>
        <v>162300</v>
      </c>
    </row>
    <row r="40" spans="1:59" x14ac:dyDescent="0.3">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3">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3">
      <c r="A42" s="67"/>
      <c r="B42" s="99" t="s">
        <v>655</v>
      </c>
      <c r="C42" s="100">
        <f>C33+C35+C37-C39</f>
        <v>7362387.0700000003</v>
      </c>
      <c r="D42" s="100">
        <f t="shared" ref="D42:BC42" si="12">D33+D35+D37-D39</f>
        <v>1694059.85</v>
      </c>
      <c r="E42" s="100">
        <f t="shared" si="12"/>
        <v>5594890.2999999998</v>
      </c>
      <c r="F42" s="100">
        <f t="shared" si="12"/>
        <v>4325953.6500000004</v>
      </c>
      <c r="G42" s="100">
        <f t="shared" si="12"/>
        <v>22913378</v>
      </c>
      <c r="H42" s="100">
        <f t="shared" si="12"/>
        <v>20840155.5</v>
      </c>
      <c r="I42" s="100">
        <f t="shared" si="12"/>
        <v>6817290.6900000004</v>
      </c>
      <c r="J42" s="100">
        <f t="shared" si="12"/>
        <v>119224424.16999999</v>
      </c>
      <c r="K42" s="100">
        <f t="shared" si="12"/>
        <v>5654444.4800000004</v>
      </c>
      <c r="L42" s="100">
        <f t="shared" si="12"/>
        <v>0</v>
      </c>
      <c r="M42" s="100">
        <f t="shared" si="12"/>
        <v>38037365.759999998</v>
      </c>
      <c r="N42" s="100">
        <f t="shared" si="12"/>
        <v>3153128.1900000004</v>
      </c>
      <c r="O42" s="100">
        <f t="shared" si="12"/>
        <v>536394.25</v>
      </c>
      <c r="P42" s="100">
        <f t="shared" si="12"/>
        <v>3313530.66</v>
      </c>
      <c r="Q42" s="100">
        <f t="shared" si="12"/>
        <v>4204776.53</v>
      </c>
      <c r="R42" s="100">
        <f t="shared" si="12"/>
        <v>5505378.5700000003</v>
      </c>
      <c r="S42" s="100">
        <f t="shared" si="12"/>
        <v>653720.47</v>
      </c>
      <c r="T42" s="100">
        <f t="shared" si="12"/>
        <v>2744898.29</v>
      </c>
      <c r="U42" s="100">
        <f t="shared" si="12"/>
        <v>14833017.120000001</v>
      </c>
      <c r="V42" s="100">
        <f t="shared" si="12"/>
        <v>567706</v>
      </c>
      <c r="W42" s="100">
        <f t="shared" si="12"/>
        <v>12076989.98</v>
      </c>
      <c r="X42" s="100">
        <f t="shared" si="12"/>
        <v>8118224.96</v>
      </c>
      <c r="Y42" s="100">
        <f t="shared" si="12"/>
        <v>644147</v>
      </c>
      <c r="Z42" s="100">
        <f t="shared" si="12"/>
        <v>1231444.1299999999</v>
      </c>
      <c r="AA42" s="100">
        <f t="shared" si="12"/>
        <v>3067383.23</v>
      </c>
      <c r="AB42" s="100">
        <f t="shared" si="12"/>
        <v>7698969.8399999999</v>
      </c>
      <c r="AC42" s="100">
        <f t="shared" si="12"/>
        <v>3837428.94</v>
      </c>
      <c r="AD42" s="100">
        <f t="shared" si="12"/>
        <v>1162741.5</v>
      </c>
      <c r="AE42" s="100">
        <f t="shared" si="12"/>
        <v>7078615.3899999997</v>
      </c>
      <c r="AF42" s="100">
        <f t="shared" si="12"/>
        <v>19272498</v>
      </c>
      <c r="AG42" s="100">
        <f t="shared" si="12"/>
        <v>885057.5</v>
      </c>
      <c r="AH42" s="100">
        <f t="shared" si="12"/>
        <v>719026.05</v>
      </c>
      <c r="AI42" s="100">
        <f t="shared" si="12"/>
        <v>17180810.02</v>
      </c>
      <c r="AJ42" s="100">
        <f t="shared" si="12"/>
        <v>6479125</v>
      </c>
      <c r="AK42" s="100">
        <f t="shared" si="12"/>
        <v>11423868.66</v>
      </c>
      <c r="AL42" s="100">
        <f t="shared" si="12"/>
        <v>1630726.94</v>
      </c>
      <c r="AM42" s="100">
        <f t="shared" si="12"/>
        <v>10097839.1</v>
      </c>
      <c r="AN42" s="100">
        <f t="shared" si="12"/>
        <v>5139011.8899999997</v>
      </c>
      <c r="AO42" s="100">
        <f t="shared" si="12"/>
        <v>4438993</v>
      </c>
      <c r="AP42" s="100">
        <f t="shared" si="12"/>
        <v>9360629.9800000004</v>
      </c>
      <c r="AQ42" s="100">
        <f t="shared" si="12"/>
        <v>5509464.75</v>
      </c>
      <c r="AR42" s="100">
        <f t="shared" si="12"/>
        <v>8021556.3700000001</v>
      </c>
      <c r="AS42" s="100">
        <f t="shared" si="12"/>
        <v>1892447.1</v>
      </c>
      <c r="AT42" s="100">
        <f t="shared" si="12"/>
        <v>13884615.460000001</v>
      </c>
      <c r="AU42" s="100">
        <f t="shared" si="12"/>
        <v>5721798.2999999998</v>
      </c>
      <c r="AV42" s="100">
        <f t="shared" si="12"/>
        <v>827166.2</v>
      </c>
      <c r="AW42" s="100">
        <f t="shared" si="12"/>
        <v>2006984.94</v>
      </c>
      <c r="AX42" s="100">
        <f t="shared" si="12"/>
        <v>20555588.629999999</v>
      </c>
      <c r="AY42" s="100">
        <f t="shared" si="12"/>
        <v>1211925.51</v>
      </c>
      <c r="AZ42" s="100">
        <f t="shared" si="12"/>
        <v>10224980.140000001</v>
      </c>
      <c r="BA42" s="100">
        <f t="shared" si="12"/>
        <v>206289.58000000002</v>
      </c>
      <c r="BB42" s="100">
        <f t="shared" si="12"/>
        <v>64703530.620000005</v>
      </c>
      <c r="BC42" s="100">
        <f t="shared" si="12"/>
        <v>4428056.8</v>
      </c>
      <c r="BD42" s="180">
        <f>SUM(C42:BC42)</f>
        <v>538714835.05999994</v>
      </c>
      <c r="BE42" s="180">
        <f t="shared" ref="BE42" si="13">SUM(C42:U42)</f>
        <v>267409193.54999995</v>
      </c>
      <c r="BF42" s="180">
        <f t="shared" ref="BF42" si="14">SUM(V42:AH42)</f>
        <v>66360232.519999996</v>
      </c>
      <c r="BG42" s="180">
        <f t="shared" ref="BG42" si="15">SUM(AI42:BC42)</f>
        <v>204945408.99000004</v>
      </c>
    </row>
    <row r="43" spans="1:59" x14ac:dyDescent="0.3">
      <c r="A43" s="67"/>
      <c r="B43" s="69" t="s">
        <v>458</v>
      </c>
      <c r="C43" s="70">
        <f>C42/C5</f>
        <v>7976.5840411700974</v>
      </c>
      <c r="D43" s="70">
        <f t="shared" ref="D43:BC43" si="16">D42/D5</f>
        <v>6274.2957407407412</v>
      </c>
      <c r="E43" s="70">
        <f t="shared" si="16"/>
        <v>11535.856288659794</v>
      </c>
      <c r="F43" s="70">
        <f t="shared" si="16"/>
        <v>9699.4476457399105</v>
      </c>
      <c r="G43" s="70">
        <f t="shared" si="16"/>
        <v>6310.4869182043512</v>
      </c>
      <c r="H43" s="70">
        <f t="shared" si="16"/>
        <v>6290.4182010262602</v>
      </c>
      <c r="I43" s="70">
        <f t="shared" si="16"/>
        <v>2578.4004122541605</v>
      </c>
      <c r="J43" s="70">
        <f t="shared" si="16"/>
        <v>9448.7576612775392</v>
      </c>
      <c r="K43" s="70">
        <f t="shared" si="16"/>
        <v>4124.3212837345009</v>
      </c>
      <c r="L43" s="70">
        <f t="shared" si="16"/>
        <v>0</v>
      </c>
      <c r="M43" s="70">
        <f t="shared" si="16"/>
        <v>5307.2925575554618</v>
      </c>
      <c r="N43" s="70">
        <f t="shared" si="16"/>
        <v>5971.8336931818194</v>
      </c>
      <c r="O43" s="70">
        <f t="shared" si="16"/>
        <v>4966.6134259259261</v>
      </c>
      <c r="P43" s="70">
        <f t="shared" si="16"/>
        <v>7984.4112289156628</v>
      </c>
      <c r="Q43" s="70">
        <f t="shared" si="16"/>
        <v>12048.070286532951</v>
      </c>
      <c r="R43" s="70">
        <f t="shared" si="16"/>
        <v>8013.6514847161579</v>
      </c>
      <c r="S43" s="70">
        <f t="shared" si="16"/>
        <v>2563.6096862745098</v>
      </c>
      <c r="T43" s="70">
        <f t="shared" si="16"/>
        <v>6295.6382798165141</v>
      </c>
      <c r="U43" s="70">
        <f t="shared" si="16"/>
        <v>4649.8486269592477</v>
      </c>
      <c r="V43" s="70">
        <f t="shared" si="16"/>
        <v>1752.179012345679</v>
      </c>
      <c r="W43" s="70">
        <f t="shared" si="16"/>
        <v>9692.6083306581058</v>
      </c>
      <c r="X43" s="70">
        <f t="shared" si="16"/>
        <v>5312.9744502617805</v>
      </c>
      <c r="Y43" s="70">
        <f t="shared" si="16"/>
        <v>6709.864583333333</v>
      </c>
      <c r="Z43" s="70">
        <f t="shared" si="16"/>
        <v>8264.7257046979867</v>
      </c>
      <c r="AA43" s="70">
        <f t="shared" si="16"/>
        <v>5944.5411434108528</v>
      </c>
      <c r="AB43" s="70">
        <f t="shared" si="16"/>
        <v>11473.874575260805</v>
      </c>
      <c r="AC43" s="70">
        <f t="shared" si="16"/>
        <v>6708.7918531468531</v>
      </c>
      <c r="AD43" s="70">
        <f t="shared" si="16"/>
        <v>2372.9418367346939</v>
      </c>
      <c r="AE43" s="70">
        <f t="shared" si="16"/>
        <v>3698.3361494252872</v>
      </c>
      <c r="AF43" s="70">
        <f t="shared" si="16"/>
        <v>7369.9801147227536</v>
      </c>
      <c r="AG43" s="70">
        <f t="shared" si="16"/>
        <v>3898.931718061674</v>
      </c>
      <c r="AH43" s="70">
        <f t="shared" si="16"/>
        <v>5488.7484732824432</v>
      </c>
      <c r="AI43" s="70">
        <f t="shared" si="16"/>
        <v>9066.390511873351</v>
      </c>
      <c r="AJ43" s="70">
        <f t="shared" si="16"/>
        <v>5708.4801762114539</v>
      </c>
      <c r="AK43" s="70">
        <f t="shared" si="16"/>
        <v>9205.37361804996</v>
      </c>
      <c r="AL43" s="70">
        <f t="shared" si="16"/>
        <v>13703.587731092437</v>
      </c>
      <c r="AM43" s="70">
        <f t="shared" si="16"/>
        <v>8450.0745606694563</v>
      </c>
      <c r="AN43" s="70">
        <f t="shared" si="16"/>
        <v>7751.1491553544492</v>
      </c>
      <c r="AO43" s="70">
        <f t="shared" si="16"/>
        <v>6882.1596899224805</v>
      </c>
      <c r="AP43" s="70">
        <f t="shared" si="16"/>
        <v>7411.4251623119562</v>
      </c>
      <c r="AQ43" s="70">
        <f t="shared" si="16"/>
        <v>7445.2226351351355</v>
      </c>
      <c r="AR43" s="70">
        <f t="shared" si="16"/>
        <v>7803.070398832685</v>
      </c>
      <c r="AS43" s="70">
        <f t="shared" si="16"/>
        <v>6026.9015923566885</v>
      </c>
      <c r="AT43" s="70">
        <f t="shared" si="16"/>
        <v>5785.2564416666673</v>
      </c>
      <c r="AU43" s="70">
        <f t="shared" si="16"/>
        <v>7578.5407947019867</v>
      </c>
      <c r="AV43" s="70">
        <f t="shared" si="16"/>
        <v>4569.9790055248613</v>
      </c>
      <c r="AW43" s="70">
        <f t="shared" si="16"/>
        <v>5783.8182708933718</v>
      </c>
      <c r="AX43" s="70">
        <f t="shared" si="16"/>
        <v>12163.070195266271</v>
      </c>
      <c r="AY43" s="70">
        <f t="shared" si="16"/>
        <v>3131.5904651162791</v>
      </c>
      <c r="AZ43" s="70">
        <f t="shared" si="16"/>
        <v>9329.3614416058408</v>
      </c>
      <c r="BA43" s="70">
        <f t="shared" si="16"/>
        <v>1097.2850000000001</v>
      </c>
      <c r="BB43" s="70">
        <f t="shared" si="16"/>
        <v>10056.501495181847</v>
      </c>
      <c r="BC43" s="70">
        <f t="shared" si="16"/>
        <v>7907.2442857142851</v>
      </c>
      <c r="BD43" s="173">
        <f>BD42/BD5</f>
        <v>7308.6710586224199</v>
      </c>
      <c r="BE43" s="173">
        <f>BE42/BE5</f>
        <v>6864.7428646608805</v>
      </c>
      <c r="BF43" s="173">
        <f>BF42/BF5</f>
        <v>6332.6875198015077</v>
      </c>
      <c r="BG43" s="173">
        <f>BG42/BG5</f>
        <v>8442.3055276816631</v>
      </c>
    </row>
    <row r="44" spans="1:59" x14ac:dyDescent="0.3">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3">
      <c r="A45" s="67"/>
      <c r="B45" s="99" t="s">
        <v>656</v>
      </c>
      <c r="C45" s="100">
        <f>C31-C29</f>
        <v>1981542.2999999998</v>
      </c>
      <c r="D45" s="100">
        <f t="shared" ref="D45:BG45" si="17">D31-D29</f>
        <v>347500.05000000005</v>
      </c>
      <c r="E45" s="100">
        <f t="shared" si="17"/>
        <v>2113085.3899999997</v>
      </c>
      <c r="F45" s="100">
        <f t="shared" si="17"/>
        <v>333820.88000000082</v>
      </c>
      <c r="G45" s="100">
        <f t="shared" si="17"/>
        <v>11170167</v>
      </c>
      <c r="H45" s="100">
        <f t="shared" si="17"/>
        <v>13112482.930000002</v>
      </c>
      <c r="I45" s="100">
        <f t="shared" si="17"/>
        <v>1024849.9699999988</v>
      </c>
      <c r="J45" s="100">
        <f t="shared" si="17"/>
        <v>70522811.370000005</v>
      </c>
      <c r="K45" s="100">
        <f t="shared" si="17"/>
        <v>2124903.9499999997</v>
      </c>
      <c r="L45" s="100">
        <f t="shared" si="17"/>
        <v>0</v>
      </c>
      <c r="M45" s="100">
        <f t="shared" si="17"/>
        <v>21593781.700000003</v>
      </c>
      <c r="N45" s="100">
        <f t="shared" si="17"/>
        <v>1367293.8899999997</v>
      </c>
      <c r="O45" s="100">
        <f t="shared" si="17"/>
        <v>245034.5</v>
      </c>
      <c r="P45" s="100">
        <f t="shared" si="17"/>
        <v>1875498.62</v>
      </c>
      <c r="Q45" s="100">
        <f t="shared" si="17"/>
        <v>2154227.6300000004</v>
      </c>
      <c r="R45" s="100">
        <f t="shared" si="17"/>
        <v>212642.52999999933</v>
      </c>
      <c r="S45" s="100">
        <f t="shared" si="17"/>
        <v>292787.20999999985</v>
      </c>
      <c r="T45" s="100">
        <f t="shared" si="17"/>
        <v>439211.70000000019</v>
      </c>
      <c r="U45" s="100">
        <f t="shared" si="17"/>
        <v>10418227.84</v>
      </c>
      <c r="V45" s="100">
        <f t="shared" si="17"/>
        <v>-1080510</v>
      </c>
      <c r="W45" s="100">
        <f t="shared" si="17"/>
        <v>7786577.9200000009</v>
      </c>
      <c r="X45" s="100">
        <f t="shared" si="17"/>
        <v>-8985276.8900000006</v>
      </c>
      <c r="Y45" s="100">
        <f t="shared" si="17"/>
        <v>135991</v>
      </c>
      <c r="Z45" s="100">
        <f t="shared" si="17"/>
        <v>159244.26</v>
      </c>
      <c r="AA45" s="100">
        <f t="shared" si="17"/>
        <v>261711.14999999991</v>
      </c>
      <c r="AB45" s="100">
        <f t="shared" si="17"/>
        <v>6603345.2300000004</v>
      </c>
      <c r="AC45" s="100">
        <f t="shared" si="17"/>
        <v>1285721.0299999998</v>
      </c>
      <c r="AD45" s="100">
        <f t="shared" si="17"/>
        <v>-3100962.9499999997</v>
      </c>
      <c r="AE45" s="100">
        <f t="shared" si="17"/>
        <v>-1077667.79</v>
      </c>
      <c r="AF45" s="100">
        <f t="shared" si="17"/>
        <v>10187147</v>
      </c>
      <c r="AG45" s="100">
        <f t="shared" si="17"/>
        <v>122013</v>
      </c>
      <c r="AH45" s="100">
        <f t="shared" si="17"/>
        <v>-1131039.05</v>
      </c>
      <c r="AI45" s="100">
        <f t="shared" si="17"/>
        <v>11365852.559999999</v>
      </c>
      <c r="AJ45" s="100">
        <f t="shared" si="17"/>
        <v>-3382369</v>
      </c>
      <c r="AK45" s="100">
        <f t="shared" si="17"/>
        <v>6847039.9500000002</v>
      </c>
      <c r="AL45" s="100">
        <f t="shared" si="17"/>
        <v>-517907.81999999995</v>
      </c>
      <c r="AM45" s="100">
        <f t="shared" si="17"/>
        <v>-3843093.0299999993</v>
      </c>
      <c r="AN45" s="100">
        <f t="shared" si="17"/>
        <v>1459848.7399999998</v>
      </c>
      <c r="AO45" s="100">
        <f t="shared" si="17"/>
        <v>928102</v>
      </c>
      <c r="AP45" s="100">
        <f t="shared" si="17"/>
        <v>-2020851.1899999995</v>
      </c>
      <c r="AQ45" s="100">
        <f t="shared" si="17"/>
        <v>3139351.8900000006</v>
      </c>
      <c r="AR45" s="100">
        <f t="shared" si="17"/>
        <v>5090106.17</v>
      </c>
      <c r="AS45" s="100">
        <f t="shared" si="17"/>
        <v>-1809164.0300000003</v>
      </c>
      <c r="AT45" s="100">
        <f t="shared" si="17"/>
        <v>9800475.9100000001</v>
      </c>
      <c r="AU45" s="100">
        <f t="shared" si="17"/>
        <v>2942305.27</v>
      </c>
      <c r="AV45" s="100">
        <f t="shared" si="17"/>
        <v>303302.40000000002</v>
      </c>
      <c r="AW45" s="100">
        <f t="shared" si="17"/>
        <v>62364.760000000009</v>
      </c>
      <c r="AX45" s="100">
        <f t="shared" si="17"/>
        <v>16734582.77</v>
      </c>
      <c r="AY45" s="100">
        <f t="shared" si="17"/>
        <v>-420378.84000000008</v>
      </c>
      <c r="AZ45" s="100">
        <f t="shared" si="17"/>
        <v>6329522.8200000003</v>
      </c>
      <c r="BA45" s="100">
        <f t="shared" si="17"/>
        <v>-570550.06000000006</v>
      </c>
      <c r="BB45" s="100">
        <f t="shared" si="17"/>
        <v>40863227.879999995</v>
      </c>
      <c r="BC45" s="100">
        <f t="shared" si="17"/>
        <v>2142526.61</v>
      </c>
      <c r="BD45" s="100">
        <f t="shared" si="17"/>
        <v>247940459.12999958</v>
      </c>
      <c r="BE45" s="180">
        <f t="shared" si="17"/>
        <v>141329869.45999992</v>
      </c>
      <c r="BF45" s="180">
        <f t="shared" si="17"/>
        <v>11166293.910000011</v>
      </c>
      <c r="BG45" s="180">
        <f t="shared" si="17"/>
        <v>95444295.759999976</v>
      </c>
    </row>
    <row r="46" spans="1:59" x14ac:dyDescent="0.3">
      <c r="A46" s="67"/>
      <c r="B46" s="69" t="s">
        <v>458</v>
      </c>
      <c r="C46" s="70">
        <f>C45/C5</f>
        <v>2146.8497291440954</v>
      </c>
      <c r="D46" s="70">
        <f t="shared" ref="D46:BC46" si="18">D45/D5</f>
        <v>1287.0372222222225</v>
      </c>
      <c r="E46" s="70">
        <f t="shared" si="18"/>
        <v>4356.8770927835048</v>
      </c>
      <c r="F46" s="70">
        <f t="shared" si="18"/>
        <v>748.47730941704219</v>
      </c>
      <c r="G46" s="70">
        <f t="shared" si="18"/>
        <v>3076.3335169374827</v>
      </c>
      <c r="H46" s="70">
        <f t="shared" si="18"/>
        <v>3957.8879957742233</v>
      </c>
      <c r="I46" s="70">
        <f t="shared" si="18"/>
        <v>387.61345310136113</v>
      </c>
      <c r="J46" s="70">
        <f t="shared" si="18"/>
        <v>5589.0641440798863</v>
      </c>
      <c r="K46" s="70">
        <f t="shared" si="18"/>
        <v>1549.8934719183076</v>
      </c>
      <c r="L46" s="70">
        <f t="shared" si="18"/>
        <v>0</v>
      </c>
      <c r="M46" s="70">
        <f t="shared" si="18"/>
        <v>3012.9456815962053</v>
      </c>
      <c r="N46" s="70">
        <f t="shared" si="18"/>
        <v>2589.5717613636357</v>
      </c>
      <c r="O46" s="70">
        <f t="shared" si="18"/>
        <v>2268.837962962963</v>
      </c>
      <c r="P46" s="70">
        <f t="shared" si="18"/>
        <v>4519.2737831325303</v>
      </c>
      <c r="Q46" s="70">
        <f t="shared" si="18"/>
        <v>6172.5720057306598</v>
      </c>
      <c r="R46" s="70">
        <f t="shared" si="18"/>
        <v>309.52333333333235</v>
      </c>
      <c r="S46" s="70">
        <f t="shared" si="18"/>
        <v>1148.1851372549013</v>
      </c>
      <c r="T46" s="70">
        <f t="shared" si="18"/>
        <v>1007.3662844036702</v>
      </c>
      <c r="U46" s="70">
        <f t="shared" si="18"/>
        <v>3265.9021442006269</v>
      </c>
      <c r="V46" s="70">
        <f t="shared" si="18"/>
        <v>-3334.9074074074074</v>
      </c>
      <c r="W46" s="70">
        <f t="shared" si="18"/>
        <v>6249.259967897272</v>
      </c>
      <c r="X46" s="70">
        <f t="shared" si="18"/>
        <v>-5880.4168128272258</v>
      </c>
      <c r="Y46" s="70">
        <f t="shared" si="18"/>
        <v>1416.5729166666667</v>
      </c>
      <c r="Z46" s="70">
        <f t="shared" si="18"/>
        <v>1068.7534228187919</v>
      </c>
      <c r="AA46" s="70">
        <f t="shared" si="18"/>
        <v>507.19215116279054</v>
      </c>
      <c r="AB46" s="70">
        <f t="shared" si="18"/>
        <v>9841.0510134128181</v>
      </c>
      <c r="AC46" s="70">
        <f t="shared" si="18"/>
        <v>2247.7640384615379</v>
      </c>
      <c r="AD46" s="70">
        <f t="shared" si="18"/>
        <v>-6328.4958163265301</v>
      </c>
      <c r="AE46" s="70">
        <f t="shared" si="18"/>
        <v>-563.04482236154649</v>
      </c>
      <c r="AF46" s="70">
        <f t="shared" si="18"/>
        <v>3895.6585086042064</v>
      </c>
      <c r="AG46" s="70">
        <f t="shared" si="18"/>
        <v>537.50220264317181</v>
      </c>
      <c r="AH46" s="70">
        <f t="shared" si="18"/>
        <v>-8633.8858778625963</v>
      </c>
      <c r="AI46" s="70">
        <f t="shared" si="18"/>
        <v>5997.8113773087061</v>
      </c>
      <c r="AJ46" s="70">
        <f t="shared" si="18"/>
        <v>-2980.0607929515418</v>
      </c>
      <c r="AK46" s="70">
        <f t="shared" si="18"/>
        <v>5517.3569298952461</v>
      </c>
      <c r="AL46" s="70">
        <f t="shared" si="18"/>
        <v>-4352.1665546218483</v>
      </c>
      <c r="AM46" s="70">
        <f t="shared" si="18"/>
        <v>-3215.9774309623426</v>
      </c>
      <c r="AN46" s="70">
        <f t="shared" si="18"/>
        <v>2201.8834690799395</v>
      </c>
      <c r="AO46" s="70">
        <f t="shared" si="18"/>
        <v>1438.9178294573644</v>
      </c>
      <c r="AP46" s="70">
        <f t="shared" si="18"/>
        <v>-1600.0405304829767</v>
      </c>
      <c r="AQ46" s="70">
        <f t="shared" si="18"/>
        <v>4242.3674189189196</v>
      </c>
      <c r="AR46" s="70">
        <f t="shared" si="18"/>
        <v>4951.465145914397</v>
      </c>
      <c r="AS46" s="70">
        <f t="shared" si="18"/>
        <v>-5761.6688853503192</v>
      </c>
      <c r="AT46" s="70">
        <f t="shared" si="18"/>
        <v>4083.5316291666668</v>
      </c>
      <c r="AU46" s="70">
        <f t="shared" si="18"/>
        <v>3897.0930728476819</v>
      </c>
      <c r="AV46" s="70">
        <f t="shared" si="18"/>
        <v>1675.7038674033151</v>
      </c>
      <c r="AW46" s="70">
        <f t="shared" si="18"/>
        <v>179.72553314121041</v>
      </c>
      <c r="AX46" s="70">
        <f t="shared" si="18"/>
        <v>9902.1199822485196</v>
      </c>
      <c r="AY46" s="70">
        <f t="shared" si="18"/>
        <v>-1086.2502325581397</v>
      </c>
      <c r="AZ46" s="70">
        <f t="shared" si="18"/>
        <v>5775.112062043796</v>
      </c>
      <c r="BA46" s="70">
        <f t="shared" si="18"/>
        <v>-3034.8407446808515</v>
      </c>
      <c r="BB46" s="70">
        <f t="shared" si="18"/>
        <v>6351.1389306807578</v>
      </c>
      <c r="BC46" s="70">
        <f t="shared" si="18"/>
        <v>3825.9403749999997</v>
      </c>
      <c r="BD46" s="70">
        <f>BD45/BD5</f>
        <v>3363.7745611797686</v>
      </c>
      <c r="BE46" s="173">
        <f>BE45/BE5</f>
        <v>3628.1221302048548</v>
      </c>
      <c r="BF46" s="173">
        <f>BF45/BF5</f>
        <v>1065.5877383338116</v>
      </c>
      <c r="BG46" s="173">
        <f>BG45/BG5</f>
        <v>3931.6318899324424</v>
      </c>
    </row>
    <row r="47" spans="1:59" x14ac:dyDescent="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C23" sqref="C23"/>
    </sheetView>
  </sheetViews>
  <sheetFormatPr baseColWidth="10" defaultRowHeight="14.4" x14ac:dyDescent="0.3"/>
  <cols>
    <col min="1" max="1" width="22.88671875" customWidth="1"/>
    <col min="2" max="5" width="16.33203125" customWidth="1"/>
  </cols>
  <sheetData>
    <row r="2" spans="1:5" x14ac:dyDescent="0.3">
      <c r="A2" s="65" t="s">
        <v>67</v>
      </c>
      <c r="B2" s="65" t="s">
        <v>814</v>
      </c>
      <c r="C2" s="65" t="s">
        <v>816</v>
      </c>
      <c r="D2" s="65" t="s">
        <v>815</v>
      </c>
      <c r="E2" s="65" t="s">
        <v>817</v>
      </c>
    </row>
    <row r="3" spans="1:5" x14ac:dyDescent="0.3">
      <c r="A3" s="205" t="s">
        <v>56</v>
      </c>
      <c r="B3" s="4">
        <f>'5.4 Tableau de l''endettement'!C20</f>
        <v>8787762.370000001</v>
      </c>
      <c r="C3" s="4">
        <f>'5.4 Tableau de l''endettement'!C21</f>
        <v>9520.8693066088854</v>
      </c>
      <c r="D3" s="4">
        <f>'5.4 Tableau de l''endettement'!C23</f>
        <v>3110759.83</v>
      </c>
      <c r="E3" s="4">
        <f>'5.4 Tableau de l''endettement'!C24</f>
        <v>3370.2706717226438</v>
      </c>
    </row>
    <row r="4" spans="1:5" x14ac:dyDescent="0.3">
      <c r="A4" s="205" t="s">
        <v>18</v>
      </c>
      <c r="B4" s="4">
        <f>'5.4 Tableau de l''endettement'!D20</f>
        <v>2487801.85</v>
      </c>
      <c r="C4" s="4">
        <f>'5.4 Tableau de l''endettement'!D21</f>
        <v>9214.0809259259258</v>
      </c>
      <c r="D4" s="4">
        <f>'5.4 Tableau de l''endettement'!D23</f>
        <v>1153471.1100000001</v>
      </c>
      <c r="E4" s="4">
        <f>'5.4 Tableau de l''endettement'!D24</f>
        <v>4272.1152222222227</v>
      </c>
    </row>
    <row r="5" spans="1:5" x14ac:dyDescent="0.3">
      <c r="A5" s="205" t="s">
        <v>57</v>
      </c>
      <c r="B5" s="4">
        <f>'5.4 Tableau de l''endettement'!E20</f>
        <v>5651890.2999999998</v>
      </c>
      <c r="C5" s="4">
        <f>'5.4 Tableau de l''endettement'!E21</f>
        <v>11653.382061855669</v>
      </c>
      <c r="D5" s="4">
        <f>'5.4 Tableau de l''endettement'!E23</f>
        <v>2152345.7399999993</v>
      </c>
      <c r="E5" s="4">
        <f>'5.4 Tableau de l''endettement'!E24</f>
        <v>4437.8262680412354</v>
      </c>
    </row>
    <row r="6" spans="1:5" x14ac:dyDescent="0.3">
      <c r="A6" s="205" t="s">
        <v>53</v>
      </c>
      <c r="B6" s="4">
        <f>'5.4 Tableau de l''endettement'!F20</f>
        <v>4580673.8899999997</v>
      </c>
      <c r="C6" s="4">
        <f>'5.4 Tableau de l''endettement'!F21</f>
        <v>10270.569260089685</v>
      </c>
      <c r="D6" s="4">
        <f>'5.4 Tableau de l''endettement'!F23</f>
        <v>279098.55999999959</v>
      </c>
      <c r="E6" s="4">
        <f>'5.4 Tableau de l''endettement'!F24</f>
        <v>625.78152466367624</v>
      </c>
    </row>
    <row r="7" spans="1:5" x14ac:dyDescent="0.3">
      <c r="A7" s="205" t="s">
        <v>33</v>
      </c>
      <c r="B7" s="4">
        <f>'5.4 Tableau de l''endettement'!G20</f>
        <v>25331929.02</v>
      </c>
      <c r="C7" s="4">
        <f>'5.4 Tableau de l''endettement'!G21</f>
        <v>6976.5709226108511</v>
      </c>
      <c r="D7" s="4">
        <f>'5.4 Tableau de l''endettement'!G23</f>
        <v>11170166.720000001</v>
      </c>
      <c r="E7" s="4">
        <f>'5.4 Tableau de l''endettement'!G24</f>
        <v>3076.3334398237403</v>
      </c>
    </row>
    <row r="8" spans="1:5" x14ac:dyDescent="0.3">
      <c r="A8" s="205" t="s">
        <v>10</v>
      </c>
      <c r="B8" s="4">
        <f>'5.4 Tableau de l''endettement'!H20</f>
        <v>24139585.52</v>
      </c>
      <c r="C8" s="4">
        <f>'5.4 Tableau de l''endettement'!H21</f>
        <v>7286.3222215514634</v>
      </c>
      <c r="D8" s="4">
        <f>'5.4 Tableau de l''endettement'!H23</f>
        <v>16907788.280000001</v>
      </c>
      <c r="E8" s="4">
        <f>'5.4 Tableau de l''endettement'!H24</f>
        <v>5103.4676365831574</v>
      </c>
    </row>
    <row r="9" spans="1:5" x14ac:dyDescent="0.3">
      <c r="A9" s="205" t="s">
        <v>15</v>
      </c>
      <c r="B9" s="4">
        <f>'5.4 Tableau de l''endettement'!I20</f>
        <v>10593458.889999999</v>
      </c>
      <c r="C9" s="4">
        <f>'5.4 Tableau de l''endettement'!I21</f>
        <v>4006.6032110438723</v>
      </c>
      <c r="D9" s="4">
        <f>'5.4 Tableau de l''endettement'!I23</f>
        <v>1024849.9700000007</v>
      </c>
      <c r="E9" s="4">
        <f>'5.4 Tableau de l''endettement'!I24</f>
        <v>387.61345310136181</v>
      </c>
    </row>
    <row r="10" spans="1:5" x14ac:dyDescent="0.3">
      <c r="A10" s="205" t="s">
        <v>28</v>
      </c>
      <c r="B10" s="4">
        <f>'5.4 Tableau de l''endettement'!J20</f>
        <v>132652769.70999999</v>
      </c>
      <c r="C10" s="4">
        <f>'5.4 Tableau de l''endettement'!J21</f>
        <v>10512.97905452528</v>
      </c>
      <c r="D10" s="4">
        <f>'5.4 Tableau de l''endettement'!J23</f>
        <v>90861759.809999973</v>
      </c>
      <c r="E10" s="4">
        <f>'5.4 Tableau de l''endettement'!J24</f>
        <v>7200.9636875891565</v>
      </c>
    </row>
    <row r="11" spans="1:5" x14ac:dyDescent="0.3">
      <c r="A11" s="205" t="s">
        <v>42</v>
      </c>
      <c r="B11" s="4">
        <f>'5.4 Tableau de l''endettement'!K20</f>
        <v>7093445.6799999997</v>
      </c>
      <c r="C11" s="4">
        <f>'5.4 Tableau de l''endettement'!K21</f>
        <v>5173.920991976659</v>
      </c>
      <c r="D11" s="4">
        <f>'5.4 Tableau de l''endettement'!K23</f>
        <v>3075283.87</v>
      </c>
      <c r="E11" s="4">
        <f>'5.4 Tableau de l''endettement'!K24</f>
        <v>2243.0954558716267</v>
      </c>
    </row>
    <row r="12" spans="1:5" x14ac:dyDescent="0.3">
      <c r="A12" s="205" t="s">
        <v>23</v>
      </c>
      <c r="B12" s="4">
        <f>'5.4 Tableau de l''endettement'!L20</f>
        <v>825716.9</v>
      </c>
      <c r="C12" s="4">
        <f>'5.4 Tableau de l''endettement'!L21</f>
        <v>6997.6008474576274</v>
      </c>
      <c r="D12" s="4">
        <f>'5.4 Tableau de l''endettement'!L23</f>
        <v>460672.40000000008</v>
      </c>
      <c r="E12" s="4">
        <f>'5.4 Tableau de l''endettement'!L24</f>
        <v>3904.0033898305091</v>
      </c>
    </row>
    <row r="13" spans="1:5" x14ac:dyDescent="0.3">
      <c r="A13" s="205" t="s">
        <v>22</v>
      </c>
      <c r="B13" s="4">
        <f>'5.4 Tableau de l''endettement'!M20</f>
        <v>44736924.560000002</v>
      </c>
      <c r="C13" s="4">
        <f>'5.4 Tableau de l''endettement'!M21</f>
        <v>6242.0712376168558</v>
      </c>
      <c r="D13" s="4">
        <f>'5.4 Tableau de l''endettement'!M23</f>
        <v>26943371.269999996</v>
      </c>
      <c r="E13" s="4">
        <f>'5.4 Tableau de l''endettement'!M24</f>
        <v>3759.3653230082314</v>
      </c>
    </row>
    <row r="14" spans="1:5" x14ac:dyDescent="0.3">
      <c r="A14" s="205" t="s">
        <v>13</v>
      </c>
      <c r="B14" s="4">
        <f>'5.4 Tableau de l''endettement'!N20</f>
        <v>3159127.29</v>
      </c>
      <c r="C14" s="4">
        <f>'5.4 Tableau de l''endettement'!N21</f>
        <v>5983.1956250000003</v>
      </c>
      <c r="D14" s="4">
        <f>'5.4 Tableau de l''endettement'!N23</f>
        <v>1367293.8900000001</v>
      </c>
      <c r="E14" s="4">
        <f>'5.4 Tableau de l''endettement'!N24</f>
        <v>2589.5717613636366</v>
      </c>
    </row>
    <row r="15" spans="1:5" x14ac:dyDescent="0.3">
      <c r="A15" s="205" t="s">
        <v>17</v>
      </c>
      <c r="B15" s="4">
        <f>'5.4 Tableau de l''endettement'!O20</f>
        <v>536394.25</v>
      </c>
      <c r="C15" s="4">
        <f>'5.4 Tableau de l''endettement'!O21</f>
        <v>4966.6134259259261</v>
      </c>
      <c r="D15" s="4">
        <f>'5.4 Tableau de l''endettement'!O23</f>
        <v>245034.49999999994</v>
      </c>
      <c r="E15" s="4">
        <f>'5.4 Tableau de l''endettement'!O24</f>
        <v>2268.8379629629626</v>
      </c>
    </row>
    <row r="16" spans="1:5" x14ac:dyDescent="0.3">
      <c r="A16" s="205" t="s">
        <v>43</v>
      </c>
      <c r="B16" s="4">
        <f>'5.4 Tableau de l''endettement'!P20</f>
        <v>3313530.66</v>
      </c>
      <c r="C16" s="4">
        <f>'5.4 Tableau de l''endettement'!P21</f>
        <v>7984.4112289156628</v>
      </c>
      <c r="D16" s="4">
        <f>'5.4 Tableau de l''endettement'!P23</f>
        <v>1875698.62</v>
      </c>
      <c r="E16" s="4">
        <f>'5.4 Tableau de l''endettement'!P24</f>
        <v>4519.7557108433739</v>
      </c>
    </row>
    <row r="17" spans="1:5" x14ac:dyDescent="0.3">
      <c r="A17" s="205" t="s">
        <v>40</v>
      </c>
      <c r="B17" s="4">
        <f>'5.4 Tableau de l''endettement'!Q20</f>
        <v>4204776.53</v>
      </c>
      <c r="C17" s="4">
        <f>'5.4 Tableau de l''endettement'!Q21</f>
        <v>12048.070286532951</v>
      </c>
      <c r="D17" s="4">
        <f>'5.4 Tableau de l''endettement'!Q23</f>
        <v>2088445.9300000002</v>
      </c>
      <c r="E17" s="4">
        <f>'5.4 Tableau de l''endettement'!Q24</f>
        <v>5984.085759312321</v>
      </c>
    </row>
    <row r="18" spans="1:5" x14ac:dyDescent="0.3">
      <c r="A18" s="205" t="s">
        <v>31</v>
      </c>
      <c r="B18" s="4">
        <f>'5.4 Tableau de l''endettement'!R20</f>
        <v>5498176.3700000001</v>
      </c>
      <c r="C18" s="4">
        <f>'5.4 Tableau de l''endettement'!R21</f>
        <v>8003.167933042213</v>
      </c>
      <c r="D18" s="4">
        <f>'5.4 Tableau de l''endettement'!R23</f>
        <v>205440.33000000101</v>
      </c>
      <c r="E18" s="4">
        <f>'5.4 Tableau de l''endettement'!R24</f>
        <v>299.03978165939009</v>
      </c>
    </row>
    <row r="19" spans="1:5" x14ac:dyDescent="0.3">
      <c r="A19" s="205" t="s">
        <v>12</v>
      </c>
      <c r="B19" s="4">
        <f>'5.4 Tableau de l''endettement'!S20</f>
        <v>938248.7</v>
      </c>
      <c r="C19" s="4">
        <f>'5.4 Tableau de l''endettement'!S21</f>
        <v>3679.4066666666663</v>
      </c>
      <c r="D19" s="4">
        <f>'5.4 Tableau de l''endettement'!S23</f>
        <v>266671.21000000008</v>
      </c>
      <c r="E19" s="4">
        <f>'5.4 Tableau de l''endettement'!S24</f>
        <v>1045.7694509803925</v>
      </c>
    </row>
    <row r="20" spans="1:5" x14ac:dyDescent="0.3">
      <c r="A20" s="205" t="s">
        <v>59</v>
      </c>
      <c r="B20" s="4">
        <f>'5.4 Tableau de l''endettement'!T20</f>
        <v>4144239.9200000004</v>
      </c>
      <c r="C20" s="4">
        <f>'5.4 Tableau de l''endettement'!T21</f>
        <v>9505.1374311926611</v>
      </c>
      <c r="D20" s="4">
        <f>'5.4 Tableau de l''endettement'!T23</f>
        <v>1745113.8100000005</v>
      </c>
      <c r="E20" s="4">
        <f>'5.4 Tableau de l''endettement'!T24</f>
        <v>4002.5546100917445</v>
      </c>
    </row>
    <row r="21" spans="1:5" x14ac:dyDescent="0.3">
      <c r="A21" s="205" t="s">
        <v>27</v>
      </c>
      <c r="B21" s="4">
        <f>'5.4 Tableau de l''endettement'!U20</f>
        <v>15429558.279999999</v>
      </c>
      <c r="C21" s="4">
        <f>'5.4 Tableau de l''endettement'!U21</f>
        <v>4836.8521253918498</v>
      </c>
      <c r="D21" s="4">
        <f>'5.4 Tableau de l''endettement'!U23</f>
        <v>10830665.34</v>
      </c>
      <c r="E21" s="4">
        <f>'5.4 Tableau de l''endettement'!U24</f>
        <v>3395.1928965517241</v>
      </c>
    </row>
    <row r="22" spans="1:5" x14ac:dyDescent="0.3">
      <c r="A22" s="205" t="s">
        <v>30</v>
      </c>
      <c r="B22" s="4">
        <f>'5.4 Tableau de l''endettement'!V20</f>
        <v>567571.4</v>
      </c>
      <c r="C22" s="4">
        <f>'5.4 Tableau de l''endettement'!V21</f>
        <v>1751.7635802469138</v>
      </c>
      <c r="D22" s="4">
        <f>'5.4 Tableau de l''endettement'!V23</f>
        <v>-1080510.5</v>
      </c>
      <c r="E22" s="4">
        <f>'5.4 Tableau de l''endettement'!V24</f>
        <v>-3334.9089506172841</v>
      </c>
    </row>
    <row r="23" spans="1:5" x14ac:dyDescent="0.3">
      <c r="A23" s="205" t="s">
        <v>20</v>
      </c>
      <c r="B23" s="4">
        <f>'5.4 Tableau de l''endettement'!W20</f>
        <v>12076989.98</v>
      </c>
      <c r="C23" s="4">
        <f>'5.4 Tableau de l''endettement'!W21</f>
        <v>9692.6083306581058</v>
      </c>
      <c r="D23" s="4">
        <f>'5.4 Tableau de l''endettement'!W23</f>
        <v>7786577.9200000009</v>
      </c>
      <c r="E23" s="4">
        <f>'5.4 Tableau de l''endettement'!W24</f>
        <v>6249.259967897272</v>
      </c>
    </row>
    <row r="24" spans="1:5" x14ac:dyDescent="0.3">
      <c r="A24" s="205" t="s">
        <v>45</v>
      </c>
      <c r="B24" s="4">
        <f>'5.4 Tableau de l''endettement'!X20</f>
        <v>8118224.96</v>
      </c>
      <c r="C24" s="4">
        <f>'5.4 Tableau de l''endettement'!X21</f>
        <v>5312.9744502617805</v>
      </c>
      <c r="D24" s="4">
        <f>'5.4 Tableau de l''endettement'!X23</f>
        <v>-9330221.8099999987</v>
      </c>
      <c r="E24" s="4">
        <f>'5.4 Tableau de l''endettement'!X24</f>
        <v>-6106.1661060209417</v>
      </c>
    </row>
    <row r="25" spans="1:5" x14ac:dyDescent="0.3">
      <c r="A25" s="205" t="s">
        <v>71</v>
      </c>
      <c r="B25" s="4">
        <f>'5.4 Tableau de l''endettement'!Y20</f>
        <v>644147.25</v>
      </c>
      <c r="C25" s="4">
        <f>'5.4 Tableau de l''endettement'!Y21</f>
        <v>6709.8671875</v>
      </c>
      <c r="D25" s="4">
        <f>'5.4 Tableau de l''endettement'!Y23</f>
        <v>135991.01</v>
      </c>
      <c r="E25" s="4">
        <f>'5.4 Tableau de l''endettement'!Y24</f>
        <v>1416.5730208333334</v>
      </c>
    </row>
    <row r="26" spans="1:5" x14ac:dyDescent="0.3">
      <c r="A26" s="205" t="s">
        <v>39</v>
      </c>
      <c r="B26" s="4">
        <f>'5.4 Tableau de l''endettement'!Z20</f>
        <v>1231444.1299999999</v>
      </c>
      <c r="C26" s="4">
        <f>'5.4 Tableau de l''endettement'!Z21</f>
        <v>8264.7257046979867</v>
      </c>
      <c r="D26" s="4">
        <f>'5.4 Tableau de l''endettement'!Z23</f>
        <v>-394266.68000000017</v>
      </c>
      <c r="E26" s="4">
        <f>'5.4 Tableau de l''endettement'!Z24</f>
        <v>-2646.0851006711418</v>
      </c>
    </row>
    <row r="27" spans="1:5" x14ac:dyDescent="0.3">
      <c r="A27" s="205" t="s">
        <v>19</v>
      </c>
      <c r="B27" s="4">
        <f>'5.4 Tableau de l''endettement'!AA20</f>
        <v>3754493.61</v>
      </c>
      <c r="C27" s="4">
        <f>'5.4 Tableau de l''endettement'!AA21</f>
        <v>7276.1504069767443</v>
      </c>
      <c r="D27" s="4">
        <f>'5.4 Tableau de l''endettement'!AA23</f>
        <v>795544.37999999942</v>
      </c>
      <c r="E27" s="4">
        <f>'5.4 Tableau de l''endettement'!AA24</f>
        <v>1541.7526744186034</v>
      </c>
    </row>
    <row r="28" spans="1:5" x14ac:dyDescent="0.3">
      <c r="A28" s="205" t="s">
        <v>41</v>
      </c>
      <c r="B28" s="4">
        <f>'5.4 Tableau de l''endettement'!AB20</f>
        <v>8579909.4399999995</v>
      </c>
      <c r="C28" s="4">
        <f>'5.4 Tableau de l''endettement'!AB21</f>
        <v>12786.750283159463</v>
      </c>
      <c r="D28" s="4">
        <f>'5.4 Tableau de l''endettement'!AB23</f>
        <v>5398506.4100000011</v>
      </c>
      <c r="E28" s="4">
        <f>'5.4 Tableau de l''endettement'!AB24</f>
        <v>8045.4640983606578</v>
      </c>
    </row>
    <row r="29" spans="1:5" x14ac:dyDescent="0.3">
      <c r="A29" s="205" t="s">
        <v>36</v>
      </c>
      <c r="B29" s="4">
        <f>'5.4 Tableau de l''endettement'!AC20</f>
        <v>3837428.94</v>
      </c>
      <c r="C29" s="4">
        <f>'5.4 Tableau de l''endettement'!AC21</f>
        <v>6708.7918531468531</v>
      </c>
      <c r="D29" s="4">
        <f>'5.4 Tableau de l''endettement'!AC23</f>
        <v>1285721.0300000003</v>
      </c>
      <c r="E29" s="4">
        <f>'5.4 Tableau de l''endettement'!AC24</f>
        <v>2247.7640384615388</v>
      </c>
    </row>
    <row r="30" spans="1:5" x14ac:dyDescent="0.3">
      <c r="A30" s="205" t="s">
        <v>7</v>
      </c>
      <c r="B30" s="4">
        <f>'5.4 Tableau de l''endettement'!AD20</f>
        <v>1162741.5</v>
      </c>
      <c r="C30" s="4">
        <f>'5.4 Tableau de l''endettement'!AD21</f>
        <v>2372.9418367346939</v>
      </c>
      <c r="D30" s="4">
        <f>'5.4 Tableau de l''endettement'!AD23</f>
        <v>-3100962.9499999997</v>
      </c>
      <c r="E30" s="4">
        <f>'5.4 Tableau de l''endettement'!AD24</f>
        <v>-6328.4958163265301</v>
      </c>
    </row>
    <row r="31" spans="1:5" x14ac:dyDescent="0.3">
      <c r="A31" s="205" t="s">
        <v>55</v>
      </c>
      <c r="B31" s="4">
        <f>'5.4 Tableau de l''endettement'!AE20</f>
        <v>8032615.3900000006</v>
      </c>
      <c r="C31" s="4">
        <f>'5.4 Tableau de l''endettement'!AE21</f>
        <v>4196.7687513061655</v>
      </c>
      <c r="D31" s="4">
        <f>'5.4 Tableau de l''endettement'!AE23</f>
        <v>-641556.43999999948</v>
      </c>
      <c r="E31" s="4">
        <f>'5.4 Tableau de l''endettement'!AE24</f>
        <v>-335.19145245559014</v>
      </c>
    </row>
    <row r="32" spans="1:5" x14ac:dyDescent="0.3">
      <c r="A32" s="205" t="s">
        <v>21</v>
      </c>
      <c r="B32" s="4">
        <f>'5.4 Tableau de l''endettement'!AF20</f>
        <v>19272498.099999998</v>
      </c>
      <c r="C32" s="4">
        <f>'5.4 Tableau de l''endettement'!AF21</f>
        <v>7369.9801529636707</v>
      </c>
      <c r="D32" s="4">
        <f>'5.4 Tableau de l''endettement'!AF23</f>
        <v>10187147.34</v>
      </c>
      <c r="E32" s="4">
        <f>'5.4 Tableau de l''endettement'!AF24</f>
        <v>3895.6586386233271</v>
      </c>
    </row>
    <row r="33" spans="1:5" x14ac:dyDescent="0.3">
      <c r="A33" s="205" t="s">
        <v>6</v>
      </c>
      <c r="B33" s="4">
        <f>'5.4 Tableau de l''endettement'!AG20</f>
        <v>1590822.06</v>
      </c>
      <c r="C33" s="4">
        <f>'5.4 Tableau de l''endettement'!AG21</f>
        <v>7008.0266960352428</v>
      </c>
      <c r="D33" s="4">
        <f>'5.4 Tableau de l''endettement'!AG23</f>
        <v>-118781.69999999995</v>
      </c>
      <c r="E33" s="4">
        <f>'5.4 Tableau de l''endettement'!AG24</f>
        <v>-523.26740088105703</v>
      </c>
    </row>
    <row r="34" spans="1:5" x14ac:dyDescent="0.3">
      <c r="A34" s="205" t="s">
        <v>34</v>
      </c>
      <c r="B34" s="4">
        <f>'5.4 Tableau de l''endettement'!AH20</f>
        <v>1163456.05</v>
      </c>
      <c r="C34" s="4">
        <f>'5.4 Tableau de l''endettement'!AH21</f>
        <v>8881.3438931297715</v>
      </c>
      <c r="D34" s="4">
        <f>'5.4 Tableau de l''endettement'!AH23</f>
        <v>-1114795.5899999999</v>
      </c>
      <c r="E34" s="4">
        <f>'5.4 Tableau de l''endettement'!AH24</f>
        <v>-8509.89</v>
      </c>
    </row>
    <row r="35" spans="1:5" x14ac:dyDescent="0.3">
      <c r="A35" s="205" t="s">
        <v>52</v>
      </c>
      <c r="B35" s="4">
        <f>'5.4 Tableau de l''endettement'!AI20</f>
        <v>17594904.52</v>
      </c>
      <c r="C35" s="4">
        <f>'5.4 Tableau de l''endettement'!AI21</f>
        <v>9284.9100369393145</v>
      </c>
      <c r="D35" s="4">
        <f>'5.4 Tableau de l''endettement'!AI23</f>
        <v>12234275.83</v>
      </c>
      <c r="E35" s="4">
        <f>'5.4 Tableau de l''endettement'!AI24</f>
        <v>6456.0822321899741</v>
      </c>
    </row>
    <row r="36" spans="1:5" x14ac:dyDescent="0.3">
      <c r="A36" s="205" t="s">
        <v>14</v>
      </c>
      <c r="B36" s="4">
        <f>'5.4 Tableau de l''endettement'!AJ20</f>
        <v>9692490.629999999</v>
      </c>
      <c r="C36" s="4">
        <f>'5.4 Tableau de l''endettement'!AJ21</f>
        <v>8539.6393215859025</v>
      </c>
      <c r="D36" s="4">
        <f>'5.4 Tableau de l''endettement'!AJ23</f>
        <v>5016254.2100000009</v>
      </c>
      <c r="E36" s="4">
        <f>'5.4 Tableau de l''endettement'!AJ24</f>
        <v>4419.6072334801765</v>
      </c>
    </row>
    <row r="37" spans="1:5" x14ac:dyDescent="0.3">
      <c r="A37" s="205" t="s">
        <v>32</v>
      </c>
      <c r="B37" s="4">
        <f>'5.4 Tableau de l''endettement'!AK20</f>
        <v>11472400.510000002</v>
      </c>
      <c r="C37" s="4">
        <f>'5.4 Tableau de l''endettement'!AK21</f>
        <v>9244.4806688154731</v>
      </c>
      <c r="D37" s="4">
        <f>'5.4 Tableau de l''endettement'!AK23</f>
        <v>6531766.3000000026</v>
      </c>
      <c r="E37" s="4">
        <f>'5.4 Tableau de l''endettement'!AK24</f>
        <v>5263.3088638195022</v>
      </c>
    </row>
    <row r="38" spans="1:5" x14ac:dyDescent="0.3">
      <c r="A38" s="205" t="s">
        <v>29</v>
      </c>
      <c r="B38" s="4">
        <f>'5.4 Tableau de l''endettement'!AL20</f>
        <v>1630726.94</v>
      </c>
      <c r="C38" s="4">
        <f>'5.4 Tableau de l''endettement'!AL21</f>
        <v>13703.587731092437</v>
      </c>
      <c r="D38" s="4">
        <f>'5.4 Tableau de l''endettement'!AL23</f>
        <v>1172309.7600000002</v>
      </c>
      <c r="E38" s="4">
        <f>'5.4 Tableau de l''endettement'!AL24</f>
        <v>9851.342521008406</v>
      </c>
    </row>
    <row r="39" spans="1:5" x14ac:dyDescent="0.3">
      <c r="A39" s="205" t="s">
        <v>26</v>
      </c>
      <c r="B39" s="4">
        <f>'5.4 Tableau de l''endettement'!AM20</f>
        <v>10895889.1</v>
      </c>
      <c r="C39" s="4">
        <f>'5.4 Tableau de l''endettement'!AM21</f>
        <v>9117.8988284518819</v>
      </c>
      <c r="D39" s="4">
        <f>'5.4 Tableau de l''endettement'!AM23</f>
        <v>-3843093.26</v>
      </c>
      <c r="E39" s="4">
        <f>'5.4 Tableau de l''endettement'!AM24</f>
        <v>-3215.977623430962</v>
      </c>
    </row>
    <row r="40" spans="1:5" x14ac:dyDescent="0.3">
      <c r="A40" s="205" t="s">
        <v>48</v>
      </c>
      <c r="B40" s="4">
        <f>'5.4 Tableau de l''endettement'!AN20</f>
        <v>5208593.24</v>
      </c>
      <c r="C40" s="4">
        <f>'5.4 Tableau de l''endettement'!AN21</f>
        <v>7856.0984012066365</v>
      </c>
      <c r="D40" s="4">
        <f>'5.4 Tableau de l''endettement'!AN23</f>
        <v>1218796.6800000006</v>
      </c>
      <c r="E40" s="4">
        <f>'5.4 Tableau de l''endettement'!AN24</f>
        <v>1838.3057013574671</v>
      </c>
    </row>
    <row r="41" spans="1:5" x14ac:dyDescent="0.3">
      <c r="A41" s="205" t="s">
        <v>44</v>
      </c>
      <c r="B41" s="4">
        <f>'5.4 Tableau de l''endettement'!AO20</f>
        <v>4438992.88</v>
      </c>
      <c r="C41" s="4">
        <f>'5.4 Tableau de l''endettement'!AO21</f>
        <v>6882.1595038759688</v>
      </c>
      <c r="D41" s="4">
        <f>'5.4 Tableau de l''endettement'!AO23</f>
        <v>928101.93000000017</v>
      </c>
      <c r="E41" s="4">
        <f>'5.4 Tableau de l''endettement'!AO24</f>
        <v>1438.9177209302329</v>
      </c>
    </row>
    <row r="42" spans="1:5" x14ac:dyDescent="0.3">
      <c r="A42" s="205" t="s">
        <v>37</v>
      </c>
      <c r="B42" s="4">
        <f>'5.4 Tableau de l''endettement'!AP20</f>
        <v>10073359.530000001</v>
      </c>
      <c r="C42" s="4">
        <f>'5.4 Tableau de l''endettement'!AP21</f>
        <v>7975.7399287410935</v>
      </c>
      <c r="D42" s="4">
        <f>'5.4 Tableau de l''endettement'!AP23</f>
        <v>-1573158.0699999984</v>
      </c>
      <c r="E42" s="4">
        <f>'5.4 Tableau de l''endettement'!AP24</f>
        <v>-1245.5725019794129</v>
      </c>
    </row>
    <row r="43" spans="1:5" x14ac:dyDescent="0.3">
      <c r="A43" s="205" t="s">
        <v>51</v>
      </c>
      <c r="B43" s="4">
        <f>'5.4 Tableau de l''endettement'!AQ20</f>
        <v>5769529.8499999996</v>
      </c>
      <c r="C43" s="4">
        <f>'5.4 Tableau de l''endettement'!AQ21</f>
        <v>7796.6619594594586</v>
      </c>
      <c r="D43" s="4">
        <f>'5.4 Tableau de l''endettement'!AQ23</f>
        <v>3349607.29</v>
      </c>
      <c r="E43" s="4">
        <f>'5.4 Tableau de l''endettement'!AQ24</f>
        <v>4526.4963378378379</v>
      </c>
    </row>
    <row r="44" spans="1:5" x14ac:dyDescent="0.3">
      <c r="A44" s="205" t="s">
        <v>8</v>
      </c>
      <c r="B44" s="4">
        <f>'5.4 Tableau de l''endettement'!AR20</f>
        <v>8124689.7800000003</v>
      </c>
      <c r="C44" s="4">
        <f>'5.4 Tableau de l''endettement'!AR21</f>
        <v>7903.3947276264598</v>
      </c>
      <c r="D44" s="4">
        <f>'5.4 Tableau de l''endettement'!AR23</f>
        <v>4273584.87</v>
      </c>
      <c r="E44" s="4">
        <f>'5.4 Tableau de l''endettement'!AR24</f>
        <v>4157.183725680934</v>
      </c>
    </row>
    <row r="45" spans="1:5" x14ac:dyDescent="0.3">
      <c r="A45" s="205" t="s">
        <v>24</v>
      </c>
      <c r="B45" s="4">
        <f>'5.4 Tableau de l''endettement'!AS20</f>
        <v>1892447.1</v>
      </c>
      <c r="C45" s="4">
        <f>'5.4 Tableau de l''endettement'!AS21</f>
        <v>6026.9015923566885</v>
      </c>
      <c r="D45" s="4">
        <f>'5.4 Tableau de l''endettement'!AS23</f>
        <v>-1809164.0300000005</v>
      </c>
      <c r="E45" s="4">
        <f>'5.4 Tableau de l''endettement'!AS24</f>
        <v>-5761.6688853503201</v>
      </c>
    </row>
    <row r="46" spans="1:5" x14ac:dyDescent="0.3">
      <c r="A46" s="205" t="s">
        <v>9</v>
      </c>
      <c r="B46" s="4">
        <f>'5.4 Tableau de l''endettement'!AT20</f>
        <v>13884615.460000001</v>
      </c>
      <c r="C46" s="4">
        <f>'5.4 Tableau de l''endettement'!AT21</f>
        <v>5785.2564416666673</v>
      </c>
      <c r="D46" s="4">
        <f>'5.4 Tableau de l''endettement'!AT23</f>
        <v>8092477.2599999998</v>
      </c>
      <c r="E46" s="4">
        <f>'5.4 Tableau de l''endettement'!AT24</f>
        <v>3371.8655249999997</v>
      </c>
    </row>
    <row r="47" spans="1:5" x14ac:dyDescent="0.3">
      <c r="A47" s="205" t="s">
        <v>62</v>
      </c>
      <c r="B47" s="4">
        <f>'5.4 Tableau de l''endettement'!AU20</f>
        <v>5721798.2999999998</v>
      </c>
      <c r="C47" s="4">
        <f>'5.4 Tableau de l''endettement'!AU21</f>
        <v>7578.5407947019867</v>
      </c>
      <c r="D47" s="4">
        <f>'5.4 Tableau de l''endettement'!AU23</f>
        <v>2942305.2700000005</v>
      </c>
      <c r="E47" s="4">
        <f>'5.4 Tableau de l''endettement'!AU24</f>
        <v>3897.0930728476828</v>
      </c>
    </row>
    <row r="48" spans="1:5" x14ac:dyDescent="0.3">
      <c r="A48" s="205" t="s">
        <v>46</v>
      </c>
      <c r="B48" s="4">
        <f>'5.4 Tableau de l''endettement'!AV20</f>
        <v>695239.35</v>
      </c>
      <c r="C48" s="4">
        <f>'5.4 Tableau de l''endettement'!AV21</f>
        <v>3841.1013812154697</v>
      </c>
      <c r="D48" s="4">
        <f>'5.4 Tableau de l''endettement'!AV23</f>
        <v>303302.40000000002</v>
      </c>
      <c r="E48" s="4">
        <f>'5.4 Tableau de l''endettement'!AV24</f>
        <v>1675.7038674033151</v>
      </c>
    </row>
    <row r="49" spans="1:5" x14ac:dyDescent="0.3">
      <c r="A49" s="205" t="s">
        <v>35</v>
      </c>
      <c r="B49" s="4">
        <f>'5.4 Tableau de l''endettement'!AW20</f>
        <v>2219789.69</v>
      </c>
      <c r="C49" s="4">
        <f>'5.4 Tableau de l''endettement'!AW21</f>
        <v>6397.0884438040348</v>
      </c>
      <c r="D49" s="4">
        <f>'5.4 Tableau de l''endettement'!AW23</f>
        <v>-28814.959999999963</v>
      </c>
      <c r="E49" s="4">
        <f>'5.4 Tableau de l''endettement'!AW24</f>
        <v>-83.040230547550323</v>
      </c>
    </row>
    <row r="50" spans="1:5" x14ac:dyDescent="0.3">
      <c r="A50" s="205" t="s">
        <v>49</v>
      </c>
      <c r="B50" s="4">
        <f>'5.4 Tableau de l''endettement'!AX20</f>
        <v>20584531.979999997</v>
      </c>
      <c r="C50" s="4">
        <f>'5.4 Tableau de l''endettement'!AX21</f>
        <v>12180.196437869821</v>
      </c>
      <c r="D50" s="4">
        <f>'5.4 Tableau de l''endettement'!AX23</f>
        <v>16166827.07</v>
      </c>
      <c r="E50" s="4">
        <f>'5.4 Tableau de l''endettement'!AX24</f>
        <v>9566.1698639053247</v>
      </c>
    </row>
    <row r="51" spans="1:5" x14ac:dyDescent="0.3">
      <c r="A51" s="205" t="s">
        <v>47</v>
      </c>
      <c r="B51" s="4">
        <f>'5.4 Tableau de l''endettement'!AY20</f>
        <v>1678016.85</v>
      </c>
      <c r="C51" s="4">
        <f>'5.4 Tableau de l''endettement'!AY21</f>
        <v>4335.9608527131786</v>
      </c>
      <c r="D51" s="4">
        <f>'5.4 Tableau de l''endettement'!AY23</f>
        <v>-1285711.78</v>
      </c>
      <c r="E51" s="4">
        <f>'5.4 Tableau de l''endettement'!AY24</f>
        <v>-3322.2526614987082</v>
      </c>
    </row>
    <row r="52" spans="1:5" x14ac:dyDescent="0.3">
      <c r="A52" s="205" t="s">
        <v>58</v>
      </c>
      <c r="B52" s="4">
        <f>'5.4 Tableau de l''endettement'!AZ20</f>
        <v>10224980.140000001</v>
      </c>
      <c r="C52" s="4">
        <f>'5.4 Tableau de l''endettement'!AZ21</f>
        <v>9329.3614416058408</v>
      </c>
      <c r="D52" s="4">
        <f>'5.4 Tableau de l''endettement'!AZ23</f>
        <v>5956684.4200000009</v>
      </c>
      <c r="E52" s="4">
        <f>'5.4 Tableau de l''endettement'!AZ24</f>
        <v>5434.9310401459861</v>
      </c>
    </row>
    <row r="53" spans="1:5" x14ac:dyDescent="0.3">
      <c r="A53" s="205" t="s">
        <v>50</v>
      </c>
      <c r="B53" s="4">
        <f>'5.4 Tableau de l''endettement'!BA20</f>
        <v>206289.58000000002</v>
      </c>
      <c r="C53" s="4">
        <f>'5.4 Tableau de l''endettement'!BA21</f>
        <v>1097.2850000000001</v>
      </c>
      <c r="D53" s="4">
        <f>'5.4 Tableau de l''endettement'!BA23</f>
        <v>-570550.01</v>
      </c>
      <c r="E53" s="4">
        <f>'5.4 Tableau de l''endettement'!BA24</f>
        <v>-3034.8404787234044</v>
      </c>
    </row>
    <row r="54" spans="1:5" x14ac:dyDescent="0.3">
      <c r="A54" s="205" t="s">
        <v>16</v>
      </c>
      <c r="B54" s="4">
        <f>'5.4 Tableau de l''endettement'!BB20</f>
        <v>67094497.109999999</v>
      </c>
      <c r="C54" s="4">
        <f>'5.4 Tableau de l''endettement'!BB21</f>
        <v>10428.115808206403</v>
      </c>
      <c r="D54" s="4">
        <f>'5.4 Tableau de l''endettement'!BB23</f>
        <v>38530094.520000011</v>
      </c>
      <c r="E54" s="4">
        <f>'5.4 Tableau de l''endettement'!BB24</f>
        <v>5988.513291886853</v>
      </c>
    </row>
    <row r="55" spans="1:5" x14ac:dyDescent="0.3">
      <c r="A55" s="205" t="s">
        <v>25</v>
      </c>
      <c r="B55" s="4">
        <f>'5.4 Tableau de l''endettement'!BC20</f>
        <v>4428056.8</v>
      </c>
      <c r="C55" s="4">
        <f>'5.4 Tableau de l''endettement'!BC21</f>
        <v>7907.2442857142851</v>
      </c>
      <c r="D55" s="4">
        <f>'5.4 Tableau de l''endettement'!BC23</f>
        <v>2154728.8999999994</v>
      </c>
      <c r="E55" s="4">
        <f>'5.4 Tableau de l''endettement'!BC24</f>
        <v>3847.7301785714276</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A40" activeCellId="1" sqref="A45 A40"/>
    </sheetView>
  </sheetViews>
  <sheetFormatPr baseColWidth="10" defaultRowHeight="14.4" x14ac:dyDescent="0.3"/>
  <cols>
    <col min="1" max="1" width="5.6640625" customWidth="1"/>
    <col min="2" max="2" width="50.33203125" customWidth="1"/>
    <col min="3" max="3" width="22.88671875" customWidth="1"/>
  </cols>
  <sheetData>
    <row r="1" spans="1:3" ht="25.8" x14ac:dyDescent="0.5">
      <c r="A1" s="42" t="s">
        <v>760</v>
      </c>
      <c r="B1" s="7"/>
    </row>
    <row r="2" spans="1:3" ht="15" customHeight="1" x14ac:dyDescent="0.5">
      <c r="A2" s="42"/>
      <c r="B2" s="7"/>
    </row>
    <row r="3" spans="1:3" ht="15" customHeight="1" thickBot="1" x14ac:dyDescent="0.35">
      <c r="A3" s="7"/>
      <c r="B3" s="7"/>
    </row>
    <row r="4" spans="1:3" ht="15" customHeight="1" thickBot="1" x14ac:dyDescent="0.55000000000000004">
      <c r="A4" s="42"/>
      <c r="B4" s="179" t="s">
        <v>50</v>
      </c>
    </row>
    <row r="5" spans="1:3" ht="15" customHeight="1" x14ac:dyDescent="0.3">
      <c r="C5" s="65"/>
    </row>
    <row r="6" spans="1:3" ht="15" customHeight="1" x14ac:dyDescent="0.3">
      <c r="C6" s="182" t="s">
        <v>205</v>
      </c>
    </row>
    <row r="7" spans="1:3" x14ac:dyDescent="0.3">
      <c r="A7" s="67">
        <v>10</v>
      </c>
      <c r="B7" s="67" t="s">
        <v>247</v>
      </c>
      <c r="C7" s="4">
        <f>HLOOKUP($B$4,'5.4 Tableau de l''endettement'!$C$6:$BC$24,2,0)</f>
        <v>866228.97</v>
      </c>
    </row>
    <row r="8" spans="1:3" x14ac:dyDescent="0.3">
      <c r="A8" s="67"/>
      <c r="B8" s="67"/>
      <c r="C8" s="4"/>
    </row>
    <row r="9" spans="1:3" x14ac:dyDescent="0.3">
      <c r="A9" s="67">
        <v>20</v>
      </c>
      <c r="B9" s="67" t="s">
        <v>259</v>
      </c>
      <c r="C9" s="4">
        <f>HLOOKUP($B$4,'5.4 Tableau de l''endettement'!$C$6:$BC$24,4,0)</f>
        <v>295678.96000000002</v>
      </c>
    </row>
    <row r="10" spans="1:3" x14ac:dyDescent="0.3">
      <c r="A10" s="67"/>
      <c r="B10" s="67"/>
      <c r="C10" s="4"/>
    </row>
    <row r="11" spans="1:3" x14ac:dyDescent="0.3">
      <c r="A11" s="67">
        <v>200</v>
      </c>
      <c r="B11" s="67" t="s">
        <v>460</v>
      </c>
      <c r="C11" s="4">
        <f>HLOOKUP($B$4,'5.4 Tableau de l''endettement'!$C$6:$BC$24,6,0)</f>
        <v>57543.880000000005</v>
      </c>
    </row>
    <row r="12" spans="1:3" x14ac:dyDescent="0.3">
      <c r="A12" s="67"/>
      <c r="B12" s="67"/>
      <c r="C12" s="4"/>
    </row>
    <row r="13" spans="1:3" x14ac:dyDescent="0.3">
      <c r="A13" s="67">
        <v>201</v>
      </c>
      <c r="B13" s="67" t="s">
        <v>261</v>
      </c>
      <c r="C13" s="4">
        <f>HLOOKUP($B$4,'5.4 Tableau de l''endettement'!$C$6:$BC$24,8,0)</f>
        <v>0</v>
      </c>
    </row>
    <row r="14" spans="1:3" x14ac:dyDescent="0.3">
      <c r="A14" s="67"/>
      <c r="B14" s="67"/>
      <c r="C14" s="4"/>
    </row>
    <row r="15" spans="1:3" x14ac:dyDescent="0.3">
      <c r="A15" s="67">
        <v>206</v>
      </c>
      <c r="B15" s="67" t="s">
        <v>264</v>
      </c>
      <c r="C15" s="4">
        <f>HLOOKUP($B$4,'5.4 Tableau de l''endettement'!$C$6:$BC$24,10,0)</f>
        <v>148745.70000000001</v>
      </c>
    </row>
    <row r="16" spans="1:3" x14ac:dyDescent="0.3">
      <c r="A16" s="67"/>
      <c r="B16" s="67"/>
      <c r="C16" s="4"/>
    </row>
    <row r="17" spans="1:3" x14ac:dyDescent="0.3">
      <c r="A17" s="67">
        <v>2016</v>
      </c>
      <c r="B17" s="67" t="s">
        <v>276</v>
      </c>
      <c r="C17" s="4">
        <f>HLOOKUP($B$4,'5.4 Tableau de l''endettement'!$C$6:$BC$24,12,0)</f>
        <v>0</v>
      </c>
    </row>
    <row r="18" spans="1:3" x14ac:dyDescent="0.3">
      <c r="A18" s="67"/>
      <c r="B18" s="67"/>
      <c r="C18" s="4"/>
    </row>
    <row r="19" spans="1:3" x14ac:dyDescent="0.3">
      <c r="A19" s="67"/>
      <c r="B19" s="67"/>
      <c r="C19" s="4"/>
    </row>
    <row r="20" spans="1:3" x14ac:dyDescent="0.3">
      <c r="A20" s="67"/>
      <c r="B20" s="99" t="s">
        <v>653</v>
      </c>
      <c r="C20" s="100">
        <f>HLOOKUP($B$4,'5.4 Tableau de l''endettement'!$C$6:$BC$24,15,0)</f>
        <v>206289.58000000002</v>
      </c>
    </row>
    <row r="21" spans="1:3" x14ac:dyDescent="0.3">
      <c r="A21" s="67"/>
      <c r="B21" s="69" t="s">
        <v>458</v>
      </c>
      <c r="C21" s="70">
        <f>HLOOKUP($B$4,'5.4 Tableau de l''endettement'!$C$6:$BC$24,16,0)</f>
        <v>1097.2850000000001</v>
      </c>
    </row>
    <row r="22" spans="1:3" x14ac:dyDescent="0.3">
      <c r="A22" s="67"/>
      <c r="B22" s="7"/>
      <c r="C22" s="4"/>
    </row>
    <row r="23" spans="1:3" x14ac:dyDescent="0.3">
      <c r="A23" s="67"/>
      <c r="B23" s="99" t="s">
        <v>654</v>
      </c>
      <c r="C23" s="100">
        <f>HLOOKUP($B$4,'5.4 Tableau de l''endettement'!$C$6:$BC$24,18,0)</f>
        <v>-570550.01</v>
      </c>
    </row>
    <row r="24" spans="1:3" x14ac:dyDescent="0.3">
      <c r="A24" s="67"/>
      <c r="B24" s="69" t="s">
        <v>458</v>
      </c>
      <c r="C24" s="70">
        <f>HLOOKUP($B$4,'5.4 Tableau de l''endettement'!$C$6:$BC$24,19,0)</f>
        <v>-3034.8404787234044</v>
      </c>
    </row>
    <row r="25" spans="1:3" x14ac:dyDescent="0.3">
      <c r="A25" s="67"/>
      <c r="B25" s="67"/>
    </row>
    <row r="26" spans="1:3" x14ac:dyDescent="0.3">
      <c r="A26" s="67"/>
      <c r="B26" s="67"/>
    </row>
    <row r="27" spans="1:3" x14ac:dyDescent="0.3">
      <c r="A27" s="7" t="s">
        <v>652</v>
      </c>
      <c r="B27" s="67"/>
    </row>
    <row r="28" spans="1:3" x14ac:dyDescent="0.3">
      <c r="A28" s="67"/>
      <c r="B28" s="67"/>
    </row>
    <row r="29" spans="1:3" x14ac:dyDescent="0.3">
      <c r="A29" s="67">
        <v>10</v>
      </c>
      <c r="B29" s="67" t="s">
        <v>247</v>
      </c>
      <c r="C29" s="4">
        <f>HLOOKUP($B$4,'5.4 Tableau de l''endettement'!$C$6:$BC$49,24,0)</f>
        <v>866229.02</v>
      </c>
    </row>
    <row r="30" spans="1:3" x14ac:dyDescent="0.3">
      <c r="A30" s="67"/>
      <c r="B30" s="67"/>
      <c r="C30" s="4"/>
    </row>
    <row r="31" spans="1:3" x14ac:dyDescent="0.3">
      <c r="A31" s="67">
        <v>20</v>
      </c>
      <c r="B31" s="67" t="s">
        <v>259</v>
      </c>
      <c r="C31" s="4">
        <f>HLOOKUP($B$4,'5.4 Tableau de l''endettement'!$C$6:$BC$49,26,0)</f>
        <v>295678.96000000002</v>
      </c>
    </row>
    <row r="32" spans="1:3" x14ac:dyDescent="0.3">
      <c r="A32" s="67"/>
      <c r="B32" s="67"/>
      <c r="C32" s="4"/>
    </row>
    <row r="33" spans="1:3" x14ac:dyDescent="0.3">
      <c r="A33" s="67">
        <v>200</v>
      </c>
      <c r="B33" s="67" t="s">
        <v>460</v>
      </c>
      <c r="C33" s="4">
        <f>HLOOKUP($B$4,'5.4 Tableau de l''endettement'!$C$6:$BC$49,28,0)</f>
        <v>57543.88</v>
      </c>
    </row>
    <row r="34" spans="1:3" x14ac:dyDescent="0.3">
      <c r="A34" s="67"/>
      <c r="B34" s="67"/>
      <c r="C34" s="4"/>
    </row>
    <row r="35" spans="1:3" x14ac:dyDescent="0.3">
      <c r="A35" s="67">
        <v>201</v>
      </c>
      <c r="B35" s="67" t="s">
        <v>261</v>
      </c>
      <c r="C35" s="4">
        <f>HLOOKUP($B$4,'5.4 Tableau de l''endettement'!$C$6:$BC$49,30,0)</f>
        <v>0</v>
      </c>
    </row>
    <row r="36" spans="1:3" x14ac:dyDescent="0.3">
      <c r="A36" s="67"/>
      <c r="B36" s="67"/>
      <c r="C36" s="4"/>
    </row>
    <row r="37" spans="1:3" x14ac:dyDescent="0.3">
      <c r="A37" s="67">
        <v>206</v>
      </c>
      <c r="B37" s="67" t="s">
        <v>264</v>
      </c>
      <c r="C37" s="4">
        <f>HLOOKUP($B$4,'5.4 Tableau de l''endettement'!$C$6:$BC$49,32,0)</f>
        <v>148745.70000000001</v>
      </c>
    </row>
    <row r="38" spans="1:3" x14ac:dyDescent="0.3">
      <c r="A38" s="67"/>
      <c r="B38" s="67"/>
      <c r="C38" s="4"/>
    </row>
    <row r="39" spans="1:3" x14ac:dyDescent="0.3">
      <c r="A39" s="67">
        <v>2016</v>
      </c>
      <c r="B39" s="67" t="s">
        <v>276</v>
      </c>
      <c r="C39" s="4">
        <f>HLOOKUP($B$4,'5.4 Tableau de l''endettement'!$C$6:$BC$49,34,0)</f>
        <v>0</v>
      </c>
    </row>
    <row r="40" spans="1:3" x14ac:dyDescent="0.3">
      <c r="A40" s="67"/>
      <c r="B40" s="67"/>
      <c r="C40" s="4"/>
    </row>
    <row r="41" spans="1:3" x14ac:dyDescent="0.3">
      <c r="A41" s="67"/>
      <c r="B41" s="67"/>
      <c r="C41" s="4"/>
    </row>
    <row r="42" spans="1:3" x14ac:dyDescent="0.3">
      <c r="A42" s="67"/>
      <c r="B42" s="99" t="s">
        <v>655</v>
      </c>
      <c r="C42" s="100">
        <f>HLOOKUP($B$4,'5.4 Tableau de l''endettement'!$C$6:$BC$49,37,0)</f>
        <v>206289.58000000002</v>
      </c>
    </row>
    <row r="43" spans="1:3" x14ac:dyDescent="0.3">
      <c r="A43" s="67"/>
      <c r="B43" s="69" t="s">
        <v>458</v>
      </c>
      <c r="C43" s="70">
        <f>HLOOKUP($B$4,'5.4 Tableau de l''endettement'!$C$6:$BC$49,38,0)</f>
        <v>1097.2850000000001</v>
      </c>
    </row>
    <row r="44" spans="1:3" x14ac:dyDescent="0.3">
      <c r="A44" s="67"/>
      <c r="B44" s="7"/>
      <c r="C44" s="4"/>
    </row>
    <row r="45" spans="1:3" x14ac:dyDescent="0.3">
      <c r="A45" s="67"/>
      <c r="B45" s="99" t="s">
        <v>656</v>
      </c>
      <c r="C45" s="100">
        <f>HLOOKUP($B$4,'5.4 Tableau de l''endettement'!$C$6:$BC$49,40,0)</f>
        <v>-570550.06000000006</v>
      </c>
    </row>
    <row r="46" spans="1:3" x14ac:dyDescent="0.3">
      <c r="A46" s="67"/>
      <c r="B46" s="69" t="s">
        <v>458</v>
      </c>
      <c r="C46" s="70">
        <f>HLOOKUP($B$4,'5.4 Tableau de l''endettement'!$C$6:$BC$49,41,0)</f>
        <v>-3034.8407446808515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E85"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2" width="5.6640625" customWidth="1"/>
    <col min="3" max="3" width="9" customWidth="1"/>
    <col min="4" max="4" width="63.5546875" customWidth="1"/>
    <col min="5" max="58" width="16.33203125" customWidth="1"/>
    <col min="59" max="61" width="17.88671875" customWidth="1"/>
  </cols>
  <sheetData>
    <row r="1" spans="1:61" ht="25.8" x14ac:dyDescent="0.5">
      <c r="A1" s="42" t="s">
        <v>464</v>
      </c>
      <c r="B1" s="7"/>
      <c r="C1" s="7"/>
      <c r="D1" s="7"/>
    </row>
    <row r="2" spans="1:61" x14ac:dyDescent="0.3">
      <c r="A2" t="s">
        <v>818</v>
      </c>
      <c r="E2" s="57">
        <f>'Base de données pop.'!C2</f>
        <v>923</v>
      </c>
      <c r="F2" s="57">
        <f>'Base de données pop.'!C3</f>
        <v>270</v>
      </c>
      <c r="G2" s="57">
        <f>'Base de données pop.'!C4</f>
        <v>485</v>
      </c>
      <c r="H2" s="57">
        <f>'Base de données pop.'!C5</f>
        <v>446</v>
      </c>
      <c r="I2" s="57">
        <f>'Base de données pop.'!C6</f>
        <v>3631</v>
      </c>
      <c r="J2" s="57">
        <f>'Base de données pop.'!C7</f>
        <v>3313</v>
      </c>
      <c r="K2" s="57">
        <f>'Base de données pop.'!C8</f>
        <v>2644</v>
      </c>
      <c r="L2" s="57">
        <f>'Base de données pop.'!C9</f>
        <v>12618</v>
      </c>
      <c r="M2" s="57">
        <f>'Base de données pop.'!C10</f>
        <v>1371</v>
      </c>
      <c r="N2" s="57">
        <f>'Base de données pop.'!C11</f>
        <v>118</v>
      </c>
      <c r="O2" s="57">
        <f>'Base de données pop.'!C12</f>
        <v>7167</v>
      </c>
      <c r="P2" s="57">
        <f>'Base de données pop.'!C13</f>
        <v>528</v>
      </c>
      <c r="Q2" s="57">
        <f>'Base de données pop.'!C14</f>
        <v>108</v>
      </c>
      <c r="R2" s="57">
        <f>'Base de données pop.'!C15</f>
        <v>415</v>
      </c>
      <c r="S2" s="57">
        <f>'Base de données pop.'!C16</f>
        <v>349</v>
      </c>
      <c r="T2" s="57">
        <f>'Base de données pop.'!C17</f>
        <v>687</v>
      </c>
      <c r="U2" s="57">
        <f>'Base de données pop.'!C18</f>
        <v>255</v>
      </c>
      <c r="V2" s="57">
        <f>'Base de données pop.'!C19</f>
        <v>436</v>
      </c>
      <c r="W2" s="57">
        <f>'Base de données pop.'!C20</f>
        <v>3190</v>
      </c>
      <c r="X2" s="57">
        <f>'Base de données pop.'!C21</f>
        <v>324</v>
      </c>
      <c r="Y2" s="57">
        <f>'Base de données pop.'!C22</f>
        <v>1246</v>
      </c>
      <c r="Z2" s="57">
        <f>'Base de données pop.'!C23</f>
        <v>1528</v>
      </c>
      <c r="AA2" s="57">
        <f>'Base de données pop.'!C24</f>
        <v>96</v>
      </c>
      <c r="AB2" s="57">
        <f>'Base de données pop.'!C25</f>
        <v>149</v>
      </c>
      <c r="AC2" s="57">
        <f>'Base de données pop.'!C26</f>
        <v>516</v>
      </c>
      <c r="AD2" s="57">
        <f>'Base de données pop.'!C27</f>
        <v>671</v>
      </c>
      <c r="AE2" s="57">
        <f>'Base de données pop.'!C28</f>
        <v>572</v>
      </c>
      <c r="AF2" s="57">
        <f>'Base de données pop.'!C29</f>
        <v>490</v>
      </c>
      <c r="AG2" s="57">
        <f>'Base de données pop.'!C30</f>
        <v>1914</v>
      </c>
      <c r="AH2" s="57">
        <f>'Base de données pop.'!C31</f>
        <v>2615</v>
      </c>
      <c r="AI2" s="57">
        <f>'Base de données pop.'!C32</f>
        <v>227</v>
      </c>
      <c r="AJ2" s="57">
        <f>'Base de données pop.'!C33</f>
        <v>131</v>
      </c>
      <c r="AK2" s="57">
        <f>'Base de données pop.'!C34</f>
        <v>1895</v>
      </c>
      <c r="AL2" s="57">
        <f>'Base de données pop.'!C35</f>
        <v>1135</v>
      </c>
      <c r="AM2" s="57">
        <f>'Base de données pop.'!C36</f>
        <v>1241</v>
      </c>
      <c r="AN2" s="57">
        <f>'Base de données pop.'!C37</f>
        <v>119</v>
      </c>
      <c r="AO2" s="57">
        <f>'Base de données pop.'!C38</f>
        <v>1195</v>
      </c>
      <c r="AP2" s="57">
        <f>'Base de données pop.'!C39</f>
        <v>663</v>
      </c>
      <c r="AQ2" s="57">
        <f>'Base de données pop.'!C40</f>
        <v>645</v>
      </c>
      <c r="AR2" s="57">
        <f>'Base de données pop.'!C41</f>
        <v>1263</v>
      </c>
      <c r="AS2" s="57">
        <f>'Base de données pop.'!C42</f>
        <v>740</v>
      </c>
      <c r="AT2" s="57">
        <f>'Base de données pop.'!C43</f>
        <v>1028</v>
      </c>
      <c r="AU2" s="57">
        <f>'Base de données pop.'!C44</f>
        <v>314</v>
      </c>
      <c r="AV2" s="57">
        <f>'Base de données pop.'!C45</f>
        <v>2400</v>
      </c>
      <c r="AW2" s="57">
        <f>'Base de données pop.'!C46</f>
        <v>755</v>
      </c>
      <c r="AX2" s="57">
        <f>'Base de données pop.'!C47</f>
        <v>181</v>
      </c>
      <c r="AY2" s="57">
        <f>'Base de données pop.'!C48</f>
        <v>347</v>
      </c>
      <c r="AZ2" s="57">
        <f>'Base de données pop.'!C49</f>
        <v>1690</v>
      </c>
      <c r="BA2" s="57">
        <f>'Base de données pop.'!C50</f>
        <v>387</v>
      </c>
      <c r="BB2" s="57">
        <f>'Base de données pop.'!C51</f>
        <v>1096</v>
      </c>
      <c r="BC2" s="57">
        <f>'Base de données pop.'!C52</f>
        <v>188</v>
      </c>
      <c r="BD2" s="57">
        <f>'Base de données pop.'!C53</f>
        <v>6434</v>
      </c>
      <c r="BE2" s="57">
        <f>'Base de données pop.'!C54</f>
        <v>560</v>
      </c>
      <c r="BF2" s="57">
        <f>SUM(E2:BE2)</f>
        <v>73709</v>
      </c>
      <c r="BG2" s="57">
        <f>SUM(E2:W2)</f>
        <v>38954</v>
      </c>
      <c r="BH2" s="57">
        <f>SUM(X2:AJ2)</f>
        <v>10479</v>
      </c>
      <c r="BI2" s="57">
        <f>SUM(AK2:BE2)</f>
        <v>24276</v>
      </c>
    </row>
    <row r="3" spans="1:61" x14ac:dyDescent="0.3">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4">
      <c r="A4" s="102">
        <v>5</v>
      </c>
      <c r="B4" s="102"/>
      <c r="C4" s="102"/>
      <c r="D4" s="102" t="s">
        <v>193</v>
      </c>
      <c r="E4" s="100">
        <f>E5+E15+E25+E30+E41+E52+E63+E74</f>
        <v>1961429.61</v>
      </c>
      <c r="F4" s="100">
        <f t="shared" ref="F4:BI4" si="0">F5+F15+F25+F30+F41+F52+F63+F74</f>
        <v>79668.100000000006</v>
      </c>
      <c r="G4" s="100">
        <f t="shared" si="0"/>
        <v>2716359.2</v>
      </c>
      <c r="H4" s="100">
        <f t="shared" si="0"/>
        <v>225335</v>
      </c>
      <c r="I4" s="100">
        <f t="shared" si="0"/>
        <v>2306777.6800000002</v>
      </c>
      <c r="J4" s="100">
        <f t="shared" si="0"/>
        <v>2683861.3699999996</v>
      </c>
      <c r="K4" s="100">
        <f t="shared" si="0"/>
        <v>1170459.2400000002</v>
      </c>
      <c r="L4" s="100">
        <f t="shared" si="0"/>
        <v>17936434.639999997</v>
      </c>
      <c r="M4" s="100">
        <f t="shared" si="0"/>
        <v>259678.55</v>
      </c>
      <c r="N4" s="100">
        <f t="shared" si="0"/>
        <v>41267.75</v>
      </c>
      <c r="O4" s="100">
        <f t="shared" si="0"/>
        <v>3698416.9</v>
      </c>
      <c r="P4" s="100">
        <f t="shared" si="0"/>
        <v>175184.23</v>
      </c>
      <c r="Q4" s="100">
        <f t="shared" si="0"/>
        <v>0</v>
      </c>
      <c r="R4" s="100">
        <f t="shared" si="0"/>
        <v>19797.849999999999</v>
      </c>
      <c r="S4" s="100">
        <f t="shared" si="0"/>
        <v>171236.7</v>
      </c>
      <c r="T4" s="100">
        <f t="shared" si="0"/>
        <v>288552.75</v>
      </c>
      <c r="U4" s="100">
        <f t="shared" si="0"/>
        <v>131008.2</v>
      </c>
      <c r="V4" s="100">
        <f t="shared" si="0"/>
        <v>217980.51</v>
      </c>
      <c r="W4" s="100">
        <f t="shared" si="0"/>
        <v>2336211.5500000003</v>
      </c>
      <c r="X4" s="100">
        <f t="shared" si="0"/>
        <v>115618.35</v>
      </c>
      <c r="Y4" s="100">
        <f t="shared" si="0"/>
        <v>128183.25</v>
      </c>
      <c r="Z4" s="100">
        <f t="shared" si="0"/>
        <v>577502.38</v>
      </c>
      <c r="AA4" s="100">
        <f t="shared" si="0"/>
        <v>0</v>
      </c>
      <c r="AB4" s="100">
        <f t="shared" si="0"/>
        <v>389450.25</v>
      </c>
      <c r="AC4" s="100">
        <f t="shared" si="0"/>
        <v>100268.8</v>
      </c>
      <c r="AD4" s="100">
        <f t="shared" si="0"/>
        <v>611053.91</v>
      </c>
      <c r="AE4" s="100">
        <f t="shared" si="0"/>
        <v>251003.7</v>
      </c>
      <c r="AF4" s="100">
        <f t="shared" si="0"/>
        <v>727420.4</v>
      </c>
      <c r="AG4" s="100">
        <f t="shared" si="0"/>
        <v>678259.1</v>
      </c>
      <c r="AH4" s="100">
        <f t="shared" si="0"/>
        <v>531422.15</v>
      </c>
      <c r="AI4" s="100">
        <f t="shared" si="0"/>
        <v>30396.55</v>
      </c>
      <c r="AJ4" s="100">
        <f t="shared" si="0"/>
        <v>851165</v>
      </c>
      <c r="AK4" s="100">
        <f t="shared" si="0"/>
        <v>2035877.68</v>
      </c>
      <c r="AL4" s="100">
        <f t="shared" si="0"/>
        <v>824973.4</v>
      </c>
      <c r="AM4" s="100">
        <f t="shared" si="0"/>
        <v>338610.8</v>
      </c>
      <c r="AN4" s="100">
        <f t="shared" si="0"/>
        <v>612014</v>
      </c>
      <c r="AO4" s="100">
        <f t="shared" si="0"/>
        <v>989111.14999999991</v>
      </c>
      <c r="AP4" s="100">
        <f t="shared" si="0"/>
        <v>601050.79999999993</v>
      </c>
      <c r="AQ4" s="100">
        <f t="shared" si="0"/>
        <v>49042.100000000006</v>
      </c>
      <c r="AR4" s="100">
        <f t="shared" si="0"/>
        <v>1510247.9000000004</v>
      </c>
      <c r="AS4" s="100">
        <f t="shared" si="0"/>
        <v>86654.549999999988</v>
      </c>
      <c r="AT4" s="100">
        <f t="shared" si="0"/>
        <v>311519.8</v>
      </c>
      <c r="AU4" s="100">
        <f t="shared" si="0"/>
        <v>290607.3</v>
      </c>
      <c r="AV4" s="100">
        <f t="shared" si="0"/>
        <v>642916.71000000008</v>
      </c>
      <c r="AW4" s="100">
        <f t="shared" si="0"/>
        <v>112008.6</v>
      </c>
      <c r="AX4" s="100">
        <f t="shared" si="0"/>
        <v>49000</v>
      </c>
      <c r="AY4" s="100">
        <f t="shared" si="0"/>
        <v>0</v>
      </c>
      <c r="AZ4" s="100">
        <f t="shared" si="0"/>
        <v>19064.099999999999</v>
      </c>
      <c r="BA4" s="100">
        <f t="shared" si="0"/>
        <v>593823.55000000005</v>
      </c>
      <c r="BB4" s="100">
        <f t="shared" si="0"/>
        <v>398381.60000000003</v>
      </c>
      <c r="BC4" s="100">
        <f t="shared" si="0"/>
        <v>0</v>
      </c>
      <c r="BD4" s="100">
        <f t="shared" si="0"/>
        <v>3906156.4699999997</v>
      </c>
      <c r="BE4" s="100">
        <f t="shared" si="0"/>
        <v>6219.65</v>
      </c>
      <c r="BF4" s="100">
        <f t="shared" si="0"/>
        <v>54788683.829999998</v>
      </c>
      <c r="BG4" s="100">
        <f t="shared" si="0"/>
        <v>36419659.829999998</v>
      </c>
      <c r="BH4" s="100">
        <f t="shared" si="0"/>
        <v>4991743.8400000008</v>
      </c>
      <c r="BI4" s="100">
        <f t="shared" si="0"/>
        <v>13377280.160000004</v>
      </c>
    </row>
    <row r="5" spans="1:61" x14ac:dyDescent="0.3">
      <c r="A5" s="78"/>
      <c r="B5" s="69">
        <v>50</v>
      </c>
      <c r="C5" s="69"/>
      <c r="D5" s="69" t="s">
        <v>465</v>
      </c>
      <c r="E5" s="70">
        <f>E6+E7+E8+E9+E10+E11+E12+E13</f>
        <v>1961429.61</v>
      </c>
      <c r="F5" s="70">
        <f t="shared" ref="F5:BE5" si="1">F6+F7+F8+F9+F10+F11+F12+F13</f>
        <v>79668.100000000006</v>
      </c>
      <c r="G5" s="70">
        <f t="shared" si="1"/>
        <v>2716359.2</v>
      </c>
      <c r="H5" s="70">
        <f t="shared" si="1"/>
        <v>225335</v>
      </c>
      <c r="I5" s="70">
        <f t="shared" si="1"/>
        <v>2257683.58</v>
      </c>
      <c r="J5" s="70">
        <f t="shared" si="1"/>
        <v>2659948.7199999997</v>
      </c>
      <c r="K5" s="70">
        <f t="shared" si="1"/>
        <v>1165410.1400000001</v>
      </c>
      <c r="L5" s="70">
        <f t="shared" si="1"/>
        <v>17611603.009999998</v>
      </c>
      <c r="M5" s="70">
        <f t="shared" si="1"/>
        <v>239062.55</v>
      </c>
      <c r="N5" s="70">
        <f t="shared" si="1"/>
        <v>41267.75</v>
      </c>
      <c r="O5" s="70">
        <f t="shared" si="1"/>
        <v>3514137.4</v>
      </c>
      <c r="P5" s="70">
        <f t="shared" si="1"/>
        <v>175184.23</v>
      </c>
      <c r="Q5" s="70">
        <f t="shared" si="1"/>
        <v>0</v>
      </c>
      <c r="R5" s="70">
        <f t="shared" si="1"/>
        <v>19797.849999999999</v>
      </c>
      <c r="S5" s="70">
        <f t="shared" si="1"/>
        <v>171236.7</v>
      </c>
      <c r="T5" s="70">
        <f t="shared" si="1"/>
        <v>288552.75</v>
      </c>
      <c r="U5" s="70">
        <f t="shared" si="1"/>
        <v>131008.2</v>
      </c>
      <c r="V5" s="70">
        <f t="shared" si="1"/>
        <v>217980.51</v>
      </c>
      <c r="W5" s="70">
        <f t="shared" si="1"/>
        <v>2336211.5500000003</v>
      </c>
      <c r="X5" s="70">
        <f t="shared" si="1"/>
        <v>114697</v>
      </c>
      <c r="Y5" s="70">
        <f t="shared" si="1"/>
        <v>128183.25</v>
      </c>
      <c r="Z5" s="70">
        <f t="shared" si="1"/>
        <v>577502.38</v>
      </c>
      <c r="AA5" s="70">
        <f t="shared" si="1"/>
        <v>0</v>
      </c>
      <c r="AB5" s="70">
        <f t="shared" si="1"/>
        <v>389450.25</v>
      </c>
      <c r="AC5" s="70">
        <f t="shared" si="1"/>
        <v>70268.800000000003</v>
      </c>
      <c r="AD5" s="70">
        <f t="shared" si="1"/>
        <v>611053.91</v>
      </c>
      <c r="AE5" s="70">
        <f t="shared" si="1"/>
        <v>251003.7</v>
      </c>
      <c r="AF5" s="70">
        <f t="shared" si="1"/>
        <v>713750.1</v>
      </c>
      <c r="AG5" s="70">
        <f t="shared" si="1"/>
        <v>552805.75</v>
      </c>
      <c r="AH5" s="70">
        <f t="shared" si="1"/>
        <v>462444.79999999999</v>
      </c>
      <c r="AI5" s="70">
        <f t="shared" si="1"/>
        <v>30396.55</v>
      </c>
      <c r="AJ5" s="70">
        <f t="shared" si="1"/>
        <v>851165</v>
      </c>
      <c r="AK5" s="70">
        <f t="shared" si="1"/>
        <v>307135.75</v>
      </c>
      <c r="AL5" s="70">
        <f t="shared" si="1"/>
        <v>800862.6</v>
      </c>
      <c r="AM5" s="70">
        <f t="shared" si="1"/>
        <v>321151.25</v>
      </c>
      <c r="AN5" s="70">
        <f t="shared" si="1"/>
        <v>612014</v>
      </c>
      <c r="AO5" s="70">
        <f t="shared" si="1"/>
        <v>989111.14999999991</v>
      </c>
      <c r="AP5" s="70">
        <f t="shared" si="1"/>
        <v>556070.79999999993</v>
      </c>
      <c r="AQ5" s="70">
        <f t="shared" si="1"/>
        <v>36166.300000000003</v>
      </c>
      <c r="AR5" s="70">
        <f t="shared" si="1"/>
        <v>1509872.9000000004</v>
      </c>
      <c r="AS5" s="70">
        <f t="shared" si="1"/>
        <v>77331.899999999994</v>
      </c>
      <c r="AT5" s="70">
        <f t="shared" si="1"/>
        <v>265987.5</v>
      </c>
      <c r="AU5" s="70">
        <f t="shared" si="1"/>
        <v>170882.3</v>
      </c>
      <c r="AV5" s="70">
        <f t="shared" si="1"/>
        <v>610737.26000000013</v>
      </c>
      <c r="AW5" s="70">
        <f t="shared" si="1"/>
        <v>89929.95</v>
      </c>
      <c r="AX5" s="70">
        <f t="shared" si="1"/>
        <v>49000</v>
      </c>
      <c r="AY5" s="70">
        <f t="shared" si="1"/>
        <v>0</v>
      </c>
      <c r="AZ5" s="70">
        <f t="shared" si="1"/>
        <v>0</v>
      </c>
      <c r="BA5" s="70">
        <f t="shared" si="1"/>
        <v>593823.55000000005</v>
      </c>
      <c r="BB5" s="70">
        <f t="shared" si="1"/>
        <v>296339.5</v>
      </c>
      <c r="BC5" s="70">
        <f t="shared" si="1"/>
        <v>0</v>
      </c>
      <c r="BD5" s="70">
        <f t="shared" si="1"/>
        <v>3420371.06</v>
      </c>
      <c r="BE5" s="70">
        <f t="shared" si="1"/>
        <v>0</v>
      </c>
      <c r="BF5" s="70">
        <f t="shared" ref="BF5:BI5" si="2">BF6+BF7+BF8+BF9+BF10+BF11+BF12+BF13</f>
        <v>51271386.109999999</v>
      </c>
      <c r="BG5" s="70">
        <f t="shared" si="2"/>
        <v>35811876.850000001</v>
      </c>
      <c r="BH5" s="70">
        <f t="shared" si="2"/>
        <v>4752721.49</v>
      </c>
      <c r="BI5" s="70">
        <f t="shared" si="2"/>
        <v>10706787.770000001</v>
      </c>
    </row>
    <row r="6" spans="1:61" x14ac:dyDescent="0.3">
      <c r="C6">
        <v>500</v>
      </c>
      <c r="D6" t="s">
        <v>467</v>
      </c>
      <c r="E6" s="4">
        <v>0</v>
      </c>
      <c r="F6" s="4">
        <v>0</v>
      </c>
      <c r="G6" s="4">
        <v>0</v>
      </c>
      <c r="H6" s="4">
        <v>7474.33</v>
      </c>
      <c r="I6" s="4">
        <v>0</v>
      </c>
      <c r="J6" s="4">
        <v>163350.75</v>
      </c>
      <c r="K6" s="4">
        <v>0</v>
      </c>
      <c r="L6" s="4">
        <v>187677.25</v>
      </c>
      <c r="M6" s="4">
        <v>0</v>
      </c>
      <c r="N6" s="4">
        <v>0</v>
      </c>
      <c r="O6" s="4">
        <v>0</v>
      </c>
      <c r="P6" s="4">
        <v>364.95</v>
      </c>
      <c r="Q6" s="4">
        <v>0</v>
      </c>
      <c r="R6" s="4">
        <v>0</v>
      </c>
      <c r="S6" s="4">
        <v>25495.200000000001</v>
      </c>
      <c r="T6" s="4">
        <v>0</v>
      </c>
      <c r="U6" s="4">
        <v>0</v>
      </c>
      <c r="V6" s="4">
        <v>0</v>
      </c>
      <c r="W6" s="4">
        <v>350727.35</v>
      </c>
      <c r="X6" s="4">
        <v>0</v>
      </c>
      <c r="Y6" s="4">
        <v>0</v>
      </c>
      <c r="Z6" s="4">
        <v>15003.5</v>
      </c>
      <c r="AA6" s="4">
        <v>0</v>
      </c>
      <c r="AB6" s="4">
        <v>0</v>
      </c>
      <c r="AC6" s="4">
        <v>35495.15</v>
      </c>
      <c r="AD6" s="4">
        <v>372.65</v>
      </c>
      <c r="AE6" s="4">
        <v>0</v>
      </c>
      <c r="AF6" s="4">
        <v>0</v>
      </c>
      <c r="AG6" s="4">
        <v>0</v>
      </c>
      <c r="AH6" s="4">
        <v>0</v>
      </c>
      <c r="AI6" s="4">
        <v>0</v>
      </c>
      <c r="AJ6" s="4">
        <v>0</v>
      </c>
      <c r="AK6" s="4">
        <v>0</v>
      </c>
      <c r="AL6" s="4">
        <v>0</v>
      </c>
      <c r="AM6" s="4">
        <v>72209.399999999994</v>
      </c>
      <c r="AN6" s="4">
        <v>0</v>
      </c>
      <c r="AO6" s="4">
        <v>0</v>
      </c>
      <c r="AP6" s="4">
        <v>0</v>
      </c>
      <c r="AQ6" s="4">
        <v>0</v>
      </c>
      <c r="AR6" s="4">
        <v>63278.6</v>
      </c>
      <c r="AS6" s="4">
        <v>58698.15</v>
      </c>
      <c r="AT6" s="4">
        <v>2400</v>
      </c>
      <c r="AU6" s="4">
        <v>0</v>
      </c>
      <c r="AV6" s="4">
        <v>348021.9</v>
      </c>
      <c r="AW6" s="4">
        <v>0</v>
      </c>
      <c r="AX6" s="4">
        <v>0</v>
      </c>
      <c r="AY6" s="4">
        <v>0</v>
      </c>
      <c r="AZ6" s="4">
        <v>0</v>
      </c>
      <c r="BA6" s="4">
        <v>89455.8</v>
      </c>
      <c r="BB6" s="4">
        <v>124781.4</v>
      </c>
      <c r="BC6" s="4">
        <v>0</v>
      </c>
      <c r="BD6" s="4">
        <v>240806.95</v>
      </c>
      <c r="BE6" s="4">
        <v>0</v>
      </c>
      <c r="BF6" s="4">
        <f>SUM(E6:BE6)</f>
        <v>1785613.33</v>
      </c>
      <c r="BG6" s="4">
        <f>SUM(E6:W6)</f>
        <v>735089.83</v>
      </c>
      <c r="BH6" s="4">
        <f>SUM(X6:AJ6)</f>
        <v>50871.3</v>
      </c>
      <c r="BI6" s="4">
        <f>SUM(AK6:BE6)</f>
        <v>999652.20000000019</v>
      </c>
    </row>
    <row r="7" spans="1:61" x14ac:dyDescent="0.3">
      <c r="C7">
        <v>501</v>
      </c>
      <c r="D7" t="s">
        <v>468</v>
      </c>
      <c r="E7" s="4">
        <v>593862.55000000005</v>
      </c>
      <c r="F7" s="4">
        <v>3231</v>
      </c>
      <c r="G7" s="4">
        <v>0</v>
      </c>
      <c r="H7" s="4">
        <v>31315.17</v>
      </c>
      <c r="I7" s="4">
        <v>150789.54999999999</v>
      </c>
      <c r="J7" s="4">
        <v>451167.64</v>
      </c>
      <c r="K7" s="4">
        <v>29080.05</v>
      </c>
      <c r="L7" s="4">
        <v>1996872.8</v>
      </c>
      <c r="M7" s="4">
        <v>130768.95</v>
      </c>
      <c r="N7" s="4">
        <v>41267.75</v>
      </c>
      <c r="O7" s="4">
        <v>1880774.7</v>
      </c>
      <c r="P7" s="4">
        <v>173446.47</v>
      </c>
      <c r="Q7" s="4">
        <v>0</v>
      </c>
      <c r="R7" s="4">
        <v>0</v>
      </c>
      <c r="S7" s="4">
        <v>0</v>
      </c>
      <c r="T7" s="4">
        <v>114327.35</v>
      </c>
      <c r="U7" s="4">
        <v>82784.649999999994</v>
      </c>
      <c r="V7" s="4">
        <v>25917.03</v>
      </c>
      <c r="W7" s="4">
        <v>469740.5</v>
      </c>
      <c r="X7" s="4">
        <v>35907.4</v>
      </c>
      <c r="Y7" s="4">
        <v>63379.85</v>
      </c>
      <c r="Z7" s="4">
        <v>98397.78</v>
      </c>
      <c r="AA7" s="4">
        <v>0</v>
      </c>
      <c r="AB7" s="4">
        <v>324805.09999999998</v>
      </c>
      <c r="AC7" s="4">
        <v>34773.65</v>
      </c>
      <c r="AD7" s="4">
        <v>2238.6</v>
      </c>
      <c r="AE7" s="4">
        <v>40403.800000000003</v>
      </c>
      <c r="AF7" s="4">
        <v>713750.1</v>
      </c>
      <c r="AG7" s="4">
        <v>460817.85</v>
      </c>
      <c r="AH7" s="4">
        <v>186409.3</v>
      </c>
      <c r="AI7" s="4">
        <v>0</v>
      </c>
      <c r="AJ7" s="4">
        <v>838961.2</v>
      </c>
      <c r="AK7" s="4">
        <v>241020.55</v>
      </c>
      <c r="AL7" s="4">
        <v>354146.85</v>
      </c>
      <c r="AM7" s="4">
        <v>84370.35</v>
      </c>
      <c r="AN7" s="4">
        <v>612014</v>
      </c>
      <c r="AO7" s="4">
        <v>530889.19999999995</v>
      </c>
      <c r="AP7" s="4">
        <v>337362.2</v>
      </c>
      <c r="AQ7" s="4">
        <v>11002.1</v>
      </c>
      <c r="AR7" s="4">
        <v>1368263.85</v>
      </c>
      <c r="AS7" s="4">
        <v>0</v>
      </c>
      <c r="AT7" s="4">
        <v>105306.6</v>
      </c>
      <c r="AU7" s="4">
        <v>169985</v>
      </c>
      <c r="AV7" s="4">
        <v>231695.01</v>
      </c>
      <c r="AW7" s="4">
        <v>15664.2</v>
      </c>
      <c r="AX7" s="4">
        <v>49000</v>
      </c>
      <c r="AY7" s="4">
        <v>0</v>
      </c>
      <c r="AZ7" s="4">
        <v>0</v>
      </c>
      <c r="BA7" s="4">
        <v>87339.15</v>
      </c>
      <c r="BB7" s="4">
        <v>0</v>
      </c>
      <c r="BC7" s="4">
        <v>0</v>
      </c>
      <c r="BD7" s="4">
        <v>1148047.8700000001</v>
      </c>
      <c r="BE7" s="4">
        <v>0</v>
      </c>
      <c r="BF7" s="4">
        <f t="shared" ref="BF7:BF13" si="3">SUM(E7:BE7)</f>
        <v>14321297.719999995</v>
      </c>
      <c r="BG7" s="4">
        <f t="shared" ref="BG7:BG13" si="4">SUM(E7:W7)</f>
        <v>6175346.1600000001</v>
      </c>
      <c r="BH7" s="4">
        <f t="shared" ref="BH7:BH13" si="5">SUM(X7:AJ7)</f>
        <v>2799844.63</v>
      </c>
      <c r="BI7" s="4">
        <f t="shared" ref="BI7:BI13" si="6">SUM(AK7:BE7)</f>
        <v>5346106.9300000006</v>
      </c>
    </row>
    <row r="8" spans="1:61" x14ac:dyDescent="0.3">
      <c r="C8">
        <v>502</v>
      </c>
      <c r="D8" t="s">
        <v>469</v>
      </c>
      <c r="E8" s="4">
        <v>0</v>
      </c>
      <c r="F8" s="4">
        <v>0</v>
      </c>
      <c r="G8" s="4">
        <v>25524.5</v>
      </c>
      <c r="H8" s="4">
        <v>186545.5</v>
      </c>
      <c r="I8" s="4">
        <v>10000</v>
      </c>
      <c r="J8" s="4">
        <v>364897.85</v>
      </c>
      <c r="K8" s="4">
        <v>648878.54</v>
      </c>
      <c r="L8" s="4">
        <v>703430.1</v>
      </c>
      <c r="M8" s="4">
        <v>44309.45</v>
      </c>
      <c r="N8" s="4">
        <v>0</v>
      </c>
      <c r="O8" s="4">
        <v>74237.350000000006</v>
      </c>
      <c r="P8" s="4">
        <v>0</v>
      </c>
      <c r="Q8" s="4">
        <v>0</v>
      </c>
      <c r="R8" s="4">
        <v>0</v>
      </c>
      <c r="S8" s="4">
        <v>0</v>
      </c>
      <c r="T8" s="4">
        <v>0</v>
      </c>
      <c r="U8" s="4">
        <v>0</v>
      </c>
      <c r="V8" s="4">
        <v>20941.95</v>
      </c>
      <c r="W8" s="4">
        <v>967868.6</v>
      </c>
      <c r="X8" s="4">
        <v>0</v>
      </c>
      <c r="Y8" s="4">
        <v>0</v>
      </c>
      <c r="Z8" s="4">
        <v>0</v>
      </c>
      <c r="AA8" s="4">
        <v>0</v>
      </c>
      <c r="AB8" s="4">
        <v>0</v>
      </c>
      <c r="AC8" s="4">
        <v>0</v>
      </c>
      <c r="AD8" s="4">
        <v>0</v>
      </c>
      <c r="AE8" s="4">
        <v>0</v>
      </c>
      <c r="AF8" s="4">
        <v>0</v>
      </c>
      <c r="AG8" s="4">
        <v>0</v>
      </c>
      <c r="AH8" s="4">
        <v>0</v>
      </c>
      <c r="AI8" s="4">
        <v>0</v>
      </c>
      <c r="AJ8" s="4">
        <v>0</v>
      </c>
      <c r="AK8" s="4">
        <v>0</v>
      </c>
      <c r="AL8" s="4">
        <v>0</v>
      </c>
      <c r="AM8" s="4">
        <v>9278.4500000000007</v>
      </c>
      <c r="AN8" s="4">
        <v>0</v>
      </c>
      <c r="AO8" s="4">
        <v>972.1</v>
      </c>
      <c r="AP8" s="4">
        <v>0</v>
      </c>
      <c r="AQ8" s="4">
        <v>0</v>
      </c>
      <c r="AR8" s="4">
        <v>0</v>
      </c>
      <c r="AS8" s="4">
        <v>0</v>
      </c>
      <c r="AT8" s="4">
        <v>29019.25</v>
      </c>
      <c r="AU8" s="4">
        <v>897.3</v>
      </c>
      <c r="AV8" s="4">
        <v>0</v>
      </c>
      <c r="AW8" s="4">
        <v>0</v>
      </c>
      <c r="AX8" s="4">
        <v>0</v>
      </c>
      <c r="AY8" s="4">
        <v>0</v>
      </c>
      <c r="AZ8" s="4">
        <v>0</v>
      </c>
      <c r="BA8" s="4">
        <v>0</v>
      </c>
      <c r="BB8" s="4">
        <v>0</v>
      </c>
      <c r="BC8" s="4">
        <v>0</v>
      </c>
      <c r="BD8" s="4">
        <v>46615.05</v>
      </c>
      <c r="BE8" s="4">
        <v>0</v>
      </c>
      <c r="BF8" s="4">
        <f t="shared" si="3"/>
        <v>3133415.99</v>
      </c>
      <c r="BG8" s="4">
        <f t="shared" si="4"/>
        <v>3046633.8400000003</v>
      </c>
      <c r="BH8" s="4">
        <f t="shared" si="5"/>
        <v>0</v>
      </c>
      <c r="BI8" s="4">
        <f t="shared" si="6"/>
        <v>86782.150000000009</v>
      </c>
    </row>
    <row r="9" spans="1:61" x14ac:dyDescent="0.3">
      <c r="C9">
        <v>503</v>
      </c>
      <c r="D9" t="s">
        <v>470</v>
      </c>
      <c r="E9" s="4">
        <v>1367567.06</v>
      </c>
      <c r="F9" s="4">
        <v>0</v>
      </c>
      <c r="G9" s="4">
        <v>125759.9</v>
      </c>
      <c r="H9" s="4">
        <v>0</v>
      </c>
      <c r="I9" s="4">
        <v>68859.25</v>
      </c>
      <c r="J9" s="4">
        <v>428123.98</v>
      </c>
      <c r="K9" s="4">
        <v>12181.2</v>
      </c>
      <c r="L9" s="4">
        <v>6759656.2599999998</v>
      </c>
      <c r="M9" s="4">
        <v>63984.15</v>
      </c>
      <c r="N9" s="4">
        <v>0</v>
      </c>
      <c r="O9" s="4">
        <v>869808.65</v>
      </c>
      <c r="P9" s="4">
        <v>0</v>
      </c>
      <c r="Q9" s="4">
        <v>0</v>
      </c>
      <c r="R9" s="4">
        <v>19797.849999999999</v>
      </c>
      <c r="S9" s="4">
        <v>145741.5</v>
      </c>
      <c r="T9" s="4">
        <v>133942.04999999999</v>
      </c>
      <c r="U9" s="4">
        <v>48223.55</v>
      </c>
      <c r="V9" s="4">
        <v>171121.53</v>
      </c>
      <c r="W9" s="4">
        <v>286038.5</v>
      </c>
      <c r="X9" s="4">
        <v>24939.599999999999</v>
      </c>
      <c r="Y9" s="4">
        <v>0</v>
      </c>
      <c r="Z9" s="4">
        <v>151936.9</v>
      </c>
      <c r="AA9" s="4">
        <v>0</v>
      </c>
      <c r="AB9" s="4">
        <v>0</v>
      </c>
      <c r="AC9" s="4">
        <v>0</v>
      </c>
      <c r="AD9" s="4">
        <v>466618</v>
      </c>
      <c r="AE9" s="4">
        <v>210599.9</v>
      </c>
      <c r="AF9" s="4">
        <v>0</v>
      </c>
      <c r="AG9" s="4">
        <v>21400</v>
      </c>
      <c r="AH9" s="4">
        <v>153609.70000000001</v>
      </c>
      <c r="AI9" s="4">
        <v>27916</v>
      </c>
      <c r="AJ9" s="4">
        <v>12203.8</v>
      </c>
      <c r="AK9" s="4">
        <v>66115.199999999997</v>
      </c>
      <c r="AL9" s="4">
        <v>265357.8</v>
      </c>
      <c r="AM9" s="4">
        <v>155293.04999999999</v>
      </c>
      <c r="AN9" s="4">
        <v>0</v>
      </c>
      <c r="AO9" s="4">
        <v>156619.1</v>
      </c>
      <c r="AP9" s="4">
        <v>139519.9</v>
      </c>
      <c r="AQ9" s="4">
        <v>0</v>
      </c>
      <c r="AR9" s="4">
        <v>60581.85</v>
      </c>
      <c r="AS9" s="4">
        <v>15218.35</v>
      </c>
      <c r="AT9" s="4">
        <v>37911</v>
      </c>
      <c r="AU9" s="4">
        <v>0</v>
      </c>
      <c r="AV9" s="4">
        <v>21648.3</v>
      </c>
      <c r="AW9" s="4">
        <v>41766.199999999997</v>
      </c>
      <c r="AX9" s="4">
        <v>0</v>
      </c>
      <c r="AY9" s="4">
        <v>0</v>
      </c>
      <c r="AZ9" s="4">
        <v>0</v>
      </c>
      <c r="BA9" s="4">
        <v>417028.6</v>
      </c>
      <c r="BB9" s="4">
        <v>171558.1</v>
      </c>
      <c r="BC9" s="4">
        <v>0</v>
      </c>
      <c r="BD9" s="4">
        <v>801012.41</v>
      </c>
      <c r="BE9" s="4">
        <v>0</v>
      </c>
      <c r="BF9" s="4">
        <f t="shared" si="3"/>
        <v>13919659.190000001</v>
      </c>
      <c r="BG9" s="4">
        <f t="shared" si="4"/>
        <v>10500805.430000002</v>
      </c>
      <c r="BH9" s="4">
        <f t="shared" si="5"/>
        <v>1069223.9000000001</v>
      </c>
      <c r="BI9" s="4">
        <f t="shared" si="6"/>
        <v>2349629.8600000003</v>
      </c>
    </row>
    <row r="10" spans="1:61" x14ac:dyDescent="0.3">
      <c r="C10">
        <v>504</v>
      </c>
      <c r="D10" t="s">
        <v>471</v>
      </c>
      <c r="E10" s="4">
        <v>0</v>
      </c>
      <c r="F10" s="4">
        <v>76437.100000000006</v>
      </c>
      <c r="G10" s="4">
        <v>2561171.9500000002</v>
      </c>
      <c r="H10" s="4">
        <v>0</v>
      </c>
      <c r="I10" s="4">
        <v>1876917.53</v>
      </c>
      <c r="J10" s="4">
        <v>1230883</v>
      </c>
      <c r="K10" s="4">
        <v>328667.8</v>
      </c>
      <c r="L10" s="4">
        <v>6724187.9000000004</v>
      </c>
      <c r="M10" s="4">
        <v>0</v>
      </c>
      <c r="N10" s="4">
        <v>0</v>
      </c>
      <c r="O10" s="4">
        <v>521680.65</v>
      </c>
      <c r="P10" s="4">
        <v>1372.81</v>
      </c>
      <c r="Q10" s="4">
        <v>0</v>
      </c>
      <c r="R10" s="4">
        <v>0</v>
      </c>
      <c r="S10" s="4">
        <v>0</v>
      </c>
      <c r="T10" s="4">
        <v>15000</v>
      </c>
      <c r="U10" s="4">
        <v>0</v>
      </c>
      <c r="V10" s="4">
        <v>0</v>
      </c>
      <c r="W10" s="4">
        <v>172602</v>
      </c>
      <c r="X10" s="4">
        <v>0</v>
      </c>
      <c r="Y10" s="4">
        <v>42151</v>
      </c>
      <c r="Z10" s="4">
        <v>255795.8</v>
      </c>
      <c r="AA10" s="4">
        <v>0</v>
      </c>
      <c r="AB10" s="4">
        <v>64645.15</v>
      </c>
      <c r="AC10" s="4">
        <v>0</v>
      </c>
      <c r="AD10" s="4">
        <v>108824.66</v>
      </c>
      <c r="AE10" s="4">
        <v>0</v>
      </c>
      <c r="AF10" s="4">
        <v>0</v>
      </c>
      <c r="AG10" s="4">
        <v>0</v>
      </c>
      <c r="AH10" s="4">
        <v>51124.55</v>
      </c>
      <c r="AI10" s="4">
        <v>2480.5500000000002</v>
      </c>
      <c r="AJ10" s="4">
        <v>0</v>
      </c>
      <c r="AK10" s="4">
        <v>0</v>
      </c>
      <c r="AL10" s="4">
        <v>74571.399999999994</v>
      </c>
      <c r="AM10" s="4">
        <v>0</v>
      </c>
      <c r="AN10" s="4">
        <v>0</v>
      </c>
      <c r="AO10" s="4">
        <v>293280.75</v>
      </c>
      <c r="AP10" s="4">
        <v>45158</v>
      </c>
      <c r="AQ10" s="4">
        <v>25164.2</v>
      </c>
      <c r="AR10" s="4">
        <v>17748.599999999999</v>
      </c>
      <c r="AS10" s="4">
        <v>3415.4</v>
      </c>
      <c r="AT10" s="4">
        <v>51850.65</v>
      </c>
      <c r="AU10" s="4">
        <v>0</v>
      </c>
      <c r="AV10" s="4">
        <v>0</v>
      </c>
      <c r="AW10" s="4">
        <v>15954.55</v>
      </c>
      <c r="AX10" s="4">
        <v>0</v>
      </c>
      <c r="AY10" s="4">
        <v>0</v>
      </c>
      <c r="AZ10" s="4">
        <v>0</v>
      </c>
      <c r="BA10" s="4">
        <v>0</v>
      </c>
      <c r="BB10" s="4">
        <v>0</v>
      </c>
      <c r="BC10" s="4">
        <v>0</v>
      </c>
      <c r="BD10" s="4">
        <v>864389.98</v>
      </c>
      <c r="BE10" s="4">
        <v>0</v>
      </c>
      <c r="BF10" s="4">
        <f t="shared" si="3"/>
        <v>15425475.980000006</v>
      </c>
      <c r="BG10" s="4">
        <f t="shared" si="4"/>
        <v>13508920.740000002</v>
      </c>
      <c r="BH10" s="4">
        <f t="shared" si="5"/>
        <v>525021.71</v>
      </c>
      <c r="BI10" s="4">
        <f t="shared" si="6"/>
        <v>1391533.53</v>
      </c>
    </row>
    <row r="11" spans="1:61" x14ac:dyDescent="0.3">
      <c r="C11">
        <v>505</v>
      </c>
      <c r="D11" t="s">
        <v>472</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4861.55</v>
      </c>
      <c r="AA11" s="4">
        <v>0</v>
      </c>
      <c r="AB11" s="4">
        <v>0</v>
      </c>
      <c r="AC11" s="4">
        <v>0</v>
      </c>
      <c r="AD11" s="4">
        <v>0</v>
      </c>
      <c r="AE11" s="4">
        <v>0</v>
      </c>
      <c r="AF11" s="4">
        <v>0</v>
      </c>
      <c r="AG11" s="4">
        <v>0</v>
      </c>
      <c r="AH11" s="4">
        <v>0</v>
      </c>
      <c r="AI11" s="4">
        <v>0</v>
      </c>
      <c r="AJ11" s="4">
        <v>0</v>
      </c>
      <c r="AK11" s="4">
        <v>0</v>
      </c>
      <c r="AL11" s="4">
        <v>106786.55</v>
      </c>
      <c r="AM11" s="4">
        <v>0</v>
      </c>
      <c r="AN11" s="4">
        <v>0</v>
      </c>
      <c r="AO11" s="4">
        <v>0</v>
      </c>
      <c r="AP11" s="4">
        <v>13985.45</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3"/>
        <v>125633.55</v>
      </c>
      <c r="BG11" s="4">
        <f t="shared" si="4"/>
        <v>0</v>
      </c>
      <c r="BH11" s="4">
        <f t="shared" si="5"/>
        <v>4861.55</v>
      </c>
      <c r="BI11" s="4">
        <f t="shared" si="6"/>
        <v>120772</v>
      </c>
    </row>
    <row r="12" spans="1:61" x14ac:dyDescent="0.3">
      <c r="C12">
        <v>506</v>
      </c>
      <c r="D12" t="s">
        <v>473</v>
      </c>
      <c r="E12" s="4">
        <v>0</v>
      </c>
      <c r="F12" s="4">
        <v>0</v>
      </c>
      <c r="G12" s="4">
        <v>3902.85</v>
      </c>
      <c r="H12" s="4">
        <v>0</v>
      </c>
      <c r="I12" s="4">
        <v>151117.25</v>
      </c>
      <c r="J12" s="4">
        <v>21525.5</v>
      </c>
      <c r="K12" s="4">
        <v>146602.54999999999</v>
      </c>
      <c r="L12" s="4">
        <v>1200408.55</v>
      </c>
      <c r="M12" s="4">
        <v>0</v>
      </c>
      <c r="N12" s="4">
        <v>0</v>
      </c>
      <c r="O12" s="4">
        <v>167636.04999999999</v>
      </c>
      <c r="P12" s="4">
        <v>0</v>
      </c>
      <c r="Q12" s="4">
        <v>0</v>
      </c>
      <c r="R12" s="4">
        <v>0</v>
      </c>
      <c r="S12" s="4">
        <v>0</v>
      </c>
      <c r="T12" s="4">
        <v>25283.35</v>
      </c>
      <c r="U12" s="4">
        <v>0</v>
      </c>
      <c r="V12" s="4">
        <v>0</v>
      </c>
      <c r="W12" s="4">
        <v>89234.6</v>
      </c>
      <c r="X12" s="4">
        <v>53850</v>
      </c>
      <c r="Y12" s="4">
        <v>20303.400000000001</v>
      </c>
      <c r="Z12" s="4">
        <v>51506.85</v>
      </c>
      <c r="AA12" s="4">
        <v>0</v>
      </c>
      <c r="AB12" s="4">
        <v>0</v>
      </c>
      <c r="AC12" s="4">
        <v>0</v>
      </c>
      <c r="AD12" s="4">
        <v>33000</v>
      </c>
      <c r="AE12" s="4">
        <v>0</v>
      </c>
      <c r="AF12" s="4">
        <v>0</v>
      </c>
      <c r="AG12" s="4">
        <v>70587.899999999994</v>
      </c>
      <c r="AH12" s="4">
        <v>71301.25</v>
      </c>
      <c r="AI12" s="4">
        <v>0</v>
      </c>
      <c r="AJ12" s="4">
        <v>0</v>
      </c>
      <c r="AK12" s="4">
        <v>0</v>
      </c>
      <c r="AL12" s="4">
        <v>0</v>
      </c>
      <c r="AM12" s="4">
        <v>0</v>
      </c>
      <c r="AN12" s="4">
        <v>0</v>
      </c>
      <c r="AO12" s="4">
        <v>0</v>
      </c>
      <c r="AP12" s="4">
        <v>20045.25</v>
      </c>
      <c r="AQ12" s="4">
        <v>0</v>
      </c>
      <c r="AR12" s="4">
        <v>0</v>
      </c>
      <c r="AS12" s="4">
        <v>0</v>
      </c>
      <c r="AT12" s="4">
        <v>39500</v>
      </c>
      <c r="AU12" s="4">
        <v>0</v>
      </c>
      <c r="AV12" s="4">
        <v>9372.0499999999993</v>
      </c>
      <c r="AW12" s="4">
        <v>16545</v>
      </c>
      <c r="AX12" s="4">
        <v>0</v>
      </c>
      <c r="AY12" s="4">
        <v>0</v>
      </c>
      <c r="AZ12" s="4">
        <v>0</v>
      </c>
      <c r="BA12" s="4">
        <v>0</v>
      </c>
      <c r="BB12" s="4">
        <v>0</v>
      </c>
      <c r="BC12" s="4">
        <v>0</v>
      </c>
      <c r="BD12" s="4">
        <v>296686.75</v>
      </c>
      <c r="BE12" s="4">
        <v>0</v>
      </c>
      <c r="BF12" s="4">
        <f t="shared" si="3"/>
        <v>2488409.1500000004</v>
      </c>
      <c r="BG12" s="4">
        <f t="shared" si="4"/>
        <v>1805710.7000000004</v>
      </c>
      <c r="BH12" s="4">
        <f t="shared" si="5"/>
        <v>300549.40000000002</v>
      </c>
      <c r="BI12" s="4">
        <f t="shared" si="6"/>
        <v>382149.05</v>
      </c>
    </row>
    <row r="13" spans="1:61" x14ac:dyDescent="0.3">
      <c r="C13">
        <v>509</v>
      </c>
      <c r="D13" t="s">
        <v>474</v>
      </c>
      <c r="E13" s="4">
        <v>0</v>
      </c>
      <c r="F13" s="4">
        <v>0</v>
      </c>
      <c r="G13" s="4">
        <v>0</v>
      </c>
      <c r="H13" s="4"/>
      <c r="I13" s="4">
        <v>0</v>
      </c>
      <c r="J13" s="4">
        <v>0</v>
      </c>
      <c r="K13" s="4">
        <v>0</v>
      </c>
      <c r="L13" s="4">
        <v>39370.15</v>
      </c>
      <c r="M13" s="4">
        <v>0</v>
      </c>
      <c r="N13" s="4">
        <v>0</v>
      </c>
      <c r="O13" s="4">
        <v>0</v>
      </c>
      <c r="P13" s="4">
        <v>0</v>
      </c>
      <c r="Q13" s="4">
        <v>0</v>
      </c>
      <c r="R13" s="4">
        <v>0</v>
      </c>
      <c r="S13" s="4">
        <v>0</v>
      </c>
      <c r="T13" s="4">
        <v>0</v>
      </c>
      <c r="U13" s="4">
        <v>0</v>
      </c>
      <c r="V13" s="4">
        <v>0</v>
      </c>
      <c r="W13" s="4">
        <v>0</v>
      </c>
      <c r="X13" s="4">
        <v>0</v>
      </c>
      <c r="Y13" s="4">
        <v>2349</v>
      </c>
      <c r="Z13" s="4">
        <v>0</v>
      </c>
      <c r="AA13" s="4">
        <v>0</v>
      </c>
      <c r="AB13" s="4">
        <v>0</v>
      </c>
      <c r="AC13" s="4">
        <v>0</v>
      </c>
      <c r="AD13" s="4">
        <v>0</v>
      </c>
      <c r="AE13" s="4">
        <v>0</v>
      </c>
      <c r="AF13" s="4">
        <v>0</v>
      </c>
      <c r="AG13" s="4">
        <v>0</v>
      </c>
      <c r="AH13" s="4">
        <v>0</v>
      </c>
      <c r="AI13" s="4">
        <v>0</v>
      </c>
      <c r="AJ13" s="4">
        <v>0</v>
      </c>
      <c r="AK13" s="4">
        <v>0</v>
      </c>
      <c r="AL13" s="4">
        <v>0</v>
      </c>
      <c r="AM13" s="4">
        <v>0</v>
      </c>
      <c r="AN13" s="4">
        <v>0</v>
      </c>
      <c r="AO13" s="4">
        <v>7350</v>
      </c>
      <c r="AP13" s="4">
        <v>0</v>
      </c>
      <c r="AQ13" s="4">
        <v>0</v>
      </c>
      <c r="AR13" s="4">
        <v>0</v>
      </c>
      <c r="AS13" s="4">
        <v>0</v>
      </c>
      <c r="AT13" s="4">
        <v>0</v>
      </c>
      <c r="AU13" s="4">
        <v>0</v>
      </c>
      <c r="AV13" s="4">
        <v>0</v>
      </c>
      <c r="AW13" s="4">
        <v>0</v>
      </c>
      <c r="AX13" s="4">
        <v>0</v>
      </c>
      <c r="AY13" s="4">
        <v>0</v>
      </c>
      <c r="AZ13" s="4">
        <v>0</v>
      </c>
      <c r="BA13" s="4">
        <v>0</v>
      </c>
      <c r="BB13" s="4">
        <v>0</v>
      </c>
      <c r="BC13" s="4">
        <v>0</v>
      </c>
      <c r="BD13" s="4">
        <v>22812.05</v>
      </c>
      <c r="BE13" s="4">
        <v>0</v>
      </c>
      <c r="BF13" s="4">
        <f t="shared" si="3"/>
        <v>71881.2</v>
      </c>
      <c r="BG13" s="4">
        <f t="shared" si="4"/>
        <v>39370.15</v>
      </c>
      <c r="BH13" s="4">
        <f t="shared" si="5"/>
        <v>2349</v>
      </c>
      <c r="BI13" s="4">
        <f t="shared" si="6"/>
        <v>30162.05</v>
      </c>
    </row>
    <row r="14" spans="1:61" x14ac:dyDescent="0.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3">
      <c r="B15" s="69">
        <v>51</v>
      </c>
      <c r="C15" s="69"/>
      <c r="D15" s="69" t="s">
        <v>466</v>
      </c>
      <c r="E15" s="70">
        <f>E16+E17+E18+E19+E20+E21+E22+E23</f>
        <v>0</v>
      </c>
      <c r="F15" s="70">
        <f t="shared" ref="F15:BE15" si="7">F16+F17+F18+F19+F20+F21+F22+F23</f>
        <v>0</v>
      </c>
      <c r="G15" s="70">
        <f t="shared" si="7"/>
        <v>0</v>
      </c>
      <c r="H15" s="70">
        <f t="shared" si="7"/>
        <v>0</v>
      </c>
      <c r="I15" s="70">
        <f t="shared" si="7"/>
        <v>49094.1</v>
      </c>
      <c r="J15" s="70">
        <f t="shared" si="7"/>
        <v>0</v>
      </c>
      <c r="K15" s="70">
        <f t="shared" si="7"/>
        <v>5049.1000000000004</v>
      </c>
      <c r="L15" s="70">
        <f t="shared" si="7"/>
        <v>0</v>
      </c>
      <c r="M15" s="70">
        <f t="shared" si="7"/>
        <v>0</v>
      </c>
      <c r="N15" s="70">
        <f t="shared" si="7"/>
        <v>0</v>
      </c>
      <c r="O15" s="70">
        <f t="shared" si="7"/>
        <v>0</v>
      </c>
      <c r="P15" s="70">
        <f t="shared" si="7"/>
        <v>0</v>
      </c>
      <c r="Q15" s="70">
        <f t="shared" si="7"/>
        <v>0</v>
      </c>
      <c r="R15" s="70">
        <f t="shared" si="7"/>
        <v>0</v>
      </c>
      <c r="S15" s="70">
        <f t="shared" si="7"/>
        <v>0</v>
      </c>
      <c r="T15" s="70">
        <f t="shared" si="7"/>
        <v>0</v>
      </c>
      <c r="U15" s="70">
        <f t="shared" si="7"/>
        <v>0</v>
      </c>
      <c r="V15" s="70">
        <f t="shared" si="7"/>
        <v>0</v>
      </c>
      <c r="W15" s="70">
        <f t="shared" si="7"/>
        <v>0</v>
      </c>
      <c r="X15" s="70">
        <f t="shared" si="7"/>
        <v>0</v>
      </c>
      <c r="Y15" s="70">
        <f t="shared" si="7"/>
        <v>0</v>
      </c>
      <c r="Z15" s="70">
        <f t="shared" si="7"/>
        <v>0</v>
      </c>
      <c r="AA15" s="70">
        <f t="shared" si="7"/>
        <v>0</v>
      </c>
      <c r="AB15" s="70">
        <f t="shared" si="7"/>
        <v>0</v>
      </c>
      <c r="AC15" s="70">
        <f t="shared" si="7"/>
        <v>0</v>
      </c>
      <c r="AD15" s="70">
        <f t="shared" si="7"/>
        <v>0</v>
      </c>
      <c r="AE15" s="70">
        <f t="shared" si="7"/>
        <v>0</v>
      </c>
      <c r="AF15" s="70">
        <f t="shared" si="7"/>
        <v>13670.3</v>
      </c>
      <c r="AG15" s="70">
        <f t="shared" si="7"/>
        <v>52710.9</v>
      </c>
      <c r="AH15" s="70">
        <f t="shared" si="7"/>
        <v>0</v>
      </c>
      <c r="AI15" s="70">
        <f t="shared" si="7"/>
        <v>0</v>
      </c>
      <c r="AJ15" s="70">
        <f t="shared" si="7"/>
        <v>0</v>
      </c>
      <c r="AK15" s="70">
        <f t="shared" si="7"/>
        <v>1728741.93</v>
      </c>
      <c r="AL15" s="70">
        <f t="shared" si="7"/>
        <v>0</v>
      </c>
      <c r="AM15" s="70">
        <f t="shared" si="7"/>
        <v>14958</v>
      </c>
      <c r="AN15" s="70">
        <f t="shared" si="7"/>
        <v>0</v>
      </c>
      <c r="AO15" s="70">
        <f t="shared" si="7"/>
        <v>0</v>
      </c>
      <c r="AP15" s="70">
        <f t="shared" si="7"/>
        <v>0</v>
      </c>
      <c r="AQ15" s="70">
        <f t="shared" si="7"/>
        <v>0</v>
      </c>
      <c r="AR15" s="70">
        <f t="shared" si="7"/>
        <v>0</v>
      </c>
      <c r="AS15" s="70">
        <f t="shared" si="7"/>
        <v>0</v>
      </c>
      <c r="AT15" s="70">
        <f t="shared" si="7"/>
        <v>0</v>
      </c>
      <c r="AU15" s="70">
        <f t="shared" si="7"/>
        <v>119725</v>
      </c>
      <c r="AV15" s="70">
        <f t="shared" si="7"/>
        <v>0</v>
      </c>
      <c r="AW15" s="70">
        <f t="shared" si="7"/>
        <v>0</v>
      </c>
      <c r="AX15" s="70">
        <f t="shared" si="7"/>
        <v>0</v>
      </c>
      <c r="AY15" s="70">
        <f t="shared" si="7"/>
        <v>0</v>
      </c>
      <c r="AZ15" s="70">
        <f t="shared" si="7"/>
        <v>0</v>
      </c>
      <c r="BA15" s="70">
        <f t="shared" si="7"/>
        <v>0</v>
      </c>
      <c r="BB15" s="70">
        <f t="shared" si="7"/>
        <v>47654.65</v>
      </c>
      <c r="BC15" s="70">
        <f t="shared" si="7"/>
        <v>0</v>
      </c>
      <c r="BD15" s="70">
        <f t="shared" si="7"/>
        <v>219757.80000000002</v>
      </c>
      <c r="BE15" s="70">
        <f t="shared" si="7"/>
        <v>0</v>
      </c>
      <c r="BF15" s="70">
        <f t="shared" ref="BF15" si="8">BF16+BF17+BF18+BF19+BF20+BF21+BF22+BF23</f>
        <v>2251361.7800000003</v>
      </c>
      <c r="BG15" s="70">
        <f t="shared" ref="BG15" si="9">BG16+BG17+BG18+BG19+BG20+BG21+BG22+BG23</f>
        <v>54143.199999999997</v>
      </c>
      <c r="BH15" s="70">
        <f t="shared" ref="BH15" si="10">BH16+BH17+BH18+BH19+BH20+BH21+BH22+BH23</f>
        <v>66381.2</v>
      </c>
      <c r="BI15" s="70">
        <f t="shared" ref="BI15" si="11">BI16+BI17+BI18+BI19+BI20+BI21+BI22+BI23</f>
        <v>2130837.38</v>
      </c>
    </row>
    <row r="16" spans="1:61" x14ac:dyDescent="0.3">
      <c r="C16">
        <v>510</v>
      </c>
      <c r="D16" t="s">
        <v>467</v>
      </c>
      <c r="E16" s="4">
        <v>0</v>
      </c>
      <c r="F16" s="4">
        <v>0</v>
      </c>
      <c r="G16" s="4">
        <v>0</v>
      </c>
      <c r="H16" s="4">
        <v>0</v>
      </c>
      <c r="I16" s="4">
        <v>17540.099999999999</v>
      </c>
      <c r="J16" s="4">
        <v>0</v>
      </c>
      <c r="K16" s="4">
        <v>5049.1000000000004</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119725</v>
      </c>
      <c r="AV16" s="4">
        <v>0</v>
      </c>
      <c r="AW16" s="4">
        <v>0</v>
      </c>
      <c r="AX16" s="4">
        <v>0</v>
      </c>
      <c r="AY16" s="4">
        <v>0</v>
      </c>
      <c r="AZ16" s="4">
        <v>0</v>
      </c>
      <c r="BA16" s="4">
        <v>0</v>
      </c>
      <c r="BB16" s="4">
        <v>0</v>
      </c>
      <c r="BC16" s="4">
        <v>0</v>
      </c>
      <c r="BD16" s="4">
        <v>150000</v>
      </c>
      <c r="BE16" s="4">
        <v>0</v>
      </c>
      <c r="BF16" s="4">
        <f>SUM(E16:BE16)</f>
        <v>292314.2</v>
      </c>
      <c r="BG16" s="4">
        <f t="shared" ref="BG16:BG23" si="12">SUM(E16:W16)</f>
        <v>22589.199999999997</v>
      </c>
      <c r="BH16" s="4">
        <f t="shared" ref="BH16:BH23" si="13">SUM(X16:AJ16)</f>
        <v>0</v>
      </c>
      <c r="BI16" s="4">
        <f t="shared" ref="BI16:BI23" si="14">SUM(AK16:BE16)</f>
        <v>269725</v>
      </c>
    </row>
    <row r="17" spans="2:61" x14ac:dyDescent="0.3">
      <c r="C17">
        <v>511</v>
      </c>
      <c r="D17" t="s">
        <v>468</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3">
      <c r="C18">
        <v>512</v>
      </c>
      <c r="D18" t="s">
        <v>469</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28486.2</v>
      </c>
      <c r="BE18" s="4">
        <v>0</v>
      </c>
      <c r="BF18" s="4">
        <f t="shared" si="15"/>
        <v>28486.2</v>
      </c>
      <c r="BG18" s="4">
        <f t="shared" si="12"/>
        <v>0</v>
      </c>
      <c r="BH18" s="4">
        <f t="shared" si="13"/>
        <v>0</v>
      </c>
      <c r="BI18" s="4">
        <f t="shared" si="14"/>
        <v>28486.2</v>
      </c>
    </row>
    <row r="19" spans="2:61" x14ac:dyDescent="0.3">
      <c r="C19">
        <v>513</v>
      </c>
      <c r="D19" t="s">
        <v>470</v>
      </c>
      <c r="E19" s="4">
        <v>0</v>
      </c>
      <c r="F19" s="4">
        <v>0</v>
      </c>
      <c r="G19" s="4">
        <v>0</v>
      </c>
      <c r="H19" s="4">
        <v>0</v>
      </c>
      <c r="I19" s="4">
        <v>31554</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52710.9</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84264.9</v>
      </c>
      <c r="BG19" s="4">
        <f t="shared" si="12"/>
        <v>31554</v>
      </c>
      <c r="BH19" s="4">
        <f t="shared" si="13"/>
        <v>52710.9</v>
      </c>
      <c r="BI19" s="4">
        <f t="shared" si="14"/>
        <v>0</v>
      </c>
    </row>
    <row r="20" spans="2:61" x14ac:dyDescent="0.3">
      <c r="C20">
        <v>514</v>
      </c>
      <c r="D20" t="s">
        <v>471</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13670.3</v>
      </c>
      <c r="AG20" s="4">
        <v>0</v>
      </c>
      <c r="AH20" s="4">
        <v>0</v>
      </c>
      <c r="AI20" s="4">
        <v>0</v>
      </c>
      <c r="AJ20" s="4">
        <v>0</v>
      </c>
      <c r="AK20" s="4">
        <v>1728741.93</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1742412.23</v>
      </c>
      <c r="BG20" s="4">
        <f t="shared" si="12"/>
        <v>0</v>
      </c>
      <c r="BH20" s="4">
        <f t="shared" si="13"/>
        <v>13670.3</v>
      </c>
      <c r="BI20" s="4">
        <f t="shared" si="14"/>
        <v>1728741.93</v>
      </c>
    </row>
    <row r="21" spans="2:61" x14ac:dyDescent="0.3">
      <c r="C21">
        <v>515</v>
      </c>
      <c r="D21" t="s">
        <v>472</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0</v>
      </c>
      <c r="BG21" s="4">
        <f t="shared" si="12"/>
        <v>0</v>
      </c>
      <c r="BH21" s="4">
        <f t="shared" si="13"/>
        <v>0</v>
      </c>
      <c r="BI21" s="4">
        <f t="shared" si="14"/>
        <v>0</v>
      </c>
    </row>
    <row r="22" spans="2:61" x14ac:dyDescent="0.3">
      <c r="C22">
        <v>516</v>
      </c>
      <c r="D22" t="s">
        <v>473</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14958</v>
      </c>
      <c r="AN22" s="4">
        <v>0</v>
      </c>
      <c r="AO22" s="4">
        <v>0</v>
      </c>
      <c r="AP22" s="4">
        <v>0</v>
      </c>
      <c r="AQ22" s="4">
        <v>0</v>
      </c>
      <c r="AR22" s="4">
        <v>0</v>
      </c>
      <c r="AS22" s="4">
        <v>0</v>
      </c>
      <c r="AT22" s="4">
        <v>0</v>
      </c>
      <c r="AU22" s="4">
        <v>0</v>
      </c>
      <c r="AV22" s="4">
        <v>0</v>
      </c>
      <c r="AW22" s="4">
        <v>0</v>
      </c>
      <c r="AX22" s="4">
        <v>0</v>
      </c>
      <c r="AY22" s="4">
        <v>0</v>
      </c>
      <c r="AZ22" s="4">
        <v>0</v>
      </c>
      <c r="BA22" s="4">
        <v>0</v>
      </c>
      <c r="BB22" s="4">
        <v>47654.65</v>
      </c>
      <c r="BC22" s="4">
        <v>0</v>
      </c>
      <c r="BD22" s="4">
        <v>41271.599999999999</v>
      </c>
      <c r="BE22" s="4">
        <v>0</v>
      </c>
      <c r="BF22" s="4">
        <f t="shared" si="15"/>
        <v>103884.25</v>
      </c>
      <c r="BG22" s="4">
        <f t="shared" si="12"/>
        <v>0</v>
      </c>
      <c r="BH22" s="4">
        <f t="shared" si="13"/>
        <v>0</v>
      </c>
      <c r="BI22" s="4">
        <f t="shared" si="14"/>
        <v>103884.25</v>
      </c>
    </row>
    <row r="23" spans="2:61" x14ac:dyDescent="0.3">
      <c r="C23">
        <v>519</v>
      </c>
      <c r="D23" t="s">
        <v>474</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0</v>
      </c>
      <c r="BG23" s="4">
        <f t="shared" si="12"/>
        <v>0</v>
      </c>
      <c r="BH23" s="4">
        <f t="shared" si="13"/>
        <v>0</v>
      </c>
      <c r="BI23" s="4">
        <f t="shared" si="14"/>
        <v>0</v>
      </c>
    </row>
    <row r="24" spans="2:61" x14ac:dyDescent="0.3">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3">
      <c r="B25" s="69">
        <v>52</v>
      </c>
      <c r="C25" s="69"/>
      <c r="D25" s="69" t="s">
        <v>475</v>
      </c>
      <c r="E25" s="70">
        <f>E26+E27+E28</f>
        <v>0</v>
      </c>
      <c r="F25" s="70">
        <f t="shared" ref="F25:BE25" si="16">F26+F27+F28</f>
        <v>0</v>
      </c>
      <c r="G25" s="70">
        <f t="shared" si="16"/>
        <v>0</v>
      </c>
      <c r="H25" s="70">
        <f t="shared" si="16"/>
        <v>0</v>
      </c>
      <c r="I25" s="70">
        <f t="shared" si="16"/>
        <v>0</v>
      </c>
      <c r="J25" s="70">
        <f t="shared" si="16"/>
        <v>23912.65</v>
      </c>
      <c r="K25" s="70">
        <f t="shared" si="16"/>
        <v>0</v>
      </c>
      <c r="L25" s="70">
        <f t="shared" si="16"/>
        <v>324831.63</v>
      </c>
      <c r="M25" s="70">
        <f t="shared" si="16"/>
        <v>20616</v>
      </c>
      <c r="N25" s="70">
        <f t="shared" si="16"/>
        <v>0</v>
      </c>
      <c r="O25" s="70">
        <f t="shared" si="16"/>
        <v>144281.95000000001</v>
      </c>
      <c r="P25" s="70">
        <f t="shared" si="16"/>
        <v>0</v>
      </c>
      <c r="Q25" s="70">
        <f t="shared" si="16"/>
        <v>0</v>
      </c>
      <c r="R25" s="70">
        <f t="shared" si="16"/>
        <v>0</v>
      </c>
      <c r="S25" s="70">
        <f t="shared" si="16"/>
        <v>0</v>
      </c>
      <c r="T25" s="70">
        <f t="shared" si="16"/>
        <v>0</v>
      </c>
      <c r="U25" s="70">
        <f t="shared" si="16"/>
        <v>0</v>
      </c>
      <c r="V25" s="70">
        <f t="shared" si="16"/>
        <v>0</v>
      </c>
      <c r="W25" s="70">
        <f t="shared" si="16"/>
        <v>0</v>
      </c>
      <c r="X25" s="70">
        <f t="shared" si="16"/>
        <v>921.35</v>
      </c>
      <c r="Y25" s="70">
        <f t="shared" si="16"/>
        <v>0</v>
      </c>
      <c r="Z25" s="70">
        <f t="shared" si="16"/>
        <v>0</v>
      </c>
      <c r="AA25" s="70">
        <f t="shared" si="16"/>
        <v>0</v>
      </c>
      <c r="AB25" s="70">
        <f t="shared" si="16"/>
        <v>0</v>
      </c>
      <c r="AC25" s="70">
        <f t="shared" si="16"/>
        <v>30000</v>
      </c>
      <c r="AD25" s="70">
        <f t="shared" si="16"/>
        <v>0</v>
      </c>
      <c r="AE25" s="70">
        <f t="shared" si="16"/>
        <v>0</v>
      </c>
      <c r="AF25" s="70">
        <f t="shared" si="16"/>
        <v>0</v>
      </c>
      <c r="AG25" s="70">
        <f t="shared" si="16"/>
        <v>72742.45</v>
      </c>
      <c r="AH25" s="70">
        <f t="shared" si="16"/>
        <v>68977.350000000006</v>
      </c>
      <c r="AI25" s="70">
        <f t="shared" si="16"/>
        <v>0</v>
      </c>
      <c r="AJ25" s="70">
        <f t="shared" si="16"/>
        <v>0</v>
      </c>
      <c r="AK25" s="70">
        <f t="shared" si="16"/>
        <v>0</v>
      </c>
      <c r="AL25" s="70">
        <f t="shared" si="16"/>
        <v>0</v>
      </c>
      <c r="AM25" s="70">
        <f t="shared" si="16"/>
        <v>2501.5500000000002</v>
      </c>
      <c r="AN25" s="70">
        <f t="shared" si="16"/>
        <v>0</v>
      </c>
      <c r="AO25" s="70">
        <f t="shared" si="16"/>
        <v>0</v>
      </c>
      <c r="AP25" s="70">
        <f t="shared" si="16"/>
        <v>44980</v>
      </c>
      <c r="AQ25" s="70">
        <f t="shared" si="16"/>
        <v>12875.8</v>
      </c>
      <c r="AR25" s="70">
        <f t="shared" si="16"/>
        <v>375</v>
      </c>
      <c r="AS25" s="70">
        <f t="shared" si="16"/>
        <v>0</v>
      </c>
      <c r="AT25" s="70">
        <f t="shared" si="16"/>
        <v>0</v>
      </c>
      <c r="AU25" s="70">
        <f t="shared" si="16"/>
        <v>0</v>
      </c>
      <c r="AV25" s="70">
        <f t="shared" si="16"/>
        <v>32179.45</v>
      </c>
      <c r="AW25" s="70">
        <f t="shared" si="16"/>
        <v>22078.65</v>
      </c>
      <c r="AX25" s="70">
        <f t="shared" si="16"/>
        <v>0</v>
      </c>
      <c r="AY25" s="70">
        <f t="shared" si="16"/>
        <v>0</v>
      </c>
      <c r="AZ25" s="70">
        <f t="shared" si="16"/>
        <v>19064.099999999999</v>
      </c>
      <c r="BA25" s="70">
        <f t="shared" si="16"/>
        <v>0</v>
      </c>
      <c r="BB25" s="70">
        <f t="shared" si="16"/>
        <v>54387.45</v>
      </c>
      <c r="BC25" s="70">
        <f t="shared" si="16"/>
        <v>0</v>
      </c>
      <c r="BD25" s="70">
        <f t="shared" si="16"/>
        <v>248550.56</v>
      </c>
      <c r="BE25" s="70">
        <f t="shared" si="16"/>
        <v>6219.65</v>
      </c>
      <c r="BF25" s="70">
        <f t="shared" ref="BF25" si="17">BF26+BF27+BF28</f>
        <v>1129495.5899999999</v>
      </c>
      <c r="BG25" s="70">
        <f t="shared" ref="BG25" si="18">BG26+BG27+BG28</f>
        <v>513642.23</v>
      </c>
      <c r="BH25" s="70">
        <f t="shared" ref="BH25" si="19">BH26+BH27+BH28</f>
        <v>172641.15</v>
      </c>
      <c r="BI25" s="70">
        <f t="shared" ref="BI25" si="20">BI26+BI27+BI28</f>
        <v>443212.21</v>
      </c>
    </row>
    <row r="26" spans="2:61" x14ac:dyDescent="0.3">
      <c r="C26">
        <v>520</v>
      </c>
      <c r="D26" t="s">
        <v>375</v>
      </c>
      <c r="E26" s="4">
        <v>0</v>
      </c>
      <c r="F26" s="4">
        <v>0</v>
      </c>
      <c r="G26" s="4">
        <v>0</v>
      </c>
      <c r="H26" s="4">
        <v>0</v>
      </c>
      <c r="I26" s="4">
        <v>0</v>
      </c>
      <c r="J26" s="4">
        <v>0</v>
      </c>
      <c r="K26" s="4">
        <v>0</v>
      </c>
      <c r="L26" s="4">
        <v>324831.63</v>
      </c>
      <c r="M26" s="4">
        <v>0</v>
      </c>
      <c r="N26" s="4">
        <v>0</v>
      </c>
      <c r="O26" s="4">
        <v>37045.35</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361876.98</v>
      </c>
      <c r="BG26" s="4">
        <f t="shared" ref="BG26:BG28" si="22">SUM(E26:W26)</f>
        <v>361876.98</v>
      </c>
      <c r="BH26" s="4">
        <f t="shared" ref="BH26:BH28" si="23">SUM(X26:AJ26)</f>
        <v>0</v>
      </c>
      <c r="BI26" s="4">
        <f t="shared" ref="BI26:BI28" si="24">SUM(AK26:BE26)</f>
        <v>0</v>
      </c>
    </row>
    <row r="27" spans="2:61" x14ac:dyDescent="0.3">
      <c r="C27">
        <v>521</v>
      </c>
      <c r="D27" t="s">
        <v>376</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3">
      <c r="C28">
        <v>529</v>
      </c>
      <c r="D28" t="s">
        <v>476</v>
      </c>
      <c r="E28" s="4">
        <v>0</v>
      </c>
      <c r="F28" s="4">
        <v>0</v>
      </c>
      <c r="G28" s="4">
        <v>0</v>
      </c>
      <c r="H28" s="4">
        <v>0</v>
      </c>
      <c r="I28" s="4">
        <v>0</v>
      </c>
      <c r="J28" s="4">
        <v>23912.65</v>
      </c>
      <c r="K28" s="4">
        <v>0</v>
      </c>
      <c r="L28" s="4">
        <v>0</v>
      </c>
      <c r="M28" s="4">
        <v>20616</v>
      </c>
      <c r="N28" s="4">
        <v>0</v>
      </c>
      <c r="O28" s="4">
        <v>107236.6</v>
      </c>
      <c r="P28" s="4">
        <v>0</v>
      </c>
      <c r="Q28" s="4">
        <v>0</v>
      </c>
      <c r="R28" s="4">
        <v>0</v>
      </c>
      <c r="S28" s="4">
        <v>0</v>
      </c>
      <c r="T28" s="4">
        <v>0</v>
      </c>
      <c r="U28" s="4">
        <v>0</v>
      </c>
      <c r="V28" s="4">
        <v>0</v>
      </c>
      <c r="W28" s="4">
        <v>0</v>
      </c>
      <c r="X28" s="4">
        <v>921.35</v>
      </c>
      <c r="Y28" s="4">
        <v>0</v>
      </c>
      <c r="Z28" s="4">
        <v>0</v>
      </c>
      <c r="AA28" s="4">
        <v>0</v>
      </c>
      <c r="AB28" s="4">
        <v>0</v>
      </c>
      <c r="AC28" s="4">
        <v>30000</v>
      </c>
      <c r="AD28" s="4">
        <v>0</v>
      </c>
      <c r="AE28" s="4">
        <v>0</v>
      </c>
      <c r="AF28" s="4">
        <v>0</v>
      </c>
      <c r="AG28" s="4">
        <v>72742.45</v>
      </c>
      <c r="AH28" s="4">
        <v>68977.350000000006</v>
      </c>
      <c r="AI28" s="4">
        <v>0</v>
      </c>
      <c r="AJ28" s="4">
        <v>0</v>
      </c>
      <c r="AK28" s="4">
        <v>0</v>
      </c>
      <c r="AL28" s="4">
        <v>0</v>
      </c>
      <c r="AM28" s="4">
        <v>2501.5500000000002</v>
      </c>
      <c r="AN28" s="4">
        <v>0</v>
      </c>
      <c r="AO28" s="4">
        <v>0</v>
      </c>
      <c r="AP28" s="4">
        <v>44980</v>
      </c>
      <c r="AQ28" s="4">
        <v>12875.8</v>
      </c>
      <c r="AR28" s="4">
        <v>375</v>
      </c>
      <c r="AS28" s="4">
        <v>0</v>
      </c>
      <c r="AT28" s="4">
        <v>0</v>
      </c>
      <c r="AU28" s="4">
        <v>0</v>
      </c>
      <c r="AV28" s="4">
        <v>32179.45</v>
      </c>
      <c r="AW28" s="4">
        <v>22078.65</v>
      </c>
      <c r="AX28" s="4">
        <v>0</v>
      </c>
      <c r="AY28" s="4">
        <v>0</v>
      </c>
      <c r="AZ28" s="4">
        <v>19064.099999999999</v>
      </c>
      <c r="BA28" s="4">
        <v>0</v>
      </c>
      <c r="BB28" s="4">
        <v>54387.45</v>
      </c>
      <c r="BC28" s="4">
        <v>0</v>
      </c>
      <c r="BD28" s="4">
        <v>248550.56</v>
      </c>
      <c r="BE28" s="4">
        <v>6219.65</v>
      </c>
      <c r="BF28" s="4">
        <f t="shared" si="21"/>
        <v>767618.61</v>
      </c>
      <c r="BG28" s="4">
        <f t="shared" si="22"/>
        <v>151765.25</v>
      </c>
      <c r="BH28" s="4">
        <f t="shared" si="23"/>
        <v>172641.15</v>
      </c>
      <c r="BI28" s="4">
        <f t="shared" si="24"/>
        <v>443212.21</v>
      </c>
    </row>
    <row r="29" spans="2:61" x14ac:dyDescent="0.3">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3">
      <c r="B30" s="69">
        <v>54</v>
      </c>
      <c r="C30" s="69"/>
      <c r="D30" s="69" t="s">
        <v>257</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0</v>
      </c>
      <c r="BE30" s="70">
        <f t="shared" si="25"/>
        <v>0</v>
      </c>
      <c r="BF30" s="70">
        <f t="shared" ref="BF30" si="26">BF31+BF32+BF33+BF34+BF35+BF36+BF37+BF38+BF39</f>
        <v>0</v>
      </c>
      <c r="BG30" s="70">
        <f t="shared" ref="BG30" si="27">BG31+BG32+BG33+BG34+BG35+BG36+BG37+BG38+BG39</f>
        <v>0</v>
      </c>
      <c r="BH30" s="70">
        <f t="shared" ref="BH30" si="28">BH31+BH32+BH33+BH34+BH35+BH36+BH37+BH38+BH39</f>
        <v>0</v>
      </c>
      <c r="BI30" s="70">
        <f t="shared" ref="BI30" si="29">BI31+BI32+BI33+BI34+BI35+BI36+BI37+BI38+BI39</f>
        <v>0</v>
      </c>
    </row>
    <row r="31" spans="2:61" x14ac:dyDescent="0.3">
      <c r="C31">
        <v>540</v>
      </c>
      <c r="D31" t="s">
        <v>477</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3">
      <c r="C32">
        <v>541</v>
      </c>
      <c r="D32" t="s">
        <v>478</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3">
      <c r="C33">
        <v>542</v>
      </c>
      <c r="D33" t="s">
        <v>479</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3">
      <c r="C34">
        <v>543</v>
      </c>
      <c r="D34" t="s">
        <v>480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3">
      <c r="C35">
        <v>544</v>
      </c>
      <c r="D35" t="s">
        <v>481</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3">
      <c r="C36">
        <v>545</v>
      </c>
      <c r="D36" t="s">
        <v>482</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3">
      <c r="C37">
        <v>546</v>
      </c>
      <c r="D37" t="s">
        <v>483</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f t="shared" si="30"/>
        <v>0</v>
      </c>
      <c r="BG37" s="4">
        <f t="shared" si="31"/>
        <v>0</v>
      </c>
      <c r="BH37" s="4">
        <f t="shared" si="32"/>
        <v>0</v>
      </c>
      <c r="BI37" s="4">
        <f t="shared" si="33"/>
        <v>0</v>
      </c>
    </row>
    <row r="38" spans="2:61" x14ac:dyDescent="0.3">
      <c r="C38">
        <v>547</v>
      </c>
      <c r="D38" t="s">
        <v>484</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3">
      <c r="C39">
        <v>548</v>
      </c>
      <c r="D39" t="s">
        <v>485</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3">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3">
      <c r="B41" s="69">
        <v>55</v>
      </c>
      <c r="C41" s="69"/>
      <c r="D41" s="69" t="s">
        <v>388</v>
      </c>
      <c r="E41" s="70">
        <f>E42+E43+E44+E45+E46+E47+E48+E49+E50</f>
        <v>0</v>
      </c>
      <c r="F41" s="70">
        <f t="shared" ref="F41:BE41" si="34">F42+F43+F44+F45+F46+F47+F48+F49+F50</f>
        <v>0</v>
      </c>
      <c r="G41" s="70">
        <f t="shared" si="34"/>
        <v>0</v>
      </c>
      <c r="H41" s="70">
        <f t="shared" si="34"/>
        <v>0</v>
      </c>
      <c r="I41" s="70">
        <f t="shared" si="34"/>
        <v>0</v>
      </c>
      <c r="J41" s="70">
        <f t="shared" si="34"/>
        <v>0</v>
      </c>
      <c r="K41" s="70">
        <f t="shared" si="34"/>
        <v>0</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0</v>
      </c>
      <c r="BG41" s="70">
        <f t="shared" ref="BG41" si="36">BG42+BG43+BG44+BG45+BG46+BG47+BG48+BG49+BG50</f>
        <v>0</v>
      </c>
      <c r="BH41" s="70">
        <f t="shared" ref="BH41" si="37">BH42+BH43+BH44+BH45+BH46+BH47+BH48+BH49+BH50</f>
        <v>0</v>
      </c>
      <c r="BI41" s="70">
        <f t="shared" ref="BI41" si="38">BI42+BI43+BI44+BI45+BI46+BI47+BI48+BI49+BI50</f>
        <v>0</v>
      </c>
    </row>
    <row r="42" spans="2:61" x14ac:dyDescent="0.3">
      <c r="C42">
        <v>550</v>
      </c>
      <c r="D42" t="s">
        <v>477</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3">
      <c r="C43">
        <v>551</v>
      </c>
      <c r="D43" t="s">
        <v>478</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3">
      <c r="C44">
        <v>552</v>
      </c>
      <c r="D44" t="s">
        <v>479</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3">
      <c r="C45">
        <v>553</v>
      </c>
      <c r="D45" t="s">
        <v>480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3">
      <c r="C46">
        <v>554</v>
      </c>
      <c r="D46" t="s">
        <v>481</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3">
      <c r="C47">
        <v>555</v>
      </c>
      <c r="D47" t="s">
        <v>482</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3">
      <c r="C48">
        <v>556</v>
      </c>
      <c r="D48" t="s">
        <v>483</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0</v>
      </c>
      <c r="BG48" s="4">
        <f t="shared" si="40"/>
        <v>0</v>
      </c>
      <c r="BH48" s="4">
        <f t="shared" si="41"/>
        <v>0</v>
      </c>
      <c r="BI48" s="4">
        <f t="shared" si="42"/>
        <v>0</v>
      </c>
    </row>
    <row r="49" spans="2:61" x14ac:dyDescent="0.3">
      <c r="C49">
        <v>557</v>
      </c>
      <c r="D49" t="s">
        <v>484</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3">
      <c r="C50">
        <v>558</v>
      </c>
      <c r="D50" t="s">
        <v>485</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3">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3">
      <c r="B52" s="69">
        <v>56</v>
      </c>
      <c r="C52" s="69"/>
      <c r="D52" s="69" t="s">
        <v>486</v>
      </c>
      <c r="E52" s="70">
        <f>E53+E54+E55+E56+E57+E58+E59+E60+E61</f>
        <v>0</v>
      </c>
      <c r="F52" s="70">
        <f t="shared" ref="F52:BE52" si="43">F53+F54+F55+F56+F57+F58+F59+F60+F61</f>
        <v>0</v>
      </c>
      <c r="G52" s="70">
        <f t="shared" si="43"/>
        <v>0</v>
      </c>
      <c r="H52" s="70">
        <f t="shared" si="43"/>
        <v>0</v>
      </c>
      <c r="I52" s="70">
        <f t="shared" si="43"/>
        <v>0</v>
      </c>
      <c r="J52" s="70">
        <f t="shared" si="43"/>
        <v>0</v>
      </c>
      <c r="K52" s="70">
        <f t="shared" si="43"/>
        <v>0</v>
      </c>
      <c r="L52" s="70">
        <f t="shared" si="43"/>
        <v>0</v>
      </c>
      <c r="M52" s="70">
        <f t="shared" si="43"/>
        <v>0</v>
      </c>
      <c r="N52" s="70">
        <f t="shared" si="43"/>
        <v>0</v>
      </c>
      <c r="O52" s="70">
        <f t="shared" si="43"/>
        <v>39997.550000000003</v>
      </c>
      <c r="P52" s="70">
        <f t="shared" si="43"/>
        <v>0</v>
      </c>
      <c r="Q52" s="70">
        <f t="shared" si="43"/>
        <v>0</v>
      </c>
      <c r="R52" s="70">
        <f t="shared" si="43"/>
        <v>0</v>
      </c>
      <c r="S52" s="70">
        <f t="shared" si="43"/>
        <v>0</v>
      </c>
      <c r="T52" s="70">
        <f t="shared" si="43"/>
        <v>0</v>
      </c>
      <c r="U52" s="70">
        <f t="shared" si="43"/>
        <v>0</v>
      </c>
      <c r="V52" s="70">
        <f t="shared" si="43"/>
        <v>0</v>
      </c>
      <c r="W52" s="70">
        <f t="shared" si="43"/>
        <v>0</v>
      </c>
      <c r="X52" s="70">
        <f t="shared" si="43"/>
        <v>0</v>
      </c>
      <c r="Y52" s="70">
        <f t="shared" si="43"/>
        <v>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0</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0</v>
      </c>
      <c r="BE52" s="70">
        <f t="shared" si="43"/>
        <v>0</v>
      </c>
      <c r="BF52" s="70">
        <f t="shared" ref="BF52" si="44">BF53+BF54+BF55+BF56+BF57+BF58+BF59+BF60+BF61</f>
        <v>39997.550000000003</v>
      </c>
      <c r="BG52" s="70">
        <f t="shared" ref="BG52" si="45">BG53+BG54+BG55+BG56+BG57+BG58+BG59+BG60+BG61</f>
        <v>39997.550000000003</v>
      </c>
      <c r="BH52" s="70">
        <f t="shared" ref="BH52" si="46">BH53+BH54+BH55+BH56+BH57+BH58+BH59+BH60+BH61</f>
        <v>0</v>
      </c>
      <c r="BI52" s="70">
        <f t="shared" ref="BI52" si="47">BI53+BI54+BI55+BI56+BI57+BI58+BI59+BI60+BI61</f>
        <v>0</v>
      </c>
    </row>
    <row r="53" spans="2:61" x14ac:dyDescent="0.3">
      <c r="C53">
        <v>560</v>
      </c>
      <c r="D53" t="s">
        <v>477</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3">
      <c r="C54">
        <v>561</v>
      </c>
      <c r="D54" t="s">
        <v>478</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0</v>
      </c>
      <c r="BG54" s="4">
        <f t="shared" si="49"/>
        <v>0</v>
      </c>
      <c r="BH54" s="4">
        <f t="shared" si="50"/>
        <v>0</v>
      </c>
      <c r="BI54" s="4">
        <f t="shared" si="51"/>
        <v>0</v>
      </c>
    </row>
    <row r="55" spans="2:61" x14ac:dyDescent="0.3">
      <c r="C55">
        <v>562</v>
      </c>
      <c r="D55" t="s">
        <v>479</v>
      </c>
      <c r="E55" s="4">
        <v>0</v>
      </c>
      <c r="F55" s="4">
        <v>0</v>
      </c>
      <c r="G55" s="4">
        <v>0</v>
      </c>
      <c r="H55" s="4">
        <v>0</v>
      </c>
      <c r="I55" s="4">
        <v>0</v>
      </c>
      <c r="J55" s="4">
        <v>0</v>
      </c>
      <c r="K55" s="4">
        <v>0</v>
      </c>
      <c r="L55" s="4">
        <v>0</v>
      </c>
      <c r="M55" s="4">
        <v>0</v>
      </c>
      <c r="N55" s="4">
        <v>0</v>
      </c>
      <c r="O55" s="4">
        <v>39997.550000000003</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48"/>
        <v>39997.550000000003</v>
      </c>
      <c r="BG55" s="4">
        <f t="shared" si="49"/>
        <v>39997.550000000003</v>
      </c>
      <c r="BH55" s="4">
        <f t="shared" si="50"/>
        <v>0</v>
      </c>
      <c r="BI55" s="4">
        <f t="shared" si="51"/>
        <v>0</v>
      </c>
    </row>
    <row r="56" spans="2:61" x14ac:dyDescent="0.3">
      <c r="C56">
        <v>563</v>
      </c>
      <c r="D56" t="s">
        <v>480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3">
      <c r="C57">
        <v>564</v>
      </c>
      <c r="D57" t="s">
        <v>481</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3">
      <c r="C58">
        <v>565</v>
      </c>
      <c r="D58" t="s">
        <v>482</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3">
      <c r="C59">
        <v>566</v>
      </c>
      <c r="D59" t="s">
        <v>483</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0</v>
      </c>
      <c r="BG59" s="4">
        <f t="shared" si="49"/>
        <v>0</v>
      </c>
      <c r="BH59" s="4">
        <f t="shared" si="50"/>
        <v>0</v>
      </c>
      <c r="BI59" s="4">
        <f t="shared" si="51"/>
        <v>0</v>
      </c>
    </row>
    <row r="60" spans="2:61" x14ac:dyDescent="0.3">
      <c r="C60">
        <v>567</v>
      </c>
      <c r="D60" t="s">
        <v>484</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3">
      <c r="C61">
        <v>568</v>
      </c>
      <c r="D61" t="s">
        <v>485</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3">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3">
      <c r="B63" s="69">
        <v>57</v>
      </c>
      <c r="C63" s="69"/>
      <c r="D63" s="69" t="s">
        <v>487</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3">
      <c r="C64">
        <v>570</v>
      </c>
      <c r="D64" t="s">
        <v>477</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3">
      <c r="C65">
        <v>571</v>
      </c>
      <c r="D65" t="s">
        <v>478</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3">
      <c r="C66">
        <v>572</v>
      </c>
      <c r="D66" t="s">
        <v>479</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3">
      <c r="C67">
        <v>573</v>
      </c>
      <c r="D67" t="s">
        <v>480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3">
      <c r="C68">
        <v>574</v>
      </c>
      <c r="D68" t="s">
        <v>481</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3">
      <c r="C69">
        <v>575</v>
      </c>
      <c r="D69" t="s">
        <v>482</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3">
      <c r="C70">
        <v>576</v>
      </c>
      <c r="D70" t="s">
        <v>483</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3">
      <c r="C71">
        <v>577</v>
      </c>
      <c r="D71" t="s">
        <v>484</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3">
      <c r="C72">
        <v>578</v>
      </c>
      <c r="D72" t="s">
        <v>485</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3">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3">
      <c r="B74" s="69">
        <v>58</v>
      </c>
      <c r="C74" s="69"/>
      <c r="D74" s="69" t="s">
        <v>488</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0</v>
      </c>
      <c r="AE74" s="70">
        <f t="shared" si="61"/>
        <v>0</v>
      </c>
      <c r="AF74" s="70">
        <f t="shared" si="61"/>
        <v>0</v>
      </c>
      <c r="AG74" s="70">
        <f t="shared" si="61"/>
        <v>0</v>
      </c>
      <c r="AH74" s="70">
        <f t="shared" si="61"/>
        <v>0</v>
      </c>
      <c r="AI74" s="70">
        <f t="shared" si="61"/>
        <v>0</v>
      </c>
      <c r="AJ74" s="70">
        <f t="shared" si="61"/>
        <v>0</v>
      </c>
      <c r="AK74" s="70">
        <f t="shared" si="61"/>
        <v>0</v>
      </c>
      <c r="AL74" s="70">
        <f t="shared" si="61"/>
        <v>24110.799999999999</v>
      </c>
      <c r="AM74" s="70">
        <f t="shared" si="61"/>
        <v>0</v>
      </c>
      <c r="AN74" s="70">
        <f t="shared" si="61"/>
        <v>0</v>
      </c>
      <c r="AO74" s="70">
        <f t="shared" si="61"/>
        <v>0</v>
      </c>
      <c r="AP74" s="70">
        <f t="shared" si="61"/>
        <v>0</v>
      </c>
      <c r="AQ74" s="70">
        <f t="shared" si="61"/>
        <v>0</v>
      </c>
      <c r="AR74" s="70">
        <f t="shared" si="61"/>
        <v>0</v>
      </c>
      <c r="AS74" s="70">
        <f t="shared" si="61"/>
        <v>9322.65</v>
      </c>
      <c r="AT74" s="70">
        <f t="shared" si="61"/>
        <v>45532.3</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17477.05</v>
      </c>
      <c r="BE74" s="70">
        <f t="shared" si="61"/>
        <v>0</v>
      </c>
      <c r="BF74" s="70">
        <f t="shared" ref="BF74" si="62">BF75+BF76+BF77+BF78+BF79+BF80</f>
        <v>96442.8</v>
      </c>
      <c r="BG74" s="70">
        <f t="shared" ref="BG74" si="63">BG75+BG76+BG77+BG78+BG79+BG80</f>
        <v>0</v>
      </c>
      <c r="BH74" s="70">
        <f t="shared" ref="BH74" si="64">BH75+BH76+BH77+BH78+BH79+BH80</f>
        <v>0</v>
      </c>
      <c r="BI74" s="70">
        <f t="shared" ref="BI74" si="65">BI75+BI76+BI77+BI78+BI79+BI80</f>
        <v>96442.8</v>
      </c>
    </row>
    <row r="75" spans="2:61" x14ac:dyDescent="0.3">
      <c r="C75">
        <v>580</v>
      </c>
      <c r="D75" t="s">
        <v>465</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0</v>
      </c>
      <c r="AS75" s="4">
        <v>9322.65</v>
      </c>
      <c r="AT75" s="4">
        <v>0</v>
      </c>
      <c r="AU75" s="4">
        <v>0</v>
      </c>
      <c r="AV75" s="4">
        <v>0</v>
      </c>
      <c r="AW75" s="4">
        <v>0</v>
      </c>
      <c r="AX75" s="4">
        <v>0</v>
      </c>
      <c r="AY75" s="4">
        <v>0</v>
      </c>
      <c r="AZ75" s="4">
        <v>0</v>
      </c>
      <c r="BA75" s="4">
        <v>0</v>
      </c>
      <c r="BB75" s="4">
        <v>0</v>
      </c>
      <c r="BC75" s="4">
        <v>0</v>
      </c>
      <c r="BD75" s="4">
        <v>0</v>
      </c>
      <c r="BE75" s="4">
        <v>0</v>
      </c>
      <c r="BF75" s="4">
        <f t="shared" ref="BF75:BF80" si="66">SUM(E75:BE75)</f>
        <v>9322.65</v>
      </c>
      <c r="BG75" s="4">
        <f t="shared" ref="BG75:BG80" si="67">SUM(E75:W75)</f>
        <v>0</v>
      </c>
      <c r="BH75" s="4">
        <f t="shared" ref="BH75:BH80" si="68">SUM(X75:AJ75)</f>
        <v>0</v>
      </c>
      <c r="BI75" s="4">
        <f t="shared" ref="BI75:BI80" si="69">SUM(AK75:BE75)</f>
        <v>9322.65</v>
      </c>
    </row>
    <row r="76" spans="2:61" x14ac:dyDescent="0.3">
      <c r="C76">
        <v>582</v>
      </c>
      <c r="D76" t="s">
        <v>475</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45532.3</v>
      </c>
      <c r="AU76" s="4">
        <v>0</v>
      </c>
      <c r="AV76" s="4">
        <v>0</v>
      </c>
      <c r="AW76" s="4">
        <v>0</v>
      </c>
      <c r="AX76" s="4">
        <v>0</v>
      </c>
      <c r="AY76" s="4">
        <v>0</v>
      </c>
      <c r="AZ76" s="4">
        <v>0</v>
      </c>
      <c r="BA76" s="4">
        <v>0</v>
      </c>
      <c r="BB76" s="4">
        <v>0</v>
      </c>
      <c r="BC76" s="4">
        <v>0</v>
      </c>
      <c r="BD76" s="4">
        <v>17477.05</v>
      </c>
      <c r="BE76" s="4">
        <v>0</v>
      </c>
      <c r="BF76" s="4">
        <f t="shared" si="66"/>
        <v>63009.350000000006</v>
      </c>
      <c r="BG76" s="4">
        <f t="shared" si="67"/>
        <v>0</v>
      </c>
      <c r="BH76" s="4">
        <f t="shared" si="68"/>
        <v>0</v>
      </c>
      <c r="BI76" s="4">
        <f t="shared" si="69"/>
        <v>63009.350000000006</v>
      </c>
    </row>
    <row r="77" spans="2:61" x14ac:dyDescent="0.3">
      <c r="C77">
        <v>584</v>
      </c>
      <c r="D77" t="s">
        <v>257</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3">
      <c r="C78">
        <v>585</v>
      </c>
      <c r="D78" t="s">
        <v>388</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3">
      <c r="C79">
        <v>586</v>
      </c>
      <c r="D79" t="s">
        <v>489</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24110.799999999999</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24110.799999999999</v>
      </c>
      <c r="BG79" s="4">
        <f t="shared" si="67"/>
        <v>0</v>
      </c>
      <c r="BH79" s="4">
        <f t="shared" si="68"/>
        <v>0</v>
      </c>
      <c r="BI79" s="4">
        <f t="shared" si="69"/>
        <v>24110.799999999999</v>
      </c>
    </row>
    <row r="80" spans="2:61" x14ac:dyDescent="0.3">
      <c r="C80">
        <v>589</v>
      </c>
      <c r="D80" t="s">
        <v>490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0</v>
      </c>
      <c r="AY80" s="4">
        <v>0</v>
      </c>
      <c r="AZ80" s="4">
        <v>0</v>
      </c>
      <c r="BA80" s="4">
        <v>0</v>
      </c>
      <c r="BB80" s="4">
        <v>0</v>
      </c>
      <c r="BC80" s="4">
        <v>0</v>
      </c>
      <c r="BD80" s="4">
        <v>0</v>
      </c>
      <c r="BE80" s="4">
        <v>0</v>
      </c>
      <c r="BF80" s="4">
        <f t="shared" si="66"/>
        <v>0</v>
      </c>
      <c r="BG80" s="4">
        <f t="shared" si="67"/>
        <v>0</v>
      </c>
      <c r="BH80" s="4">
        <f t="shared" si="68"/>
        <v>0</v>
      </c>
      <c r="BI80" s="4">
        <f t="shared" si="69"/>
        <v>0</v>
      </c>
    </row>
    <row r="81" spans="1:61" x14ac:dyDescent="0.3">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3">
      <c r="B82" s="69">
        <v>59</v>
      </c>
      <c r="C82" s="69"/>
      <c r="D82" s="69" t="s">
        <v>491</v>
      </c>
      <c r="E82" s="70">
        <f>E83</f>
        <v>520000</v>
      </c>
      <c r="F82" s="70">
        <f t="shared" ref="F82:BE82" si="70">F83</f>
        <v>219058.75</v>
      </c>
      <c r="G82" s="70">
        <f t="shared" si="70"/>
        <v>1004384.3</v>
      </c>
      <c r="H82" s="70">
        <f t="shared" si="70"/>
        <v>299151.65000000002</v>
      </c>
      <c r="I82" s="70">
        <f t="shared" si="70"/>
        <v>125435.9</v>
      </c>
      <c r="J82" s="70">
        <f t="shared" si="70"/>
        <v>773321.15</v>
      </c>
      <c r="K82" s="70">
        <f t="shared" si="70"/>
        <v>0</v>
      </c>
      <c r="L82" s="70">
        <f t="shared" si="70"/>
        <v>3093083.45</v>
      </c>
      <c r="M82" s="70">
        <f t="shared" si="70"/>
        <v>0</v>
      </c>
      <c r="N82" s="70">
        <f t="shared" si="70"/>
        <v>0</v>
      </c>
      <c r="O82" s="70">
        <f t="shared" si="70"/>
        <v>1113465.6499999999</v>
      </c>
      <c r="P82" s="70">
        <f t="shared" si="70"/>
        <v>144165</v>
      </c>
      <c r="Q82" s="70">
        <f t="shared" si="70"/>
        <v>0</v>
      </c>
      <c r="R82" s="70">
        <f t="shared" si="70"/>
        <v>0</v>
      </c>
      <c r="S82" s="70">
        <f t="shared" si="70"/>
        <v>0</v>
      </c>
      <c r="T82" s="70">
        <f t="shared" si="70"/>
        <v>25394</v>
      </c>
      <c r="U82" s="70">
        <f t="shared" si="70"/>
        <v>16987.7</v>
      </c>
      <c r="V82" s="70">
        <f t="shared" si="70"/>
        <v>312999.09999999998</v>
      </c>
      <c r="W82" s="70">
        <f t="shared" si="70"/>
        <v>1995868.95</v>
      </c>
      <c r="X82" s="70">
        <f t="shared" si="70"/>
        <v>48040</v>
      </c>
      <c r="Y82" s="70">
        <f t="shared" si="70"/>
        <v>1664429.65</v>
      </c>
      <c r="Z82" s="70">
        <f t="shared" si="70"/>
        <v>0</v>
      </c>
      <c r="AA82" s="70">
        <f t="shared" si="70"/>
        <v>0</v>
      </c>
      <c r="AB82" s="70">
        <f t="shared" si="70"/>
        <v>433035</v>
      </c>
      <c r="AC82" s="70">
        <f t="shared" si="70"/>
        <v>7475</v>
      </c>
      <c r="AD82" s="70">
        <f t="shared" si="70"/>
        <v>47972.93</v>
      </c>
      <c r="AE82" s="70">
        <f t="shared" si="70"/>
        <v>194701</v>
      </c>
      <c r="AF82" s="70">
        <f t="shared" si="70"/>
        <v>471042</v>
      </c>
      <c r="AG82" s="70">
        <f t="shared" si="70"/>
        <v>275505.7</v>
      </c>
      <c r="AH82" s="70">
        <f t="shared" si="70"/>
        <v>527484.5</v>
      </c>
      <c r="AI82" s="70">
        <f t="shared" si="70"/>
        <v>20900</v>
      </c>
      <c r="AJ82" s="70">
        <f t="shared" si="70"/>
        <v>524300</v>
      </c>
      <c r="AK82" s="70">
        <f t="shared" si="70"/>
        <v>0</v>
      </c>
      <c r="AL82" s="70">
        <f t="shared" si="70"/>
        <v>111328.8</v>
      </c>
      <c r="AM82" s="70">
        <f t="shared" si="70"/>
        <v>6439.05</v>
      </c>
      <c r="AN82" s="70">
        <f t="shared" si="70"/>
        <v>49260</v>
      </c>
      <c r="AO82" s="70">
        <f t="shared" si="70"/>
        <v>5797</v>
      </c>
      <c r="AP82" s="70">
        <f t="shared" si="70"/>
        <v>200300</v>
      </c>
      <c r="AQ82" s="70">
        <f t="shared" si="70"/>
        <v>9656</v>
      </c>
      <c r="AR82" s="70">
        <f t="shared" si="70"/>
        <v>76707.75</v>
      </c>
      <c r="AS82" s="70">
        <f t="shared" si="70"/>
        <v>168314</v>
      </c>
      <c r="AT82" s="70">
        <f t="shared" si="70"/>
        <v>141767.04999999999</v>
      </c>
      <c r="AU82" s="70">
        <f t="shared" si="70"/>
        <v>98690</v>
      </c>
      <c r="AV82" s="70">
        <f t="shared" si="70"/>
        <v>36642</v>
      </c>
      <c r="AW82" s="70">
        <f t="shared" si="70"/>
        <v>58983</v>
      </c>
      <c r="AX82" s="70">
        <f t="shared" si="70"/>
        <v>0</v>
      </c>
      <c r="AY82" s="70">
        <f t="shared" si="70"/>
        <v>0</v>
      </c>
      <c r="AZ82" s="70">
        <f t="shared" si="70"/>
        <v>18782.5</v>
      </c>
      <c r="BA82" s="70">
        <f t="shared" si="70"/>
        <v>115050</v>
      </c>
      <c r="BB82" s="70">
        <f t="shared" si="70"/>
        <v>48455.85</v>
      </c>
      <c r="BC82" s="70">
        <f t="shared" si="70"/>
        <v>0</v>
      </c>
      <c r="BD82" s="70">
        <f t="shared" si="70"/>
        <v>3323252.15</v>
      </c>
      <c r="BE82" s="70">
        <f t="shared" si="70"/>
        <v>0</v>
      </c>
      <c r="BF82" s="70">
        <f t="shared" ref="BF82" si="71">BF83</f>
        <v>18327626.530000001</v>
      </c>
      <c r="BG82" s="70">
        <f t="shared" ref="BG82" si="72">BG83</f>
        <v>9643315.5999999996</v>
      </c>
      <c r="BH82" s="70">
        <f t="shared" ref="BH82" si="73">BH83</f>
        <v>4214885.78</v>
      </c>
      <c r="BI82" s="70">
        <f t="shared" ref="BI82" si="74">BI83</f>
        <v>4469425.1500000004</v>
      </c>
    </row>
    <row r="83" spans="1:61" x14ac:dyDescent="0.3">
      <c r="C83">
        <v>590</v>
      </c>
      <c r="D83" t="s">
        <v>491</v>
      </c>
      <c r="E83" s="4">
        <v>520000</v>
      </c>
      <c r="F83" s="4">
        <v>219058.75</v>
      </c>
      <c r="G83" s="4">
        <v>1004384.3</v>
      </c>
      <c r="H83" s="4">
        <v>299151.65000000002</v>
      </c>
      <c r="I83" s="4">
        <v>125435.9</v>
      </c>
      <c r="J83" s="4">
        <v>773321.15</v>
      </c>
      <c r="K83" s="4">
        <v>0</v>
      </c>
      <c r="L83" s="4">
        <v>3093083.45</v>
      </c>
      <c r="M83" s="4">
        <v>0</v>
      </c>
      <c r="N83" s="4">
        <v>0</v>
      </c>
      <c r="O83" s="4">
        <v>1113465.6499999999</v>
      </c>
      <c r="P83" s="4">
        <v>144165</v>
      </c>
      <c r="Q83" s="4">
        <v>0</v>
      </c>
      <c r="R83" s="4">
        <v>0</v>
      </c>
      <c r="S83" s="4">
        <v>0</v>
      </c>
      <c r="T83" s="4">
        <v>25394</v>
      </c>
      <c r="U83" s="4">
        <v>16987.7</v>
      </c>
      <c r="V83" s="4">
        <v>312999.09999999998</v>
      </c>
      <c r="W83" s="4">
        <v>1995868.95</v>
      </c>
      <c r="X83" s="4">
        <v>48040</v>
      </c>
      <c r="Y83" s="4">
        <v>1664429.65</v>
      </c>
      <c r="Z83" s="4">
        <v>0</v>
      </c>
      <c r="AA83" s="4">
        <v>0</v>
      </c>
      <c r="AB83" s="4">
        <v>433035</v>
      </c>
      <c r="AC83" s="4">
        <v>7475</v>
      </c>
      <c r="AD83" s="4">
        <v>47972.93</v>
      </c>
      <c r="AE83" s="4">
        <v>194701</v>
      </c>
      <c r="AF83" s="4">
        <v>471042</v>
      </c>
      <c r="AG83" s="4">
        <v>275505.7</v>
      </c>
      <c r="AH83" s="4">
        <v>527484.5</v>
      </c>
      <c r="AI83" s="4">
        <v>20900</v>
      </c>
      <c r="AJ83" s="4">
        <v>524300</v>
      </c>
      <c r="AK83" s="4">
        <v>0</v>
      </c>
      <c r="AL83" s="4">
        <v>111328.8</v>
      </c>
      <c r="AM83" s="4">
        <v>6439.05</v>
      </c>
      <c r="AN83" s="4">
        <v>49260</v>
      </c>
      <c r="AO83" s="4">
        <v>5797</v>
      </c>
      <c r="AP83" s="4">
        <v>200300</v>
      </c>
      <c r="AQ83" s="4">
        <v>9656</v>
      </c>
      <c r="AR83" s="4">
        <v>76707.75</v>
      </c>
      <c r="AS83" s="4">
        <v>168314</v>
      </c>
      <c r="AT83" s="4">
        <v>141767.04999999999</v>
      </c>
      <c r="AU83" s="4">
        <v>98690</v>
      </c>
      <c r="AV83" s="4">
        <v>36642</v>
      </c>
      <c r="AW83" s="4">
        <v>58983</v>
      </c>
      <c r="AX83" s="4">
        <v>0</v>
      </c>
      <c r="AY83" s="4">
        <v>0</v>
      </c>
      <c r="AZ83" s="4">
        <v>18782.5</v>
      </c>
      <c r="BA83" s="4">
        <v>115050</v>
      </c>
      <c r="BB83" s="4">
        <v>48455.85</v>
      </c>
      <c r="BC83" s="4">
        <v>0</v>
      </c>
      <c r="BD83" s="4">
        <v>3323252.15</v>
      </c>
      <c r="BE83" s="4">
        <v>0</v>
      </c>
      <c r="BF83" s="4">
        <f t="shared" ref="BF83" si="75">SUM(E83:BE83)</f>
        <v>18327626.530000001</v>
      </c>
      <c r="BG83" s="4">
        <f t="shared" ref="BG83" si="76">SUM(E83:W83)</f>
        <v>9643315.5999999996</v>
      </c>
      <c r="BH83" s="4">
        <f t="shared" ref="BH83" si="77">SUM(X83:AJ83)</f>
        <v>4214885.78</v>
      </c>
      <c r="BI83" s="4">
        <f t="shared" ref="BI83" si="78">SUM(AK83:BE83)</f>
        <v>4469425.1500000004</v>
      </c>
    </row>
    <row r="84" spans="1:61" x14ac:dyDescent="0.3">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3">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3">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4">
      <c r="A87" s="104">
        <v>6</v>
      </c>
      <c r="B87" s="104"/>
      <c r="C87" s="104"/>
      <c r="D87" s="104" t="s">
        <v>492</v>
      </c>
      <c r="E87" s="95">
        <f>E88+E98+E108+E113+E124+E135+E146+E157+E168</f>
        <v>520000</v>
      </c>
      <c r="F87" s="95">
        <f t="shared" ref="F87:BI87" si="79">F88+F98+F108+F113+F124+F135+F146+F157+F168</f>
        <v>293540</v>
      </c>
      <c r="G87" s="95">
        <f t="shared" si="79"/>
        <v>1004384.2999999999</v>
      </c>
      <c r="H87" s="95">
        <f t="shared" si="79"/>
        <v>299151.65000000002</v>
      </c>
      <c r="I87" s="95">
        <f t="shared" si="79"/>
        <v>125435.9</v>
      </c>
      <c r="J87" s="95">
        <f t="shared" si="79"/>
        <v>773321.15</v>
      </c>
      <c r="K87" s="95">
        <f t="shared" si="79"/>
        <v>96070</v>
      </c>
      <c r="L87" s="95">
        <f t="shared" si="79"/>
        <v>3093083.45</v>
      </c>
      <c r="M87" s="95">
        <f t="shared" si="79"/>
        <v>0</v>
      </c>
      <c r="N87" s="95">
        <f t="shared" si="79"/>
        <v>0</v>
      </c>
      <c r="O87" s="95">
        <f t="shared" si="79"/>
        <v>1113465.6499999999</v>
      </c>
      <c r="P87" s="95">
        <f t="shared" si="79"/>
        <v>144165</v>
      </c>
      <c r="Q87" s="95">
        <f t="shared" si="79"/>
        <v>0</v>
      </c>
      <c r="R87" s="95">
        <f t="shared" si="79"/>
        <v>0</v>
      </c>
      <c r="S87" s="95">
        <f t="shared" si="79"/>
        <v>0</v>
      </c>
      <c r="T87" s="95">
        <f t="shared" si="79"/>
        <v>25394</v>
      </c>
      <c r="U87" s="95">
        <f t="shared" si="79"/>
        <v>16987.7</v>
      </c>
      <c r="V87" s="95">
        <f t="shared" si="79"/>
        <v>312999.09999999998</v>
      </c>
      <c r="W87" s="95">
        <f t="shared" si="79"/>
        <v>1995868.95</v>
      </c>
      <c r="X87" s="95">
        <f t="shared" si="79"/>
        <v>48040</v>
      </c>
      <c r="Y87" s="95">
        <f t="shared" si="79"/>
        <v>1165367.0499999998</v>
      </c>
      <c r="Z87" s="95">
        <f t="shared" si="79"/>
        <v>73879</v>
      </c>
      <c r="AA87" s="95">
        <f t="shared" si="79"/>
        <v>0</v>
      </c>
      <c r="AB87" s="95">
        <f t="shared" si="79"/>
        <v>433035</v>
      </c>
      <c r="AC87" s="95">
        <f t="shared" si="79"/>
        <v>7475</v>
      </c>
      <c r="AD87" s="95">
        <f t="shared" si="79"/>
        <v>47972.93</v>
      </c>
      <c r="AE87" s="95">
        <f t="shared" si="79"/>
        <v>194701</v>
      </c>
      <c r="AF87" s="95">
        <f t="shared" si="79"/>
        <v>471042</v>
      </c>
      <c r="AG87" s="95">
        <f t="shared" si="79"/>
        <v>275505.7</v>
      </c>
      <c r="AH87" s="95">
        <f t="shared" si="79"/>
        <v>527484.5</v>
      </c>
      <c r="AI87" s="95">
        <f t="shared" si="79"/>
        <v>20900</v>
      </c>
      <c r="AJ87" s="95">
        <f t="shared" si="79"/>
        <v>524300</v>
      </c>
      <c r="AK87" s="95">
        <f t="shared" si="79"/>
        <v>0</v>
      </c>
      <c r="AL87" s="95">
        <f t="shared" si="79"/>
        <v>111328.8</v>
      </c>
      <c r="AM87" s="95">
        <f t="shared" si="79"/>
        <v>6439.0499999999993</v>
      </c>
      <c r="AN87" s="95">
        <f t="shared" si="79"/>
        <v>49260</v>
      </c>
      <c r="AO87" s="95">
        <f t="shared" si="79"/>
        <v>0</v>
      </c>
      <c r="AP87" s="95">
        <f t="shared" si="79"/>
        <v>210225.55</v>
      </c>
      <c r="AQ87" s="95">
        <f t="shared" si="79"/>
        <v>9656</v>
      </c>
      <c r="AR87" s="95">
        <f t="shared" si="79"/>
        <v>753030</v>
      </c>
      <c r="AS87" s="95">
        <f t="shared" si="79"/>
        <v>168314</v>
      </c>
      <c r="AT87" s="95">
        <f t="shared" si="79"/>
        <v>128230</v>
      </c>
      <c r="AU87" s="95">
        <f t="shared" si="79"/>
        <v>98690</v>
      </c>
      <c r="AV87" s="95">
        <f t="shared" si="79"/>
        <v>36642</v>
      </c>
      <c r="AW87" s="95">
        <f t="shared" si="79"/>
        <v>58983</v>
      </c>
      <c r="AX87" s="95">
        <f t="shared" si="79"/>
        <v>0</v>
      </c>
      <c r="AY87" s="95">
        <f t="shared" si="79"/>
        <v>0</v>
      </c>
      <c r="AZ87" s="95">
        <f t="shared" si="79"/>
        <v>18782.5</v>
      </c>
      <c r="BA87" s="95">
        <f t="shared" si="79"/>
        <v>115050</v>
      </c>
      <c r="BB87" s="95">
        <f t="shared" si="79"/>
        <v>48455.85</v>
      </c>
      <c r="BC87" s="95">
        <f t="shared" si="79"/>
        <v>0</v>
      </c>
      <c r="BD87" s="95">
        <f t="shared" si="79"/>
        <v>3343252.15</v>
      </c>
      <c r="BE87" s="95">
        <f t="shared" si="79"/>
        <v>0</v>
      </c>
      <c r="BF87" s="95">
        <f t="shared" si="79"/>
        <v>18759907.93</v>
      </c>
      <c r="BG87" s="95">
        <f t="shared" si="79"/>
        <v>9813866.8499999996</v>
      </c>
      <c r="BH87" s="95">
        <f t="shared" si="79"/>
        <v>3789702.1799999997</v>
      </c>
      <c r="BI87" s="95">
        <f t="shared" si="79"/>
        <v>5156338.9000000004</v>
      </c>
    </row>
    <row r="88" spans="1:61" x14ac:dyDescent="0.3">
      <c r="A88" s="7"/>
      <c r="B88" s="105">
        <v>60</v>
      </c>
      <c r="C88" s="105"/>
      <c r="D88" s="105" t="s">
        <v>493</v>
      </c>
      <c r="E88" s="103">
        <f>E89+E90+E91+E92+E93+E94+E95+E96</f>
        <v>0</v>
      </c>
      <c r="F88" s="103">
        <f t="shared" ref="F88:BI88" si="80">F89+F90+F91+F92+F93+F94+F95+F96</f>
        <v>0</v>
      </c>
      <c r="G88" s="103">
        <f t="shared" si="80"/>
        <v>0</v>
      </c>
      <c r="H88" s="103">
        <f t="shared" si="80"/>
        <v>299151.65000000002</v>
      </c>
      <c r="I88" s="103">
        <f t="shared" si="80"/>
        <v>0</v>
      </c>
      <c r="J88" s="103">
        <f t="shared" si="80"/>
        <v>0</v>
      </c>
      <c r="K88" s="103">
        <f t="shared" si="80"/>
        <v>96070</v>
      </c>
      <c r="L88" s="103">
        <f t="shared" si="80"/>
        <v>0</v>
      </c>
      <c r="M88" s="103">
        <f t="shared" si="80"/>
        <v>0</v>
      </c>
      <c r="N88" s="103">
        <f t="shared" si="80"/>
        <v>0</v>
      </c>
      <c r="O88" s="103">
        <f t="shared" si="80"/>
        <v>15000</v>
      </c>
      <c r="P88" s="103">
        <f t="shared" si="80"/>
        <v>144165</v>
      </c>
      <c r="Q88" s="103">
        <f t="shared" si="80"/>
        <v>0</v>
      </c>
      <c r="R88" s="103">
        <f t="shared" si="80"/>
        <v>0</v>
      </c>
      <c r="S88" s="103">
        <f t="shared" si="80"/>
        <v>0</v>
      </c>
      <c r="T88" s="103">
        <f t="shared" si="80"/>
        <v>10600</v>
      </c>
      <c r="U88" s="103">
        <f t="shared" si="80"/>
        <v>0</v>
      </c>
      <c r="V88" s="103">
        <f t="shared" si="80"/>
        <v>0</v>
      </c>
      <c r="W88" s="103">
        <f t="shared" si="80"/>
        <v>0</v>
      </c>
      <c r="X88" s="103">
        <f t="shared" si="80"/>
        <v>0</v>
      </c>
      <c r="Y88" s="103">
        <f t="shared" si="80"/>
        <v>2450.65</v>
      </c>
      <c r="Z88" s="103">
        <f t="shared" si="80"/>
        <v>0</v>
      </c>
      <c r="AA88" s="103">
        <f t="shared" si="80"/>
        <v>0</v>
      </c>
      <c r="AB88" s="103">
        <f t="shared" si="80"/>
        <v>0</v>
      </c>
      <c r="AC88" s="103">
        <f t="shared" si="80"/>
        <v>7475</v>
      </c>
      <c r="AD88" s="103">
        <f t="shared" si="80"/>
        <v>27972.93</v>
      </c>
      <c r="AE88" s="103">
        <f t="shared" si="80"/>
        <v>0</v>
      </c>
      <c r="AF88" s="103">
        <f t="shared" si="80"/>
        <v>0</v>
      </c>
      <c r="AG88" s="103">
        <f t="shared" si="80"/>
        <v>0</v>
      </c>
      <c r="AH88" s="103">
        <f t="shared" si="80"/>
        <v>0</v>
      </c>
      <c r="AI88" s="103">
        <f t="shared" si="80"/>
        <v>0</v>
      </c>
      <c r="AJ88" s="103">
        <f t="shared" si="80"/>
        <v>142000</v>
      </c>
      <c r="AK88" s="103">
        <f t="shared" si="80"/>
        <v>0</v>
      </c>
      <c r="AL88" s="103">
        <f t="shared" si="80"/>
        <v>106786.55</v>
      </c>
      <c r="AM88" s="103">
        <f t="shared" si="80"/>
        <v>0</v>
      </c>
      <c r="AN88" s="103">
        <f t="shared" si="80"/>
        <v>0</v>
      </c>
      <c r="AO88" s="103">
        <f t="shared" si="80"/>
        <v>0</v>
      </c>
      <c r="AP88" s="103">
        <f t="shared" si="80"/>
        <v>0</v>
      </c>
      <c r="AQ88" s="103">
        <f t="shared" si="80"/>
        <v>0</v>
      </c>
      <c r="AR88" s="103">
        <f t="shared" si="80"/>
        <v>0</v>
      </c>
      <c r="AS88" s="103">
        <f t="shared" si="80"/>
        <v>53516</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2723690</v>
      </c>
      <c r="BE88" s="103">
        <f t="shared" si="80"/>
        <v>0</v>
      </c>
      <c r="BF88" s="103">
        <f t="shared" si="80"/>
        <v>3628877.78</v>
      </c>
      <c r="BG88" s="103">
        <f t="shared" si="80"/>
        <v>564986.65</v>
      </c>
      <c r="BH88" s="103">
        <f t="shared" si="80"/>
        <v>179898.58</v>
      </c>
      <c r="BI88" s="103">
        <f t="shared" si="80"/>
        <v>2883992.55</v>
      </c>
    </row>
    <row r="89" spans="1:61" x14ac:dyDescent="0.3">
      <c r="C89">
        <v>600</v>
      </c>
      <c r="D89" t="s">
        <v>467</v>
      </c>
      <c r="E89" s="4">
        <v>0</v>
      </c>
      <c r="F89" s="4">
        <v>0</v>
      </c>
      <c r="G89" s="4">
        <v>0</v>
      </c>
      <c r="H89" s="4">
        <v>0</v>
      </c>
      <c r="I89" s="4">
        <v>0</v>
      </c>
      <c r="J89" s="4">
        <v>0</v>
      </c>
      <c r="K89" s="4">
        <v>0</v>
      </c>
      <c r="L89" s="4">
        <v>0</v>
      </c>
      <c r="M89" s="4">
        <v>0</v>
      </c>
      <c r="N89" s="4">
        <v>0</v>
      </c>
      <c r="O89" s="4">
        <v>0</v>
      </c>
      <c r="P89" s="4">
        <v>0</v>
      </c>
      <c r="Q89" s="4">
        <v>0</v>
      </c>
      <c r="R89" s="4">
        <v>0</v>
      </c>
      <c r="S89" s="4">
        <v>0</v>
      </c>
      <c r="T89" s="4">
        <v>10600</v>
      </c>
      <c r="U89" s="4">
        <v>0</v>
      </c>
      <c r="V89" s="4">
        <v>0</v>
      </c>
      <c r="W89" s="4">
        <v>0</v>
      </c>
      <c r="X89" s="4">
        <v>0</v>
      </c>
      <c r="Y89" s="4">
        <v>0</v>
      </c>
      <c r="Z89" s="4">
        <v>0</v>
      </c>
      <c r="AA89" s="4">
        <v>0</v>
      </c>
      <c r="AB89" s="4">
        <v>0</v>
      </c>
      <c r="AC89" s="4">
        <v>7475</v>
      </c>
      <c r="AD89" s="4">
        <v>20000</v>
      </c>
      <c r="AE89" s="4">
        <v>0</v>
      </c>
      <c r="AF89" s="4">
        <v>0</v>
      </c>
      <c r="AG89" s="4">
        <v>0</v>
      </c>
      <c r="AH89" s="4">
        <v>0</v>
      </c>
      <c r="AI89" s="4">
        <v>0</v>
      </c>
      <c r="AJ89" s="4">
        <v>0</v>
      </c>
      <c r="AK89" s="4">
        <v>0</v>
      </c>
      <c r="AL89" s="4">
        <v>0</v>
      </c>
      <c r="AM89" s="4">
        <v>0</v>
      </c>
      <c r="AN89" s="4">
        <v>0</v>
      </c>
      <c r="AO89" s="4">
        <v>0</v>
      </c>
      <c r="AP89" s="4">
        <v>0</v>
      </c>
      <c r="AQ89" s="4">
        <v>0</v>
      </c>
      <c r="AR89" s="4">
        <v>0</v>
      </c>
      <c r="AS89" s="4">
        <v>53516</v>
      </c>
      <c r="AT89" s="4">
        <v>0</v>
      </c>
      <c r="AU89" s="4">
        <v>0</v>
      </c>
      <c r="AV89" s="4">
        <v>0</v>
      </c>
      <c r="AW89" s="4">
        <v>0</v>
      </c>
      <c r="AX89" s="4">
        <v>0</v>
      </c>
      <c r="AY89" s="4">
        <v>0</v>
      </c>
      <c r="AZ89" s="4">
        <v>0</v>
      </c>
      <c r="BA89" s="4">
        <v>0</v>
      </c>
      <c r="BB89" s="4">
        <v>0</v>
      </c>
      <c r="BC89" s="4">
        <v>0</v>
      </c>
      <c r="BD89" s="4">
        <v>1173690</v>
      </c>
      <c r="BE89" s="4">
        <v>0</v>
      </c>
      <c r="BF89" s="4">
        <f t="shared" ref="BF89:BF96" si="81">SUM(E89:BE89)</f>
        <v>1265281</v>
      </c>
      <c r="BG89" s="4">
        <f t="shared" ref="BG89:BG96" si="82">SUM(E89:W89)</f>
        <v>10600</v>
      </c>
      <c r="BH89" s="4">
        <f t="shared" ref="BH89:BH96" si="83">SUM(X89:AJ89)</f>
        <v>27475</v>
      </c>
      <c r="BI89" s="4">
        <f t="shared" ref="BI89:BI96" si="84">SUM(AK89:BE89)</f>
        <v>1227206</v>
      </c>
    </row>
    <row r="90" spans="1:61" x14ac:dyDescent="0.3">
      <c r="C90">
        <v>601</v>
      </c>
      <c r="D90" t="s">
        <v>468</v>
      </c>
      <c r="E90" s="4">
        <v>0</v>
      </c>
      <c r="F90" s="4">
        <v>0</v>
      </c>
      <c r="G90" s="4">
        <v>0</v>
      </c>
      <c r="H90" s="4">
        <v>299151.65000000002</v>
      </c>
      <c r="I90" s="4">
        <v>0</v>
      </c>
      <c r="J90" s="4">
        <v>0</v>
      </c>
      <c r="K90" s="4">
        <v>0</v>
      </c>
      <c r="L90" s="4">
        <v>0</v>
      </c>
      <c r="M90" s="4">
        <v>0</v>
      </c>
      <c r="N90" s="4">
        <v>0</v>
      </c>
      <c r="O90" s="4">
        <v>0</v>
      </c>
      <c r="P90" s="4">
        <v>144165</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142000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585316.65</v>
      </c>
      <c r="BG90" s="4">
        <f t="shared" si="82"/>
        <v>443316.65</v>
      </c>
      <c r="BH90" s="4">
        <f t="shared" si="83"/>
        <v>142000</v>
      </c>
      <c r="BI90" s="4">
        <f t="shared" si="84"/>
        <v>0</v>
      </c>
    </row>
    <row r="91" spans="1:61" x14ac:dyDescent="0.3">
      <c r="C91">
        <v>602</v>
      </c>
      <c r="D91" t="s">
        <v>469</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3">
      <c r="C92">
        <v>603</v>
      </c>
      <c r="D92" t="s">
        <v>470</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106786.55</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106786.55</v>
      </c>
      <c r="BG92" s="4">
        <f t="shared" si="82"/>
        <v>0</v>
      </c>
      <c r="BH92" s="4">
        <f t="shared" si="83"/>
        <v>0</v>
      </c>
      <c r="BI92" s="4">
        <f t="shared" si="84"/>
        <v>106786.55</v>
      </c>
    </row>
    <row r="93" spans="1:61" x14ac:dyDescent="0.3">
      <c r="C93">
        <v>604</v>
      </c>
      <c r="D93" t="s">
        <v>471</v>
      </c>
      <c r="E93" s="4">
        <v>0</v>
      </c>
      <c r="F93" s="4">
        <v>0</v>
      </c>
      <c r="G93" s="4">
        <v>0</v>
      </c>
      <c r="H93" s="4">
        <v>0</v>
      </c>
      <c r="I93" s="4">
        <v>0</v>
      </c>
      <c r="J93" s="4">
        <v>0</v>
      </c>
      <c r="K93" s="4">
        <v>96070</v>
      </c>
      <c r="L93" s="4">
        <v>0</v>
      </c>
      <c r="M93" s="4">
        <v>0</v>
      </c>
      <c r="N93" s="4">
        <v>0</v>
      </c>
      <c r="O93" s="4">
        <v>15000</v>
      </c>
      <c r="P93" s="4">
        <v>0</v>
      </c>
      <c r="Q93" s="4">
        <v>0</v>
      </c>
      <c r="R93" s="4">
        <v>0</v>
      </c>
      <c r="S93" s="4">
        <v>0</v>
      </c>
      <c r="T93" s="4">
        <v>0</v>
      </c>
      <c r="U93" s="4">
        <v>0</v>
      </c>
      <c r="V93" s="4">
        <v>0</v>
      </c>
      <c r="W93" s="4">
        <v>0</v>
      </c>
      <c r="X93" s="4">
        <v>0</v>
      </c>
      <c r="Y93" s="4">
        <v>0</v>
      </c>
      <c r="Z93" s="4">
        <v>0</v>
      </c>
      <c r="AA93" s="4">
        <v>0</v>
      </c>
      <c r="AB93" s="4">
        <v>0</v>
      </c>
      <c r="AC93" s="4">
        <v>0</v>
      </c>
      <c r="AD93" s="4">
        <v>7972.93</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1550000</v>
      </c>
      <c r="BE93" s="4">
        <v>0</v>
      </c>
      <c r="BF93" s="4">
        <f t="shared" si="81"/>
        <v>1669042.93</v>
      </c>
      <c r="BG93" s="4">
        <f t="shared" si="82"/>
        <v>111070</v>
      </c>
      <c r="BH93" s="4">
        <f t="shared" si="83"/>
        <v>7972.93</v>
      </c>
      <c r="BI93" s="4">
        <f t="shared" si="84"/>
        <v>1550000</v>
      </c>
    </row>
    <row r="94" spans="1:61" x14ac:dyDescent="0.3">
      <c r="C94">
        <v>605</v>
      </c>
      <c r="D94" t="s">
        <v>472</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3">
      <c r="C95">
        <v>606</v>
      </c>
      <c r="D95" t="s">
        <v>473</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C95" s="4">
        <v>0</v>
      </c>
      <c r="BD95" s="4">
        <v>0</v>
      </c>
      <c r="BE95" s="4">
        <v>0</v>
      </c>
      <c r="BF95" s="4">
        <f t="shared" si="81"/>
        <v>0</v>
      </c>
      <c r="BG95" s="4">
        <f t="shared" si="82"/>
        <v>0</v>
      </c>
      <c r="BH95" s="4">
        <f t="shared" si="83"/>
        <v>0</v>
      </c>
      <c r="BI95" s="4">
        <f t="shared" si="84"/>
        <v>0</v>
      </c>
    </row>
    <row r="96" spans="1:61" x14ac:dyDescent="0.3">
      <c r="C96">
        <v>609</v>
      </c>
      <c r="D96" t="s">
        <v>474</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2450.65</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2450.65</v>
      </c>
      <c r="BG96" s="4">
        <f t="shared" si="82"/>
        <v>0</v>
      </c>
      <c r="BH96" s="4">
        <f t="shared" si="83"/>
        <v>2450.65</v>
      </c>
      <c r="BI96" s="4">
        <f t="shared" si="84"/>
        <v>0</v>
      </c>
    </row>
    <row r="97" spans="2:61" x14ac:dyDescent="0.3">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3">
      <c r="B98" s="105">
        <v>61</v>
      </c>
      <c r="C98" s="105"/>
      <c r="D98" s="105" t="s">
        <v>494</v>
      </c>
      <c r="E98" s="103">
        <f>E99+E100+E101+E102+E103+E104+E105+E106</f>
        <v>0</v>
      </c>
      <c r="F98" s="103">
        <f t="shared" ref="F98:BI98" si="85">F99+F100+F101+F102+F103+F104+F105+F106</f>
        <v>0</v>
      </c>
      <c r="G98" s="103">
        <f t="shared" si="85"/>
        <v>0</v>
      </c>
      <c r="H98" s="103">
        <f t="shared" si="85"/>
        <v>0</v>
      </c>
      <c r="I98" s="103">
        <f t="shared" si="85"/>
        <v>0</v>
      </c>
      <c r="J98" s="103">
        <f t="shared" si="85"/>
        <v>4080</v>
      </c>
      <c r="K98" s="103">
        <f t="shared" si="85"/>
        <v>0</v>
      </c>
      <c r="L98" s="103">
        <f t="shared" si="85"/>
        <v>177710</v>
      </c>
      <c r="M98" s="103">
        <f t="shared" si="85"/>
        <v>0</v>
      </c>
      <c r="N98" s="103">
        <f t="shared" si="85"/>
        <v>0</v>
      </c>
      <c r="O98" s="103">
        <f t="shared" si="85"/>
        <v>175804.79999999999</v>
      </c>
      <c r="P98" s="103">
        <f t="shared" si="85"/>
        <v>0</v>
      </c>
      <c r="Q98" s="103">
        <f t="shared" si="85"/>
        <v>0</v>
      </c>
      <c r="R98" s="103">
        <f t="shared" si="85"/>
        <v>0</v>
      </c>
      <c r="S98" s="103">
        <f t="shared" si="85"/>
        <v>0</v>
      </c>
      <c r="T98" s="103">
        <f t="shared" si="85"/>
        <v>0</v>
      </c>
      <c r="U98" s="103">
        <f t="shared" si="85"/>
        <v>16987.7</v>
      </c>
      <c r="V98" s="103">
        <f t="shared" si="85"/>
        <v>35035.85</v>
      </c>
      <c r="W98" s="103">
        <f t="shared" si="85"/>
        <v>0</v>
      </c>
      <c r="X98" s="103">
        <f t="shared" si="85"/>
        <v>48040</v>
      </c>
      <c r="Y98" s="103">
        <f t="shared" si="85"/>
        <v>3000</v>
      </c>
      <c r="Z98" s="103">
        <f t="shared" si="85"/>
        <v>73879</v>
      </c>
      <c r="AA98" s="103">
        <f t="shared" si="85"/>
        <v>0</v>
      </c>
      <c r="AB98" s="103">
        <f t="shared" si="85"/>
        <v>0</v>
      </c>
      <c r="AC98" s="103">
        <f t="shared" si="85"/>
        <v>0</v>
      </c>
      <c r="AD98" s="103">
        <f t="shared" si="85"/>
        <v>0</v>
      </c>
      <c r="AE98" s="103">
        <f t="shared" si="85"/>
        <v>194701</v>
      </c>
      <c r="AF98" s="103">
        <f t="shared" si="85"/>
        <v>0</v>
      </c>
      <c r="AG98" s="103">
        <f t="shared" si="85"/>
        <v>231684.3</v>
      </c>
      <c r="AH98" s="103">
        <f t="shared" si="85"/>
        <v>502077.1</v>
      </c>
      <c r="AI98" s="103">
        <f t="shared" si="85"/>
        <v>0</v>
      </c>
      <c r="AJ98" s="103">
        <f t="shared" si="85"/>
        <v>0</v>
      </c>
      <c r="AK98" s="103">
        <f t="shared" si="85"/>
        <v>0</v>
      </c>
      <c r="AL98" s="103">
        <f t="shared" si="85"/>
        <v>0</v>
      </c>
      <c r="AM98" s="103">
        <f t="shared" si="85"/>
        <v>1869.4</v>
      </c>
      <c r="AN98" s="103">
        <f t="shared" si="85"/>
        <v>0</v>
      </c>
      <c r="AO98" s="103">
        <f t="shared" si="85"/>
        <v>0</v>
      </c>
      <c r="AP98" s="103">
        <f t="shared" si="85"/>
        <v>0</v>
      </c>
      <c r="AQ98" s="103">
        <f t="shared" si="85"/>
        <v>0</v>
      </c>
      <c r="AR98" s="103">
        <f t="shared" si="85"/>
        <v>30000</v>
      </c>
      <c r="AS98" s="103">
        <f t="shared" si="85"/>
        <v>0</v>
      </c>
      <c r="AT98" s="103">
        <f t="shared" si="85"/>
        <v>0</v>
      </c>
      <c r="AU98" s="103">
        <f t="shared" si="85"/>
        <v>53690</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0</v>
      </c>
      <c r="BE98" s="103">
        <f t="shared" si="85"/>
        <v>0</v>
      </c>
      <c r="BF98" s="103">
        <f t="shared" si="85"/>
        <v>1548559.1500000001</v>
      </c>
      <c r="BG98" s="103">
        <f t="shared" si="85"/>
        <v>409618.35</v>
      </c>
      <c r="BH98" s="103">
        <f t="shared" si="85"/>
        <v>1053381.3999999999</v>
      </c>
      <c r="BI98" s="103">
        <f t="shared" si="85"/>
        <v>85559.4</v>
      </c>
    </row>
    <row r="99" spans="2:61" x14ac:dyDescent="0.3">
      <c r="C99">
        <v>610</v>
      </c>
      <c r="D99" t="s">
        <v>467</v>
      </c>
      <c r="E99" s="4">
        <v>0</v>
      </c>
      <c r="F99" s="4">
        <v>0</v>
      </c>
      <c r="G99" s="4">
        <v>0</v>
      </c>
      <c r="H99" s="4">
        <v>0</v>
      </c>
      <c r="I99" s="4">
        <v>0</v>
      </c>
      <c r="J99" s="4">
        <v>0</v>
      </c>
      <c r="K99" s="4">
        <v>0</v>
      </c>
      <c r="L99" s="4">
        <v>173960</v>
      </c>
      <c r="M99" s="4">
        <v>0</v>
      </c>
      <c r="N99" s="4">
        <v>0</v>
      </c>
      <c r="O99" s="4">
        <v>0</v>
      </c>
      <c r="P99" s="4">
        <v>0</v>
      </c>
      <c r="Q99" s="4">
        <v>0</v>
      </c>
      <c r="R99" s="4">
        <v>0</v>
      </c>
      <c r="S99" s="4">
        <v>0</v>
      </c>
      <c r="T99" s="4">
        <v>0</v>
      </c>
      <c r="U99" s="4">
        <v>0</v>
      </c>
      <c r="V99" s="4">
        <v>0</v>
      </c>
      <c r="W99" s="4">
        <v>0</v>
      </c>
      <c r="X99" s="4">
        <v>0</v>
      </c>
      <c r="Y99" s="4">
        <v>0</v>
      </c>
      <c r="Z99" s="4">
        <v>15003.5</v>
      </c>
      <c r="AA99" s="4">
        <v>0</v>
      </c>
      <c r="AB99" s="4">
        <v>0</v>
      </c>
      <c r="AC99" s="4">
        <v>0</v>
      </c>
      <c r="AD99" s="4">
        <v>0</v>
      </c>
      <c r="AE99" s="4">
        <v>0</v>
      </c>
      <c r="AF99" s="4">
        <v>0</v>
      </c>
      <c r="AG99" s="4">
        <v>0</v>
      </c>
      <c r="AH99" s="4">
        <v>502077.1</v>
      </c>
      <c r="AI99" s="4">
        <v>0</v>
      </c>
      <c r="AJ99" s="4">
        <v>0</v>
      </c>
      <c r="AK99" s="4">
        <v>0</v>
      </c>
      <c r="AL99" s="4">
        <v>0</v>
      </c>
      <c r="AM99" s="4">
        <v>0</v>
      </c>
      <c r="AN99" s="4">
        <v>0</v>
      </c>
      <c r="AO99" s="4">
        <v>0</v>
      </c>
      <c r="AP99" s="4">
        <v>0</v>
      </c>
      <c r="AQ99" s="4">
        <v>0</v>
      </c>
      <c r="AR99" s="4">
        <v>0</v>
      </c>
      <c r="AS99" s="4">
        <v>0</v>
      </c>
      <c r="AT99" s="4">
        <v>0</v>
      </c>
      <c r="AU99" s="4">
        <v>53690</v>
      </c>
      <c r="AV99" s="4">
        <v>0</v>
      </c>
      <c r="AW99" s="4">
        <v>0</v>
      </c>
      <c r="AX99" s="4">
        <v>0</v>
      </c>
      <c r="AY99" s="4">
        <v>0</v>
      </c>
      <c r="AZ99" s="4">
        <v>0</v>
      </c>
      <c r="BA99" s="4">
        <v>0</v>
      </c>
      <c r="BB99" s="4">
        <v>0</v>
      </c>
      <c r="BC99" s="4">
        <v>0</v>
      </c>
      <c r="BD99" s="4">
        <v>0</v>
      </c>
      <c r="BE99" s="4">
        <v>0</v>
      </c>
      <c r="BF99" s="4">
        <f t="shared" ref="BF99:BF106" si="86">SUM(E99:BE99)</f>
        <v>744730.6</v>
      </c>
      <c r="BG99" s="4">
        <f t="shared" ref="BG99:BG106" si="87">SUM(E99:W99)</f>
        <v>173960</v>
      </c>
      <c r="BH99" s="4">
        <f t="shared" ref="BH99:BH106" si="88">SUM(X99:AJ99)</f>
        <v>517080.6</v>
      </c>
      <c r="BI99" s="4">
        <f t="shared" ref="BI99:BI106" si="89">SUM(AK99:BE99)</f>
        <v>53690</v>
      </c>
    </row>
    <row r="100" spans="2:61" x14ac:dyDescent="0.3">
      <c r="C100">
        <v>611</v>
      </c>
      <c r="D100" t="s">
        <v>468</v>
      </c>
      <c r="E100" s="4">
        <v>0</v>
      </c>
      <c r="F100" s="4">
        <v>0</v>
      </c>
      <c r="G100" s="4">
        <v>0</v>
      </c>
      <c r="H100" s="4">
        <v>0</v>
      </c>
      <c r="I100" s="4">
        <v>0</v>
      </c>
      <c r="J100" s="4">
        <v>0</v>
      </c>
      <c r="K100" s="4">
        <v>0</v>
      </c>
      <c r="L100" s="4">
        <v>0</v>
      </c>
      <c r="M100" s="4">
        <v>0</v>
      </c>
      <c r="N100" s="4">
        <v>0</v>
      </c>
      <c r="O100" s="4">
        <v>175804.79999999999</v>
      </c>
      <c r="P100" s="4">
        <v>0</v>
      </c>
      <c r="Q100" s="4">
        <v>0</v>
      </c>
      <c r="R100" s="4">
        <v>0</v>
      </c>
      <c r="S100" s="4">
        <v>0</v>
      </c>
      <c r="T100" s="4">
        <v>0</v>
      </c>
      <c r="U100" s="4">
        <v>16987.7</v>
      </c>
      <c r="V100" s="4">
        <v>0</v>
      </c>
      <c r="W100" s="4">
        <v>0</v>
      </c>
      <c r="X100" s="4">
        <v>48040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30000</v>
      </c>
      <c r="AS100" s="4">
        <v>0</v>
      </c>
      <c r="AT100" s="4">
        <v>0</v>
      </c>
      <c r="AU100" s="4">
        <v>0</v>
      </c>
      <c r="AV100" s="4">
        <v>0</v>
      </c>
      <c r="AW100" s="4">
        <v>0</v>
      </c>
      <c r="AX100" s="4">
        <v>0</v>
      </c>
      <c r="AY100" s="4">
        <v>0</v>
      </c>
      <c r="AZ100" s="4">
        <v>0</v>
      </c>
      <c r="BA100" s="4">
        <v>0</v>
      </c>
      <c r="BB100" s="4">
        <v>0</v>
      </c>
      <c r="BC100" s="4">
        <v>0</v>
      </c>
      <c r="BD100" s="4">
        <v>0</v>
      </c>
      <c r="BE100" s="4">
        <v>0</v>
      </c>
      <c r="BF100" s="4">
        <f t="shared" si="86"/>
        <v>270832.5</v>
      </c>
      <c r="BG100" s="4">
        <f t="shared" si="87"/>
        <v>192792.5</v>
      </c>
      <c r="BH100" s="4">
        <f t="shared" si="88"/>
        <v>48040</v>
      </c>
      <c r="BI100" s="4">
        <f t="shared" si="89"/>
        <v>30000</v>
      </c>
    </row>
    <row r="101" spans="2:61" x14ac:dyDescent="0.3">
      <c r="C101">
        <v>612</v>
      </c>
      <c r="D101" t="s">
        <v>469</v>
      </c>
      <c r="E101" s="4">
        <v>0</v>
      </c>
      <c r="F101" s="4">
        <v>0</v>
      </c>
      <c r="G101" s="4">
        <v>0</v>
      </c>
      <c r="H101" s="4">
        <v>0</v>
      </c>
      <c r="I101" s="4">
        <v>0</v>
      </c>
      <c r="J101" s="4">
        <v>4080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1869.4</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5949.4</v>
      </c>
      <c r="BG101" s="4">
        <f t="shared" si="87"/>
        <v>4080</v>
      </c>
      <c r="BH101" s="4">
        <f t="shared" si="88"/>
        <v>0</v>
      </c>
      <c r="BI101" s="4">
        <f t="shared" si="89"/>
        <v>1869.4</v>
      </c>
    </row>
    <row r="102" spans="2:61" x14ac:dyDescent="0.3">
      <c r="C102">
        <v>613</v>
      </c>
      <c r="D102" t="s">
        <v>470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35035.85</v>
      </c>
      <c r="W102" s="4">
        <v>0</v>
      </c>
      <c r="X102" s="4">
        <v>0</v>
      </c>
      <c r="Y102" s="4">
        <v>3000</v>
      </c>
      <c r="Z102" s="4">
        <v>54013.95</v>
      </c>
      <c r="AA102" s="4">
        <v>0</v>
      </c>
      <c r="AB102" s="4">
        <v>0</v>
      </c>
      <c r="AC102" s="4">
        <v>0</v>
      </c>
      <c r="AD102" s="4">
        <v>0</v>
      </c>
      <c r="AE102" s="4">
        <v>194701</v>
      </c>
      <c r="AF102" s="4">
        <v>0</v>
      </c>
      <c r="AG102" s="4">
        <v>221684.3</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86"/>
        <v>508435.1</v>
      </c>
      <c r="BG102" s="4">
        <f t="shared" si="87"/>
        <v>35035.85</v>
      </c>
      <c r="BH102" s="4">
        <f t="shared" si="88"/>
        <v>473399.25</v>
      </c>
      <c r="BI102" s="4">
        <f t="shared" si="89"/>
        <v>0</v>
      </c>
    </row>
    <row r="103" spans="2:61" x14ac:dyDescent="0.3">
      <c r="C103">
        <v>614</v>
      </c>
      <c r="D103" t="s">
        <v>471</v>
      </c>
      <c r="E103" s="4">
        <v>0</v>
      </c>
      <c r="F103" s="4">
        <v>0</v>
      </c>
      <c r="G103" s="4">
        <v>0</v>
      </c>
      <c r="H103" s="4">
        <v>0</v>
      </c>
      <c r="I103" s="4">
        <v>0</v>
      </c>
      <c r="J103" s="4">
        <v>0</v>
      </c>
      <c r="K103" s="4">
        <v>0</v>
      </c>
      <c r="L103" s="4">
        <v>3750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3750</v>
      </c>
      <c r="BG103" s="4">
        <f t="shared" si="87"/>
        <v>3750</v>
      </c>
      <c r="BH103" s="4">
        <f t="shared" si="88"/>
        <v>0</v>
      </c>
      <c r="BI103" s="4">
        <f t="shared" si="89"/>
        <v>0</v>
      </c>
    </row>
    <row r="104" spans="2:61" x14ac:dyDescent="0.3">
      <c r="C104">
        <v>615</v>
      </c>
      <c r="D104" t="s">
        <v>472</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4861.55</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4861.55</v>
      </c>
      <c r="BG104" s="4">
        <f t="shared" si="87"/>
        <v>0</v>
      </c>
      <c r="BH104" s="4">
        <f t="shared" si="88"/>
        <v>4861.55</v>
      </c>
      <c r="BI104" s="4">
        <f t="shared" si="89"/>
        <v>0</v>
      </c>
    </row>
    <row r="105" spans="2:61" x14ac:dyDescent="0.3">
      <c r="C105">
        <v>616</v>
      </c>
      <c r="D105" t="s">
        <v>473</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10000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10000</v>
      </c>
      <c r="BG105" s="4">
        <f t="shared" si="87"/>
        <v>0</v>
      </c>
      <c r="BH105" s="4">
        <f t="shared" si="88"/>
        <v>10000</v>
      </c>
      <c r="BI105" s="4">
        <f t="shared" si="89"/>
        <v>0</v>
      </c>
    </row>
    <row r="106" spans="2:61" x14ac:dyDescent="0.3">
      <c r="C106">
        <v>619</v>
      </c>
      <c r="D106" t="s">
        <v>474</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3">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3">
      <c r="B108" s="105">
        <v>62</v>
      </c>
      <c r="C108" s="105"/>
      <c r="D108" s="105" t="s">
        <v>495</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3">
      <c r="C109">
        <v>620</v>
      </c>
      <c r="D109" t="s">
        <v>375</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3">
      <c r="C110">
        <v>621</v>
      </c>
      <c r="D110" t="s">
        <v>376</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3">
      <c r="C111">
        <v>629</v>
      </c>
      <c r="D111" t="s">
        <v>476</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3">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3">
      <c r="B113" s="105">
        <v>63</v>
      </c>
      <c r="C113" s="105"/>
      <c r="D113" s="105" t="s">
        <v>763</v>
      </c>
      <c r="E113" s="103">
        <f>E114+E115+E116+E117+E118+E119+E120+E121+E122</f>
        <v>0</v>
      </c>
      <c r="F113" s="103">
        <f t="shared" ref="F113:BI113" si="95">F114+F115+F116+F117+F118+F119+F120+F121+F122</f>
        <v>293540</v>
      </c>
      <c r="G113" s="103">
        <f t="shared" si="95"/>
        <v>1004384.2999999999</v>
      </c>
      <c r="H113" s="103">
        <f t="shared" si="95"/>
        <v>0</v>
      </c>
      <c r="I113" s="103">
        <f t="shared" si="95"/>
        <v>125435.9</v>
      </c>
      <c r="J113" s="103">
        <f t="shared" si="95"/>
        <v>769241.15</v>
      </c>
      <c r="K113" s="103">
        <f t="shared" si="95"/>
        <v>0</v>
      </c>
      <c r="L113" s="103">
        <f t="shared" si="95"/>
        <v>2915373.45</v>
      </c>
      <c r="M113" s="103">
        <f>M114+M115+M116+M117+M118+M119+M120+M121+M122</f>
        <v>0</v>
      </c>
      <c r="N113" s="103">
        <f t="shared" si="95"/>
        <v>0</v>
      </c>
      <c r="O113" s="103">
        <f t="shared" si="95"/>
        <v>922660.85</v>
      </c>
      <c r="P113" s="103">
        <f t="shared" si="95"/>
        <v>0</v>
      </c>
      <c r="Q113" s="103">
        <f t="shared" si="95"/>
        <v>0</v>
      </c>
      <c r="R113" s="103">
        <f t="shared" si="95"/>
        <v>0</v>
      </c>
      <c r="S113" s="103">
        <f t="shared" si="95"/>
        <v>0</v>
      </c>
      <c r="T113" s="103">
        <f t="shared" si="95"/>
        <v>14794</v>
      </c>
      <c r="U113" s="103">
        <f t="shared" si="95"/>
        <v>0</v>
      </c>
      <c r="V113" s="103">
        <f t="shared" si="95"/>
        <v>277963.25</v>
      </c>
      <c r="W113" s="103">
        <f t="shared" si="95"/>
        <v>1995868.95</v>
      </c>
      <c r="X113" s="103">
        <f t="shared" si="95"/>
        <v>0</v>
      </c>
      <c r="Y113" s="103">
        <f t="shared" si="95"/>
        <v>1159916.3999999999</v>
      </c>
      <c r="Z113" s="103">
        <f t="shared" si="95"/>
        <v>0</v>
      </c>
      <c r="AA113" s="103">
        <f t="shared" si="95"/>
        <v>0</v>
      </c>
      <c r="AB113" s="103">
        <f t="shared" si="95"/>
        <v>433035</v>
      </c>
      <c r="AC113" s="103">
        <f t="shared" si="95"/>
        <v>0</v>
      </c>
      <c r="AD113" s="103">
        <f t="shared" si="95"/>
        <v>0</v>
      </c>
      <c r="AE113" s="103">
        <f t="shared" si="95"/>
        <v>0</v>
      </c>
      <c r="AF113" s="103">
        <f t="shared" si="95"/>
        <v>471042</v>
      </c>
      <c r="AG113" s="103">
        <f t="shared" si="95"/>
        <v>43821.4</v>
      </c>
      <c r="AH113" s="103">
        <f t="shared" si="95"/>
        <v>12913</v>
      </c>
      <c r="AI113" s="103">
        <f t="shared" si="95"/>
        <v>20900</v>
      </c>
      <c r="AJ113" s="103">
        <f t="shared" si="95"/>
        <v>382300</v>
      </c>
      <c r="AK113" s="103">
        <f t="shared" si="95"/>
        <v>0</v>
      </c>
      <c r="AL113" s="103">
        <f t="shared" si="95"/>
        <v>4542.25</v>
      </c>
      <c r="AM113" s="103">
        <f t="shared" si="95"/>
        <v>4569.6499999999996</v>
      </c>
      <c r="AN113" s="103">
        <f t="shared" si="95"/>
        <v>49260</v>
      </c>
      <c r="AO113" s="103">
        <f t="shared" si="95"/>
        <v>0</v>
      </c>
      <c r="AP113" s="103">
        <f t="shared" si="95"/>
        <v>210225.55</v>
      </c>
      <c r="AQ113" s="103">
        <f t="shared" si="95"/>
        <v>9656</v>
      </c>
      <c r="AR113" s="103">
        <f t="shared" si="95"/>
        <v>723030</v>
      </c>
      <c r="AS113" s="103">
        <f t="shared" si="95"/>
        <v>114798</v>
      </c>
      <c r="AT113" s="103">
        <f t="shared" si="95"/>
        <v>128230</v>
      </c>
      <c r="AU113" s="103">
        <f t="shared" si="95"/>
        <v>45000</v>
      </c>
      <c r="AV113" s="103">
        <f t="shared" si="95"/>
        <v>36642</v>
      </c>
      <c r="AW113" s="103">
        <f t="shared" si="95"/>
        <v>50275</v>
      </c>
      <c r="AX113" s="103">
        <f t="shared" si="95"/>
        <v>0</v>
      </c>
      <c r="AY113" s="103">
        <f t="shared" si="95"/>
        <v>0</v>
      </c>
      <c r="AZ113" s="103">
        <f t="shared" si="95"/>
        <v>16698</v>
      </c>
      <c r="BA113" s="103">
        <f t="shared" si="95"/>
        <v>115050</v>
      </c>
      <c r="BB113" s="103">
        <f t="shared" si="95"/>
        <v>48455.85</v>
      </c>
      <c r="BC113" s="103">
        <f t="shared" si="95"/>
        <v>0</v>
      </c>
      <c r="BD113" s="103">
        <f t="shared" si="95"/>
        <v>619562.15</v>
      </c>
      <c r="BE113" s="103">
        <f t="shared" si="95"/>
        <v>0</v>
      </c>
      <c r="BF113" s="103">
        <f t="shared" si="95"/>
        <v>13019184.1</v>
      </c>
      <c r="BG113" s="103">
        <f t="shared" si="95"/>
        <v>8319261.8499999996</v>
      </c>
      <c r="BH113" s="103">
        <f t="shared" si="95"/>
        <v>2523927.7999999998</v>
      </c>
      <c r="BI113" s="103">
        <f t="shared" si="95"/>
        <v>2175994.4500000002</v>
      </c>
    </row>
    <row r="114" spans="2:61" x14ac:dyDescent="0.3">
      <c r="C114">
        <v>630</v>
      </c>
      <c r="D114" t="s">
        <v>477</v>
      </c>
      <c r="E114" s="4">
        <v>0</v>
      </c>
      <c r="F114" s="4">
        <v>137429</v>
      </c>
      <c r="G114" s="4">
        <v>0</v>
      </c>
      <c r="H114" s="4">
        <v>0</v>
      </c>
      <c r="I114" s="4">
        <v>29806</v>
      </c>
      <c r="J114" s="4">
        <v>571217.05000000005</v>
      </c>
      <c r="K114" s="4">
        <v>0</v>
      </c>
      <c r="L114" s="4">
        <v>1757412.65</v>
      </c>
      <c r="M114" s="4">
        <v>0</v>
      </c>
      <c r="N114" s="4">
        <v>0</v>
      </c>
      <c r="O114" s="4">
        <v>0</v>
      </c>
      <c r="P114" s="4">
        <v>0</v>
      </c>
      <c r="Q114" s="4">
        <v>0</v>
      </c>
      <c r="R114" s="4">
        <v>0</v>
      </c>
      <c r="S114" s="4">
        <v>0</v>
      </c>
      <c r="T114" s="4">
        <v>6000</v>
      </c>
      <c r="U114" s="4">
        <v>0</v>
      </c>
      <c r="V114" s="4">
        <v>0</v>
      </c>
      <c r="W114" s="4">
        <v>750270.2</v>
      </c>
      <c r="X114" s="4">
        <v>0</v>
      </c>
      <c r="Y114" s="4">
        <v>0</v>
      </c>
      <c r="Z114" s="4">
        <v>0</v>
      </c>
      <c r="AA114" s="4">
        <v>0</v>
      </c>
      <c r="AB114" s="4">
        <v>0</v>
      </c>
      <c r="AC114" s="4">
        <v>0</v>
      </c>
      <c r="AD114" s="4">
        <v>0</v>
      </c>
      <c r="AE114" s="4">
        <v>0</v>
      </c>
      <c r="AF114" s="4">
        <v>275000</v>
      </c>
      <c r="AG114" s="4">
        <v>0</v>
      </c>
      <c r="AH114" s="4">
        <v>0</v>
      </c>
      <c r="AI114" s="4">
        <v>0</v>
      </c>
      <c r="AJ114" s="4">
        <v>208600</v>
      </c>
      <c r="AK114" s="4">
        <v>0</v>
      </c>
      <c r="AL114" s="4">
        <v>4542.25</v>
      </c>
      <c r="AM114" s="4">
        <v>0</v>
      </c>
      <c r="AN114" s="4">
        <v>0</v>
      </c>
      <c r="AO114" s="4">
        <v>0</v>
      </c>
      <c r="AP114" s="4">
        <v>0</v>
      </c>
      <c r="AQ114" s="4">
        <v>0</v>
      </c>
      <c r="AR114" s="4">
        <v>99400</v>
      </c>
      <c r="AS114" s="4">
        <v>0</v>
      </c>
      <c r="AT114" s="4">
        <v>31033</v>
      </c>
      <c r="AU114" s="4">
        <v>0</v>
      </c>
      <c r="AV114" s="4">
        <v>0</v>
      </c>
      <c r="AW114" s="4">
        <v>0</v>
      </c>
      <c r="AX114" s="4">
        <v>0</v>
      </c>
      <c r="AY114" s="4">
        <v>0</v>
      </c>
      <c r="AZ114" s="4">
        <v>0</v>
      </c>
      <c r="BA114" s="4">
        <v>0</v>
      </c>
      <c r="BB114" s="4">
        <v>0</v>
      </c>
      <c r="BC114" s="4">
        <v>0</v>
      </c>
      <c r="BD114" s="4">
        <v>275588.5</v>
      </c>
      <c r="BE114" s="4">
        <v>0</v>
      </c>
      <c r="BF114" s="4">
        <f t="shared" ref="BF114:BF122" si="96">SUM(E114:BE114)</f>
        <v>4146298.6500000004</v>
      </c>
      <c r="BG114" s="4">
        <f t="shared" ref="BG114:BG122" si="97">SUM(E114:W114)</f>
        <v>3252134.9000000004</v>
      </c>
      <c r="BH114" s="4">
        <f t="shared" ref="BH114:BH122" si="98">SUM(X114:AJ114)</f>
        <v>483600</v>
      </c>
      <c r="BI114" s="4">
        <f t="shared" ref="BI114:BI123" si="99">SUM(AK114:BE114)</f>
        <v>410563.75</v>
      </c>
    </row>
    <row r="115" spans="2:61" x14ac:dyDescent="0.3">
      <c r="C115">
        <v>631</v>
      </c>
      <c r="D115" t="s">
        <v>478</v>
      </c>
      <c r="E115" s="4">
        <v>0</v>
      </c>
      <c r="F115" s="4">
        <v>156111</v>
      </c>
      <c r="G115" s="4">
        <v>682024.7</v>
      </c>
      <c r="H115" s="4">
        <v>0</v>
      </c>
      <c r="I115" s="4">
        <v>73461</v>
      </c>
      <c r="J115" s="4">
        <v>71402.149999999994</v>
      </c>
      <c r="K115" s="4">
        <v>0</v>
      </c>
      <c r="L115" s="4">
        <v>1050975.05</v>
      </c>
      <c r="M115" s="4">
        <v>0</v>
      </c>
      <c r="N115" s="4">
        <v>0</v>
      </c>
      <c r="O115" s="4">
        <v>886719.35</v>
      </c>
      <c r="P115" s="4">
        <v>0</v>
      </c>
      <c r="Q115" s="4">
        <v>0</v>
      </c>
      <c r="R115" s="4">
        <v>0</v>
      </c>
      <c r="S115" s="4">
        <v>0</v>
      </c>
      <c r="T115" s="4">
        <v>8794</v>
      </c>
      <c r="U115" s="4">
        <v>0</v>
      </c>
      <c r="V115" s="4">
        <v>100902.25</v>
      </c>
      <c r="W115" s="4">
        <v>1095598.75</v>
      </c>
      <c r="X115" s="4">
        <v>0</v>
      </c>
      <c r="Y115" s="4">
        <v>805905</v>
      </c>
      <c r="Z115" s="4">
        <v>0</v>
      </c>
      <c r="AA115" s="4">
        <v>0</v>
      </c>
      <c r="AB115" s="4">
        <v>178410</v>
      </c>
      <c r="AC115" s="4">
        <v>0</v>
      </c>
      <c r="AD115" s="4">
        <v>0</v>
      </c>
      <c r="AE115" s="4">
        <v>0</v>
      </c>
      <c r="AF115" s="4">
        <v>196042</v>
      </c>
      <c r="AG115" s="4">
        <v>43821.4</v>
      </c>
      <c r="AH115" s="4">
        <v>0</v>
      </c>
      <c r="AI115" s="4">
        <v>0</v>
      </c>
      <c r="AJ115" s="4">
        <v>173700</v>
      </c>
      <c r="AK115" s="4">
        <v>0</v>
      </c>
      <c r="AL115" s="4">
        <v>0</v>
      </c>
      <c r="AM115" s="4">
        <v>4569.6499999999996</v>
      </c>
      <c r="AN115" s="4">
        <v>49260</v>
      </c>
      <c r="AO115" s="4">
        <v>0</v>
      </c>
      <c r="AP115" s="4">
        <v>30225.55</v>
      </c>
      <c r="AQ115" s="4">
        <v>9656</v>
      </c>
      <c r="AR115" s="4">
        <v>461000</v>
      </c>
      <c r="AS115" s="4">
        <v>114798</v>
      </c>
      <c r="AT115" s="4">
        <v>97197</v>
      </c>
      <c r="AU115" s="4">
        <v>10000</v>
      </c>
      <c r="AV115" s="4">
        <v>36642</v>
      </c>
      <c r="AW115" s="4">
        <v>50275</v>
      </c>
      <c r="AX115" s="4">
        <v>0</v>
      </c>
      <c r="AY115" s="4">
        <v>0</v>
      </c>
      <c r="AZ115" s="4">
        <v>16698</v>
      </c>
      <c r="BA115" s="4">
        <v>0</v>
      </c>
      <c r="BB115" s="4">
        <v>45255.85</v>
      </c>
      <c r="BC115" s="4">
        <v>0</v>
      </c>
      <c r="BD115" s="4">
        <v>365053.65</v>
      </c>
      <c r="BE115" s="4">
        <v>0</v>
      </c>
      <c r="BF115" s="4">
        <f t="shared" si="96"/>
        <v>6814497.3500000006</v>
      </c>
      <c r="BG115" s="4">
        <f t="shared" si="97"/>
        <v>4125988.25</v>
      </c>
      <c r="BH115" s="4">
        <f t="shared" si="98"/>
        <v>1397878.4</v>
      </c>
      <c r="BI115" s="4">
        <f t="shared" si="99"/>
        <v>1290630.7</v>
      </c>
    </row>
    <row r="116" spans="2:61" x14ac:dyDescent="0.3">
      <c r="C116">
        <v>632</v>
      </c>
      <c r="D116" t="s">
        <v>479</v>
      </c>
      <c r="E116" s="4">
        <v>0</v>
      </c>
      <c r="F116" s="4">
        <v>0</v>
      </c>
      <c r="G116" s="4">
        <v>0</v>
      </c>
      <c r="H116" s="4">
        <v>0</v>
      </c>
      <c r="I116" s="4">
        <v>22168.9</v>
      </c>
      <c r="J116" s="4">
        <v>94468.2</v>
      </c>
      <c r="K116" s="4">
        <v>0</v>
      </c>
      <c r="L116" s="4">
        <v>0</v>
      </c>
      <c r="M116" s="4">
        <v>0</v>
      </c>
      <c r="N116" s="4">
        <v>0</v>
      </c>
      <c r="O116" s="4">
        <v>0</v>
      </c>
      <c r="P116" s="4">
        <v>0</v>
      </c>
      <c r="Q116" s="4">
        <v>0</v>
      </c>
      <c r="R116" s="4">
        <v>0</v>
      </c>
      <c r="S116" s="4">
        <v>0</v>
      </c>
      <c r="T116" s="4">
        <v>0</v>
      </c>
      <c r="U116" s="4">
        <v>0</v>
      </c>
      <c r="V116" s="4">
        <v>0</v>
      </c>
      <c r="W116" s="4">
        <v>150000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3200</v>
      </c>
      <c r="BC116" s="4">
        <v>0</v>
      </c>
      <c r="BD116" s="4">
        <v>-21080</v>
      </c>
      <c r="BE116" s="4">
        <v>0</v>
      </c>
      <c r="BF116" s="4">
        <f t="shared" si="96"/>
        <v>248757.09999999998</v>
      </c>
      <c r="BG116" s="4">
        <f t="shared" si="97"/>
        <v>266637.09999999998</v>
      </c>
      <c r="BH116" s="4">
        <f t="shared" si="98"/>
        <v>0</v>
      </c>
      <c r="BI116" s="4">
        <f t="shared" si="99"/>
        <v>-17880</v>
      </c>
    </row>
    <row r="117" spans="2:61" x14ac:dyDescent="0.3">
      <c r="C117">
        <v>633</v>
      </c>
      <c r="D117" t="s">
        <v>480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3">
      <c r="C118">
        <v>634</v>
      </c>
      <c r="D118" t="s">
        <v>481</v>
      </c>
      <c r="E118" s="4">
        <v>0</v>
      </c>
      <c r="F118" s="4">
        <v>0</v>
      </c>
      <c r="G118" s="4">
        <v>0</v>
      </c>
      <c r="H118" s="4">
        <v>0</v>
      </c>
      <c r="I118" s="4">
        <v>0</v>
      </c>
      <c r="J118" s="4">
        <v>6587.75</v>
      </c>
      <c r="K118" s="4">
        <v>0</v>
      </c>
      <c r="L118" s="4">
        <v>35000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12913</v>
      </c>
      <c r="AI118" s="4">
        <v>0</v>
      </c>
      <c r="AJ118" s="4">
        <v>0</v>
      </c>
      <c r="AK118" s="4">
        <v>0</v>
      </c>
      <c r="AL118" s="4">
        <v>0</v>
      </c>
      <c r="AM118" s="4">
        <v>0</v>
      </c>
      <c r="AN118" s="4">
        <v>0</v>
      </c>
      <c r="AO118" s="4">
        <v>0</v>
      </c>
      <c r="AP118" s="4">
        <v>0</v>
      </c>
      <c r="AQ118" s="4">
        <v>0</v>
      </c>
      <c r="AR118" s="4">
        <v>0</v>
      </c>
      <c r="AS118" s="4">
        <v>0</v>
      </c>
      <c r="AT118" s="4">
        <v>0</v>
      </c>
      <c r="AU118" s="4">
        <v>35000</v>
      </c>
      <c r="AV118" s="4">
        <v>0</v>
      </c>
      <c r="AW118" s="4">
        <v>0</v>
      </c>
      <c r="AX118" s="4">
        <v>0</v>
      </c>
      <c r="AY118" s="4">
        <v>0</v>
      </c>
      <c r="AZ118" s="4">
        <v>0</v>
      </c>
      <c r="BA118" s="4">
        <v>0</v>
      </c>
      <c r="BB118" s="4">
        <v>0</v>
      </c>
      <c r="BC118" s="4">
        <v>0</v>
      </c>
      <c r="BD118" s="4">
        <v>0</v>
      </c>
      <c r="BE118" s="4">
        <v>0</v>
      </c>
      <c r="BF118" s="4">
        <f t="shared" si="96"/>
        <v>89500.75</v>
      </c>
      <c r="BG118" s="4">
        <f t="shared" si="97"/>
        <v>41587.75</v>
      </c>
      <c r="BH118" s="4">
        <f t="shared" si="98"/>
        <v>12913</v>
      </c>
      <c r="BI118" s="4">
        <f t="shared" si="99"/>
        <v>35000</v>
      </c>
    </row>
    <row r="119" spans="2:61" x14ac:dyDescent="0.3">
      <c r="C119">
        <v>635</v>
      </c>
      <c r="D119" t="s">
        <v>482</v>
      </c>
      <c r="E119" s="4">
        <v>0</v>
      </c>
      <c r="F119" s="4">
        <v>0</v>
      </c>
      <c r="G119" s="4">
        <v>11189.6</v>
      </c>
      <c r="H119" s="4">
        <v>0</v>
      </c>
      <c r="I119" s="4">
        <v>0</v>
      </c>
      <c r="J119" s="4">
        <v>0</v>
      </c>
      <c r="K119" s="4">
        <v>0</v>
      </c>
      <c r="L119" s="4">
        <v>0</v>
      </c>
      <c r="M119" s="4">
        <v>0</v>
      </c>
      <c r="N119" s="4">
        <v>0</v>
      </c>
      <c r="O119" s="4">
        <v>0</v>
      </c>
      <c r="P119" s="4">
        <v>0</v>
      </c>
      <c r="Q119" s="4">
        <v>0</v>
      </c>
      <c r="R119" s="4">
        <v>0</v>
      </c>
      <c r="S119" s="4">
        <v>0</v>
      </c>
      <c r="T119" s="4">
        <v>0</v>
      </c>
      <c r="U119" s="4">
        <v>0</v>
      </c>
      <c r="V119" s="4">
        <v>177061</v>
      </c>
      <c r="W119" s="4">
        <v>0</v>
      </c>
      <c r="X119" s="4">
        <v>0</v>
      </c>
      <c r="Y119" s="4">
        <v>0</v>
      </c>
      <c r="Z119" s="4">
        <v>0</v>
      </c>
      <c r="AA119" s="4">
        <v>0</v>
      </c>
      <c r="AB119" s="4">
        <v>112625</v>
      </c>
      <c r="AC119" s="4">
        <v>0</v>
      </c>
      <c r="AD119" s="4">
        <v>0</v>
      </c>
      <c r="AE119" s="4">
        <v>0</v>
      </c>
      <c r="AF119" s="4">
        <v>0</v>
      </c>
      <c r="AG119" s="4">
        <v>0</v>
      </c>
      <c r="AH119" s="4">
        <v>0</v>
      </c>
      <c r="AI119" s="4">
        <v>0</v>
      </c>
      <c r="AJ119" s="4">
        <v>0</v>
      </c>
      <c r="AK119" s="4">
        <v>0</v>
      </c>
      <c r="AL119" s="4">
        <v>0</v>
      </c>
      <c r="AM119" s="4">
        <v>0</v>
      </c>
      <c r="AN119" s="4">
        <v>0</v>
      </c>
      <c r="AO119" s="4">
        <v>0</v>
      </c>
      <c r="AP119" s="4">
        <v>180000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480875.6</v>
      </c>
      <c r="BG119" s="4">
        <f t="shared" si="97"/>
        <v>188250.6</v>
      </c>
      <c r="BH119" s="4">
        <f t="shared" si="98"/>
        <v>112625</v>
      </c>
      <c r="BI119" s="4">
        <f t="shared" si="99"/>
        <v>180000</v>
      </c>
    </row>
    <row r="120" spans="2:61" x14ac:dyDescent="0.3">
      <c r="C120">
        <v>636</v>
      </c>
      <c r="D120" t="s">
        <v>483</v>
      </c>
      <c r="E120" s="4">
        <v>0</v>
      </c>
      <c r="F120" s="4">
        <v>0</v>
      </c>
      <c r="G120" s="4">
        <v>310000</v>
      </c>
      <c r="H120" s="4">
        <v>0</v>
      </c>
      <c r="I120" s="4">
        <v>0</v>
      </c>
      <c r="J120" s="4">
        <v>4134.8999999999996</v>
      </c>
      <c r="K120" s="4">
        <v>0</v>
      </c>
      <c r="L120" s="4">
        <v>71985.75</v>
      </c>
      <c r="M120" s="4">
        <v>0</v>
      </c>
      <c r="N120" s="4">
        <v>0</v>
      </c>
      <c r="O120" s="4">
        <v>0</v>
      </c>
      <c r="P120" s="4">
        <v>0</v>
      </c>
      <c r="Q120" s="4">
        <v>0</v>
      </c>
      <c r="R120" s="4">
        <v>0</v>
      </c>
      <c r="S120" s="4">
        <v>0</v>
      </c>
      <c r="T120" s="4">
        <v>0</v>
      </c>
      <c r="U120" s="4">
        <v>0</v>
      </c>
      <c r="V120" s="4">
        <v>0</v>
      </c>
      <c r="W120" s="4">
        <v>0</v>
      </c>
      <c r="X120" s="4">
        <v>0</v>
      </c>
      <c r="Y120" s="4">
        <v>300000</v>
      </c>
      <c r="Z120" s="4">
        <v>0</v>
      </c>
      <c r="AA120" s="4">
        <v>0</v>
      </c>
      <c r="AB120" s="4">
        <v>142000</v>
      </c>
      <c r="AC120" s="4">
        <v>0</v>
      </c>
      <c r="AD120" s="4">
        <v>0</v>
      </c>
      <c r="AE120" s="4">
        <v>0</v>
      </c>
      <c r="AF120" s="4">
        <v>0</v>
      </c>
      <c r="AG120" s="4">
        <v>0</v>
      </c>
      <c r="AH120" s="4">
        <v>0</v>
      </c>
      <c r="AI120" s="4">
        <v>20900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115050</v>
      </c>
      <c r="BB120" s="4">
        <v>0</v>
      </c>
      <c r="BC120" s="4">
        <v>0</v>
      </c>
      <c r="BD120" s="4">
        <v>0</v>
      </c>
      <c r="BE120" s="4">
        <v>0</v>
      </c>
      <c r="BF120" s="4">
        <f t="shared" si="96"/>
        <v>964070.65</v>
      </c>
      <c r="BG120" s="4">
        <f t="shared" si="97"/>
        <v>386120.65</v>
      </c>
      <c r="BH120" s="4">
        <f t="shared" si="98"/>
        <v>462900</v>
      </c>
      <c r="BI120" s="4">
        <f t="shared" si="99"/>
        <v>115050</v>
      </c>
    </row>
    <row r="121" spans="2:61" x14ac:dyDescent="0.3">
      <c r="C121">
        <v>637</v>
      </c>
      <c r="D121" t="s">
        <v>484</v>
      </c>
      <c r="E121" s="4">
        <v>0</v>
      </c>
      <c r="F121" s="4">
        <v>0</v>
      </c>
      <c r="G121" s="4">
        <v>1170</v>
      </c>
      <c r="H121" s="4">
        <v>0</v>
      </c>
      <c r="I121" s="4">
        <v>0</v>
      </c>
      <c r="J121" s="4">
        <v>21431.1</v>
      </c>
      <c r="K121" s="4">
        <v>0</v>
      </c>
      <c r="L121" s="4">
        <v>0</v>
      </c>
      <c r="M121" s="4">
        <v>0</v>
      </c>
      <c r="N121" s="4">
        <v>0</v>
      </c>
      <c r="O121" s="4">
        <v>35941.5</v>
      </c>
      <c r="P121" s="4">
        <v>0</v>
      </c>
      <c r="Q121" s="4">
        <v>0</v>
      </c>
      <c r="R121" s="4">
        <v>0</v>
      </c>
      <c r="S121" s="4">
        <v>0</v>
      </c>
      <c r="T121" s="4">
        <v>0</v>
      </c>
      <c r="U121" s="4">
        <v>0</v>
      </c>
      <c r="V121" s="4">
        <v>0</v>
      </c>
      <c r="W121" s="4">
        <v>0</v>
      </c>
      <c r="X121" s="4">
        <v>0</v>
      </c>
      <c r="Y121" s="4">
        <v>54011.4</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162630</v>
      </c>
      <c r="AS121" s="4">
        <v>0</v>
      </c>
      <c r="AT121" s="4">
        <v>0</v>
      </c>
      <c r="AU121" s="4">
        <v>0</v>
      </c>
      <c r="AV121" s="4">
        <v>0</v>
      </c>
      <c r="AW121" s="4">
        <v>0</v>
      </c>
      <c r="AX121" s="4">
        <v>0</v>
      </c>
      <c r="AY121" s="4">
        <v>0</v>
      </c>
      <c r="AZ121" s="4">
        <v>0</v>
      </c>
      <c r="BA121" s="4">
        <v>0</v>
      </c>
      <c r="BB121" s="4">
        <v>0</v>
      </c>
      <c r="BC121" s="4">
        <v>0</v>
      </c>
      <c r="BD121" s="4">
        <v>0</v>
      </c>
      <c r="BE121" s="4">
        <v>0</v>
      </c>
      <c r="BF121" s="4">
        <f t="shared" si="96"/>
        <v>275184</v>
      </c>
      <c r="BG121" s="4">
        <f t="shared" si="97"/>
        <v>58542.6</v>
      </c>
      <c r="BH121" s="4">
        <f t="shared" si="98"/>
        <v>54011.4</v>
      </c>
      <c r="BI121" s="4">
        <f t="shared" si="99"/>
        <v>162630</v>
      </c>
    </row>
    <row r="122" spans="2:61" x14ac:dyDescent="0.3">
      <c r="C122">
        <v>638</v>
      </c>
      <c r="D122" t="s">
        <v>485</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3">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v>0</v>
      </c>
      <c r="BB123" s="4"/>
      <c r="BC123" s="4"/>
      <c r="BD123" s="4"/>
      <c r="BE123" s="4"/>
      <c r="BF123" s="4"/>
      <c r="BG123" s="4"/>
      <c r="BH123" s="4"/>
      <c r="BI123" s="4">
        <f t="shared" si="99"/>
        <v>0</v>
      </c>
    </row>
    <row r="124" spans="2:61" x14ac:dyDescent="0.3">
      <c r="B124" s="105">
        <v>64</v>
      </c>
      <c r="C124" s="105"/>
      <c r="D124" s="105" t="s">
        <v>497</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3">
      <c r="C125">
        <v>640</v>
      </c>
      <c r="D125" t="s">
        <v>477</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3">
      <c r="C126">
        <v>641</v>
      </c>
      <c r="D126" t="s">
        <v>478</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3">
      <c r="C127">
        <v>642</v>
      </c>
      <c r="D127" t="s">
        <v>479</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3">
      <c r="C128">
        <v>643</v>
      </c>
      <c r="D128" t="s">
        <v>480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3">
      <c r="C129">
        <v>644</v>
      </c>
      <c r="D129" t="s">
        <v>481</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3">
      <c r="C130">
        <v>645</v>
      </c>
      <c r="D130" t="s">
        <v>482</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3">
      <c r="C131">
        <v>646</v>
      </c>
      <c r="D131" t="s">
        <v>483</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3">
      <c r="C132">
        <v>647</v>
      </c>
      <c r="D132" t="s">
        <v>484</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3">
      <c r="C133">
        <v>648</v>
      </c>
      <c r="D133" t="s">
        <v>485</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3">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3">
      <c r="B135" s="105">
        <v>65</v>
      </c>
      <c r="C135" s="105"/>
      <c r="D135" s="105" t="s">
        <v>498</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3">
      <c r="C136">
        <v>650</v>
      </c>
      <c r="D136" t="s">
        <v>477</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3">
      <c r="C137">
        <v>651</v>
      </c>
      <c r="D137" t="s">
        <v>478</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3">
      <c r="C138">
        <v>652</v>
      </c>
      <c r="D138" t="s">
        <v>479</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3">
      <c r="C139">
        <v>653</v>
      </c>
      <c r="D139" t="s">
        <v>480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3">
      <c r="C140">
        <v>654</v>
      </c>
      <c r="D140" t="s">
        <v>481</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3">
      <c r="C141">
        <v>655</v>
      </c>
      <c r="D141" t="s">
        <v>482</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3">
      <c r="C142">
        <v>656</v>
      </c>
      <c r="D142" t="s">
        <v>483</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3">
      <c r="C143">
        <v>657</v>
      </c>
      <c r="D143" t="s">
        <v>484</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3">
      <c r="C144">
        <v>658</v>
      </c>
      <c r="D144" t="s">
        <v>485</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3">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3">
      <c r="B146" s="105">
        <v>66</v>
      </c>
      <c r="C146" s="105"/>
      <c r="D146" s="105" t="s">
        <v>499</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0</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8708</v>
      </c>
      <c r="AX146" s="103">
        <f t="shared" si="110"/>
        <v>0</v>
      </c>
      <c r="AY146" s="103">
        <f t="shared" si="110"/>
        <v>0</v>
      </c>
      <c r="AZ146" s="103">
        <f t="shared" si="110"/>
        <v>2084.5</v>
      </c>
      <c r="BA146" s="103">
        <f t="shared" si="110"/>
        <v>0</v>
      </c>
      <c r="BB146" s="103">
        <f t="shared" si="110"/>
        <v>0</v>
      </c>
      <c r="BC146" s="103">
        <f t="shared" si="110"/>
        <v>0</v>
      </c>
      <c r="BD146" s="103">
        <f t="shared" si="110"/>
        <v>0</v>
      </c>
      <c r="BE146" s="103">
        <f t="shared" si="110"/>
        <v>0</v>
      </c>
      <c r="BF146" s="103">
        <f t="shared" si="110"/>
        <v>10792.5</v>
      </c>
      <c r="BG146" s="103">
        <f t="shared" si="110"/>
        <v>0</v>
      </c>
      <c r="BH146" s="103">
        <f t="shared" si="110"/>
        <v>0</v>
      </c>
      <c r="BI146" s="103">
        <f t="shared" si="110"/>
        <v>10792.5</v>
      </c>
    </row>
    <row r="147" spans="2:61" x14ac:dyDescent="0.3">
      <c r="C147">
        <v>660</v>
      </c>
      <c r="D147" t="s">
        <v>477</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3">
      <c r="C148">
        <v>661</v>
      </c>
      <c r="D148" t="s">
        <v>478</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8708</v>
      </c>
      <c r="AX148" s="4">
        <v>0</v>
      </c>
      <c r="AY148" s="4">
        <v>0</v>
      </c>
      <c r="AZ148" s="4">
        <v>0</v>
      </c>
      <c r="BA148" s="4">
        <v>0</v>
      </c>
      <c r="BB148" s="4">
        <v>0</v>
      </c>
      <c r="BC148" s="4">
        <v>0</v>
      </c>
      <c r="BD148" s="4">
        <v>0</v>
      </c>
      <c r="BE148" s="4">
        <v>0</v>
      </c>
      <c r="BF148" s="4">
        <f t="shared" si="111"/>
        <v>8708</v>
      </c>
      <c r="BG148" s="4">
        <f t="shared" si="112"/>
        <v>0</v>
      </c>
      <c r="BH148" s="4">
        <f t="shared" si="113"/>
        <v>0</v>
      </c>
      <c r="BI148" s="4">
        <f t="shared" si="114"/>
        <v>8708</v>
      </c>
    </row>
    <row r="149" spans="2:61" x14ac:dyDescent="0.3">
      <c r="C149">
        <v>662</v>
      </c>
      <c r="D149" t="s">
        <v>479</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2084.5</v>
      </c>
      <c r="BA149" s="4">
        <v>0</v>
      </c>
      <c r="BB149" s="4">
        <v>0</v>
      </c>
      <c r="BC149" s="4">
        <v>0</v>
      </c>
      <c r="BD149" s="4">
        <v>0</v>
      </c>
      <c r="BE149" s="4">
        <v>0</v>
      </c>
      <c r="BF149" s="4">
        <f t="shared" si="111"/>
        <v>2084.5</v>
      </c>
      <c r="BG149" s="4">
        <f t="shared" si="112"/>
        <v>0</v>
      </c>
      <c r="BH149" s="4">
        <f t="shared" si="113"/>
        <v>0</v>
      </c>
      <c r="BI149" s="4">
        <f t="shared" si="114"/>
        <v>2084.5</v>
      </c>
    </row>
    <row r="150" spans="2:61" x14ac:dyDescent="0.3">
      <c r="C150">
        <v>663</v>
      </c>
      <c r="D150" t="s">
        <v>480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3">
      <c r="C151">
        <v>664</v>
      </c>
      <c r="D151" t="s">
        <v>481</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3">
      <c r="C152">
        <v>665</v>
      </c>
      <c r="D152" t="s">
        <v>482</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3">
      <c r="C153">
        <v>666</v>
      </c>
      <c r="D153" t="s">
        <v>483</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3">
      <c r="C154">
        <v>667</v>
      </c>
      <c r="D154" t="s">
        <v>484</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3">
      <c r="C155">
        <v>668</v>
      </c>
      <c r="D155" t="s">
        <v>485</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3">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3">
      <c r="B157" s="105">
        <v>67</v>
      </c>
      <c r="C157" s="105"/>
      <c r="D157" s="105" t="s">
        <v>487</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3">
      <c r="C158">
        <v>670</v>
      </c>
      <c r="D158" t="s">
        <v>477</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6" si="119">SUM(AK158:BE158)</f>
        <v>0</v>
      </c>
    </row>
    <row r="159" spans="2:61" x14ac:dyDescent="0.3">
      <c r="C159">
        <v>671</v>
      </c>
      <c r="D159" t="s">
        <v>478</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3">
      <c r="C160">
        <v>672</v>
      </c>
      <c r="D160" t="s">
        <v>479</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3">
      <c r="C161">
        <v>673</v>
      </c>
      <c r="D161" t="s">
        <v>480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3">
      <c r="C162">
        <v>674</v>
      </c>
      <c r="D162" t="s">
        <v>481</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3">
      <c r="C163">
        <v>675</v>
      </c>
      <c r="D163" t="s">
        <v>482</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3">
      <c r="C164">
        <v>676</v>
      </c>
      <c r="D164" t="s">
        <v>483</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3">
      <c r="C165">
        <v>677</v>
      </c>
      <c r="D165" t="s">
        <v>484</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3">
      <c r="C166">
        <v>678</v>
      </c>
      <c r="D166" t="s">
        <v>485</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3">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row>
    <row r="168" spans="2:61" x14ac:dyDescent="0.3">
      <c r="B168" s="105">
        <v>68</v>
      </c>
      <c r="C168" s="105"/>
      <c r="D168" s="105" t="s">
        <v>500</v>
      </c>
      <c r="E168" s="103">
        <f>E169+E170+E171+E172+E173+E174+E175</f>
        <v>520000</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0</v>
      </c>
      <c r="Z168" s="103">
        <f t="shared" si="120"/>
        <v>0</v>
      </c>
      <c r="AA168" s="103">
        <f t="shared" si="120"/>
        <v>0</v>
      </c>
      <c r="AB168" s="103">
        <f t="shared" si="120"/>
        <v>0</v>
      </c>
      <c r="AC168" s="103">
        <f t="shared" si="120"/>
        <v>0</v>
      </c>
      <c r="AD168" s="103">
        <f t="shared" si="120"/>
        <v>20000</v>
      </c>
      <c r="AE168" s="103">
        <f t="shared" si="120"/>
        <v>0</v>
      </c>
      <c r="AF168" s="103">
        <f t="shared" si="120"/>
        <v>0</v>
      </c>
      <c r="AG168" s="103">
        <f t="shared" si="120"/>
        <v>0</v>
      </c>
      <c r="AH168" s="103">
        <f t="shared" si="120"/>
        <v>12494.4</v>
      </c>
      <c r="AI168" s="103">
        <f t="shared" si="120"/>
        <v>0</v>
      </c>
      <c r="AJ168" s="103">
        <f t="shared" si="120"/>
        <v>0</v>
      </c>
      <c r="AK168" s="103">
        <f t="shared" si="120"/>
        <v>0</v>
      </c>
      <c r="AL168" s="103">
        <f t="shared" si="120"/>
        <v>0</v>
      </c>
      <c r="AM168" s="103">
        <f t="shared" si="120"/>
        <v>0</v>
      </c>
      <c r="AN168" s="103">
        <f t="shared" si="120"/>
        <v>0</v>
      </c>
      <c r="AO168" s="103">
        <f t="shared" si="120"/>
        <v>0</v>
      </c>
      <c r="AP168" s="103">
        <f t="shared" si="120"/>
        <v>0</v>
      </c>
      <c r="AQ168" s="103">
        <f t="shared" si="120"/>
        <v>0</v>
      </c>
      <c r="AR168" s="103">
        <f t="shared" si="120"/>
        <v>0</v>
      </c>
      <c r="AS168" s="103">
        <f t="shared" si="120"/>
        <v>0</v>
      </c>
      <c r="AT168" s="103">
        <f t="shared" si="120"/>
        <v>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552494.4</v>
      </c>
      <c r="BG168" s="103">
        <f t="shared" si="120"/>
        <v>520000</v>
      </c>
      <c r="BH168" s="103">
        <f t="shared" si="120"/>
        <v>32494.400000000001</v>
      </c>
      <c r="BI168" s="103">
        <f t="shared" si="120"/>
        <v>0</v>
      </c>
    </row>
    <row r="169" spans="2:61" x14ac:dyDescent="0.3">
      <c r="C169">
        <v>680</v>
      </c>
      <c r="D169" t="s">
        <v>465</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20000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0</v>
      </c>
      <c r="BD169" s="4">
        <v>0</v>
      </c>
      <c r="BE169" s="4">
        <v>0</v>
      </c>
      <c r="BF169" s="4">
        <f t="shared" ref="BF169:BF176" si="121">SUM(E169:BE169)</f>
        <v>20000</v>
      </c>
      <c r="BG169" s="4">
        <f t="shared" ref="BG169:BG176" si="122">SUM(E169:W169)</f>
        <v>0</v>
      </c>
      <c r="BH169" s="4">
        <f t="shared" ref="BH169:BH175" si="123">SUM(X169:AJ169)</f>
        <v>20000</v>
      </c>
      <c r="BI169" s="4">
        <f t="shared" ref="BI169:BI176" si="124">SUM(AK169:BE169)</f>
        <v>0</v>
      </c>
    </row>
    <row r="170" spans="2:61" x14ac:dyDescent="0.3">
      <c r="C170">
        <v>682</v>
      </c>
      <c r="D170" t="s">
        <v>475</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3">
      <c r="C171">
        <v>683</v>
      </c>
      <c r="D171" t="s">
        <v>501</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0</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0</v>
      </c>
      <c r="BG171" s="4">
        <f t="shared" si="122"/>
        <v>0</v>
      </c>
      <c r="BH171" s="4">
        <f t="shared" si="123"/>
        <v>0</v>
      </c>
      <c r="BI171" s="4">
        <f t="shared" si="124"/>
        <v>0</v>
      </c>
    </row>
    <row r="172" spans="2:61" x14ac:dyDescent="0.3">
      <c r="C172">
        <v>684</v>
      </c>
      <c r="D172" t="s">
        <v>257</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3">
      <c r="C173">
        <v>685</v>
      </c>
      <c r="D173" t="s">
        <v>388</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3">
      <c r="C174">
        <v>686</v>
      </c>
      <c r="D174" t="s">
        <v>502</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3">
      <c r="C175">
        <v>689</v>
      </c>
      <c r="D175" t="s">
        <v>503</v>
      </c>
      <c r="E175" s="4">
        <v>520000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12494.4</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532494.4</v>
      </c>
      <c r="BG175" s="4">
        <f t="shared" si="122"/>
        <v>520000</v>
      </c>
      <c r="BH175" s="4">
        <f t="shared" si="123"/>
        <v>12494.4</v>
      </c>
      <c r="BI175" s="4">
        <f t="shared" si="124"/>
        <v>0</v>
      </c>
    </row>
    <row r="176" spans="2:61" x14ac:dyDescent="0.3">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3">
      <c r="B177" s="105">
        <v>69</v>
      </c>
      <c r="C177" s="105"/>
      <c r="D177" s="105" t="s">
        <v>504</v>
      </c>
      <c r="E177" s="103">
        <f>E178</f>
        <v>1961429.61</v>
      </c>
      <c r="F177" s="103">
        <f t="shared" ref="F177:BI177" si="125">F178</f>
        <v>5186.8500000000004</v>
      </c>
      <c r="G177" s="103">
        <f t="shared" si="125"/>
        <v>2752359.2</v>
      </c>
      <c r="H177" s="103">
        <f t="shared" si="125"/>
        <v>225335</v>
      </c>
      <c r="I177" s="103">
        <f t="shared" si="125"/>
        <v>2306777.6800000002</v>
      </c>
      <c r="J177" s="103">
        <f t="shared" si="125"/>
        <v>2683861.37</v>
      </c>
      <c r="K177" s="103">
        <f t="shared" si="125"/>
        <v>1170459.24</v>
      </c>
      <c r="L177" s="103">
        <f t="shared" si="125"/>
        <v>17936434.640000001</v>
      </c>
      <c r="M177" s="103">
        <f t="shared" si="125"/>
        <v>259678.55</v>
      </c>
      <c r="N177" s="103">
        <f t="shared" si="125"/>
        <v>41267.75</v>
      </c>
      <c r="O177" s="103">
        <f t="shared" si="125"/>
        <v>3698416.9</v>
      </c>
      <c r="P177" s="103">
        <f t="shared" si="125"/>
        <v>175184.23</v>
      </c>
      <c r="Q177" s="103">
        <f t="shared" si="125"/>
        <v>0</v>
      </c>
      <c r="R177" s="103">
        <f t="shared" si="125"/>
        <v>19797.849999999999</v>
      </c>
      <c r="S177" s="103">
        <f t="shared" si="125"/>
        <v>171236.7</v>
      </c>
      <c r="T177" s="103">
        <f t="shared" si="125"/>
        <v>263158.75</v>
      </c>
      <c r="U177" s="103">
        <f t="shared" si="125"/>
        <v>131008.2</v>
      </c>
      <c r="V177" s="103">
        <f t="shared" si="125"/>
        <v>217980.51</v>
      </c>
      <c r="W177" s="103">
        <f t="shared" si="125"/>
        <v>2336211.5499999998</v>
      </c>
      <c r="X177" s="103">
        <f t="shared" si="125"/>
        <v>67578.350000000006</v>
      </c>
      <c r="Y177" s="103">
        <f t="shared" si="125"/>
        <v>128183.25</v>
      </c>
      <c r="Z177" s="103">
        <f t="shared" si="125"/>
        <v>503623.38</v>
      </c>
      <c r="AA177" s="103">
        <f t="shared" si="125"/>
        <v>0</v>
      </c>
      <c r="AB177" s="103">
        <f t="shared" si="125"/>
        <v>389450.25</v>
      </c>
      <c r="AC177" s="103">
        <f t="shared" si="125"/>
        <v>100268.8</v>
      </c>
      <c r="AD177" s="103">
        <f t="shared" si="125"/>
        <v>611053.91</v>
      </c>
      <c r="AE177" s="103">
        <f t="shared" si="125"/>
        <v>251003.7</v>
      </c>
      <c r="AF177" s="103">
        <f t="shared" si="125"/>
        <v>727420.4</v>
      </c>
      <c r="AG177" s="103">
        <f t="shared" si="125"/>
        <v>678259.1</v>
      </c>
      <c r="AH177" s="103">
        <f t="shared" si="125"/>
        <v>531422.15</v>
      </c>
      <c r="AI177" s="103">
        <f t="shared" si="125"/>
        <v>30396.55</v>
      </c>
      <c r="AJ177" s="103">
        <f t="shared" si="125"/>
        <v>851165</v>
      </c>
      <c r="AK177" s="103">
        <f t="shared" si="125"/>
        <v>2035877.68</v>
      </c>
      <c r="AL177" s="103">
        <f t="shared" si="125"/>
        <v>665423</v>
      </c>
      <c r="AM177" s="103">
        <f t="shared" si="125"/>
        <v>338610.8</v>
      </c>
      <c r="AN177" s="103">
        <f t="shared" si="125"/>
        <v>612014</v>
      </c>
      <c r="AO177" s="103">
        <f t="shared" si="125"/>
        <v>994908.15</v>
      </c>
      <c r="AP177" s="103">
        <f t="shared" si="125"/>
        <v>591125.25</v>
      </c>
      <c r="AQ177" s="103">
        <f t="shared" si="125"/>
        <v>49042.1</v>
      </c>
      <c r="AR177" s="103">
        <f t="shared" si="125"/>
        <v>833925.65</v>
      </c>
      <c r="AS177" s="103">
        <f t="shared" si="125"/>
        <v>86654.55</v>
      </c>
      <c r="AT177" s="103">
        <f t="shared" si="125"/>
        <v>325056.84999999998</v>
      </c>
      <c r="AU177" s="103">
        <f t="shared" si="125"/>
        <v>290607.3</v>
      </c>
      <c r="AV177" s="103">
        <f t="shared" si="125"/>
        <v>610737.26</v>
      </c>
      <c r="AW177" s="103">
        <f t="shared" si="125"/>
        <v>112008.6</v>
      </c>
      <c r="AX177" s="103">
        <f t="shared" si="125"/>
        <v>49000</v>
      </c>
      <c r="AY177" s="103">
        <f t="shared" si="125"/>
        <v>0</v>
      </c>
      <c r="AZ177" s="103">
        <f t="shared" si="125"/>
        <v>19064.099999999999</v>
      </c>
      <c r="BA177" s="103">
        <f t="shared" si="125"/>
        <v>593823.55000000005</v>
      </c>
      <c r="BB177" s="103">
        <f t="shared" si="125"/>
        <v>398381.6</v>
      </c>
      <c r="BC177" s="103">
        <f t="shared" si="125"/>
        <v>0</v>
      </c>
      <c r="BD177" s="103">
        <f>BD178</f>
        <v>3886156.47</v>
      </c>
      <c r="BE177" s="103">
        <f t="shared" si="125"/>
        <v>6219.65</v>
      </c>
      <c r="BF177" s="103">
        <f t="shared" si="125"/>
        <v>53724245.979999989</v>
      </c>
      <c r="BG177" s="103">
        <f t="shared" si="125"/>
        <v>36355784.580000006</v>
      </c>
      <c r="BH177" s="103">
        <f t="shared" si="125"/>
        <v>4869824.84</v>
      </c>
      <c r="BI177" s="103">
        <f t="shared" si="125"/>
        <v>12498636.559999999</v>
      </c>
    </row>
    <row r="178" spans="2:61" x14ac:dyDescent="0.3">
      <c r="C178">
        <v>690</v>
      </c>
      <c r="D178" t="s">
        <v>504</v>
      </c>
      <c r="E178" s="4">
        <v>1961429.61</v>
      </c>
      <c r="F178" s="4">
        <v>5186.8500000000004</v>
      </c>
      <c r="G178" s="4">
        <v>2752359.2</v>
      </c>
      <c r="H178" s="4">
        <v>225335</v>
      </c>
      <c r="I178" s="4">
        <v>2306777.6800000002</v>
      </c>
      <c r="J178" s="4">
        <v>2683861.37</v>
      </c>
      <c r="K178" s="4">
        <v>1170459.24</v>
      </c>
      <c r="L178" s="4">
        <v>17936434.640000001</v>
      </c>
      <c r="M178" s="4">
        <v>259678.55</v>
      </c>
      <c r="N178" s="4">
        <v>41267.75</v>
      </c>
      <c r="O178" s="4">
        <v>3698416.9</v>
      </c>
      <c r="P178" s="4">
        <v>175184.23</v>
      </c>
      <c r="Q178" s="4">
        <v>0</v>
      </c>
      <c r="R178" s="4">
        <v>19797.849999999999</v>
      </c>
      <c r="S178" s="4">
        <v>171236.7</v>
      </c>
      <c r="T178" s="4">
        <v>263158.75</v>
      </c>
      <c r="U178" s="4">
        <v>131008.2</v>
      </c>
      <c r="V178" s="4">
        <v>217980.51</v>
      </c>
      <c r="W178" s="4">
        <v>2336211.5499999998</v>
      </c>
      <c r="X178" s="4">
        <v>67578.350000000006</v>
      </c>
      <c r="Y178" s="4">
        <v>128183.25</v>
      </c>
      <c r="Z178" s="4">
        <v>503623.38</v>
      </c>
      <c r="AA178" s="4">
        <v>0</v>
      </c>
      <c r="AB178" s="4">
        <v>389450.25</v>
      </c>
      <c r="AC178" s="4">
        <v>100268.8</v>
      </c>
      <c r="AD178" s="4">
        <v>611053.91</v>
      </c>
      <c r="AE178" s="4">
        <v>251003.7</v>
      </c>
      <c r="AF178" s="4">
        <v>727420.4</v>
      </c>
      <c r="AG178" s="4">
        <v>678259.1</v>
      </c>
      <c r="AH178" s="4">
        <v>531422.15</v>
      </c>
      <c r="AI178" s="4">
        <v>30396.55</v>
      </c>
      <c r="AJ178" s="4">
        <v>851165</v>
      </c>
      <c r="AK178" s="4">
        <v>2035877.68</v>
      </c>
      <c r="AL178" s="4">
        <v>665423</v>
      </c>
      <c r="AM178" s="4">
        <v>338610.8</v>
      </c>
      <c r="AN178" s="4">
        <v>612014</v>
      </c>
      <c r="AO178" s="4">
        <v>994908.15</v>
      </c>
      <c r="AP178" s="4">
        <v>591125.25</v>
      </c>
      <c r="AQ178" s="4">
        <v>49042.1</v>
      </c>
      <c r="AR178" s="4">
        <v>833925.65</v>
      </c>
      <c r="AS178" s="4">
        <v>86654.55</v>
      </c>
      <c r="AT178" s="4">
        <v>325056.84999999998</v>
      </c>
      <c r="AU178" s="4">
        <v>290607.3</v>
      </c>
      <c r="AV178" s="4">
        <v>610737.26</v>
      </c>
      <c r="AW178" s="4">
        <v>112008.6</v>
      </c>
      <c r="AX178" s="4">
        <v>49000</v>
      </c>
      <c r="AY178" s="4">
        <v>0</v>
      </c>
      <c r="AZ178" s="4">
        <v>19064.099999999999</v>
      </c>
      <c r="BA178" s="4">
        <v>593823.55000000005</v>
      </c>
      <c r="BB178" s="4">
        <v>398381.6</v>
      </c>
      <c r="BC178" s="4">
        <v>0</v>
      </c>
      <c r="BD178" s="4">
        <v>3886156.47</v>
      </c>
      <c r="BE178" s="4">
        <v>6219.65</v>
      </c>
      <c r="BF178" s="4">
        <f t="shared" ref="BF178" si="126">SUM(E178:BE178)</f>
        <v>53724245.979999989</v>
      </c>
      <c r="BG178" s="4">
        <f t="shared" ref="BG178" si="127">SUM(E178:W178)</f>
        <v>36355784.580000006</v>
      </c>
      <c r="BH178" s="4">
        <f t="shared" ref="BH178" si="128">SUM(X178:AJ178)</f>
        <v>4869824.84</v>
      </c>
      <c r="BI178" s="4">
        <f t="shared" ref="BI178" si="129">SUM(AK178:BE178)</f>
        <v>12498636.559999999</v>
      </c>
    </row>
    <row r="179" spans="2:61" x14ac:dyDescent="0.3">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3">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3">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3">
      <c r="D182" s="106" t="s">
        <v>225</v>
      </c>
      <c r="E182" s="109">
        <f>E4-E87</f>
        <v>1441429.61</v>
      </c>
      <c r="F182" s="109">
        <f t="shared" ref="F182:BI182" si="130">F4-F87</f>
        <v>-213871.9</v>
      </c>
      <c r="G182" s="109">
        <f t="shared" si="130"/>
        <v>1711974.9000000004</v>
      </c>
      <c r="H182" s="109">
        <f t="shared" si="130"/>
        <v>-73816.650000000023</v>
      </c>
      <c r="I182" s="109">
        <f t="shared" si="130"/>
        <v>2181341.7800000003</v>
      </c>
      <c r="J182" s="109">
        <f t="shared" si="130"/>
        <v>1910540.2199999997</v>
      </c>
      <c r="K182" s="109">
        <f t="shared" si="130"/>
        <v>1074389.2400000002</v>
      </c>
      <c r="L182" s="109">
        <f t="shared" si="130"/>
        <v>14843351.189999998</v>
      </c>
      <c r="M182" s="109">
        <f t="shared" si="130"/>
        <v>259678.55</v>
      </c>
      <c r="N182" s="109">
        <f t="shared" si="130"/>
        <v>41267.75</v>
      </c>
      <c r="O182" s="109">
        <f t="shared" si="130"/>
        <v>2584951.25</v>
      </c>
      <c r="P182" s="109">
        <f t="shared" si="130"/>
        <v>31019.23000000001</v>
      </c>
      <c r="Q182" s="109">
        <f t="shared" si="130"/>
        <v>0</v>
      </c>
      <c r="R182" s="109">
        <f t="shared" si="130"/>
        <v>19797.849999999999</v>
      </c>
      <c r="S182" s="109">
        <f t="shared" si="130"/>
        <v>171236.7</v>
      </c>
      <c r="T182" s="109">
        <f t="shared" si="130"/>
        <v>263158.75</v>
      </c>
      <c r="U182" s="109">
        <f t="shared" si="130"/>
        <v>114020.5</v>
      </c>
      <c r="V182" s="109">
        <f t="shared" si="130"/>
        <v>-95018.589999999967</v>
      </c>
      <c r="W182" s="109">
        <f t="shared" si="130"/>
        <v>340342.60000000033</v>
      </c>
      <c r="X182" s="109">
        <f t="shared" si="130"/>
        <v>67578.350000000006</v>
      </c>
      <c r="Y182" s="109">
        <f t="shared" si="130"/>
        <v>-1037183.7999999998</v>
      </c>
      <c r="Z182" s="109">
        <f t="shared" si="130"/>
        <v>503623.38</v>
      </c>
      <c r="AA182" s="109">
        <f t="shared" si="130"/>
        <v>0</v>
      </c>
      <c r="AB182" s="109">
        <f t="shared" si="130"/>
        <v>-43584.75</v>
      </c>
      <c r="AC182" s="109">
        <f t="shared" si="130"/>
        <v>92793.8</v>
      </c>
      <c r="AD182" s="109">
        <f t="shared" si="130"/>
        <v>563080.98</v>
      </c>
      <c r="AE182" s="109">
        <f t="shared" si="130"/>
        <v>56302.700000000012</v>
      </c>
      <c r="AF182" s="109">
        <f t="shared" si="130"/>
        <v>256378.40000000002</v>
      </c>
      <c r="AG182" s="109">
        <f t="shared" si="130"/>
        <v>402753.39999999997</v>
      </c>
      <c r="AH182" s="109">
        <f t="shared" si="130"/>
        <v>3937.6500000000233</v>
      </c>
      <c r="AI182" s="109">
        <f t="shared" si="130"/>
        <v>9496.5499999999993</v>
      </c>
      <c r="AJ182" s="109">
        <f t="shared" si="130"/>
        <v>326865</v>
      </c>
      <c r="AK182" s="109">
        <f t="shared" si="130"/>
        <v>2035877.68</v>
      </c>
      <c r="AL182" s="109">
        <f t="shared" si="130"/>
        <v>713644.6</v>
      </c>
      <c r="AM182" s="109">
        <f t="shared" si="130"/>
        <v>332171.75</v>
      </c>
      <c r="AN182" s="109">
        <f t="shared" si="130"/>
        <v>562754</v>
      </c>
      <c r="AO182" s="109">
        <f t="shared" si="130"/>
        <v>989111.14999999991</v>
      </c>
      <c r="AP182" s="109">
        <f t="shared" si="130"/>
        <v>390825.24999999994</v>
      </c>
      <c r="AQ182" s="109">
        <f t="shared" si="130"/>
        <v>39386.100000000006</v>
      </c>
      <c r="AR182" s="109">
        <f t="shared" si="130"/>
        <v>757217.90000000037</v>
      </c>
      <c r="AS182" s="109">
        <f t="shared" si="130"/>
        <v>-81659.450000000012</v>
      </c>
      <c r="AT182" s="109">
        <f t="shared" si="130"/>
        <v>183289.8</v>
      </c>
      <c r="AU182" s="109">
        <f t="shared" si="130"/>
        <v>191917.3</v>
      </c>
      <c r="AV182" s="109">
        <f t="shared" si="130"/>
        <v>606274.71000000008</v>
      </c>
      <c r="AW182" s="109">
        <f t="shared" si="130"/>
        <v>53025.600000000006</v>
      </c>
      <c r="AX182" s="109">
        <f t="shared" si="130"/>
        <v>49000</v>
      </c>
      <c r="AY182" s="109">
        <f t="shared" si="130"/>
        <v>0</v>
      </c>
      <c r="AZ182" s="109">
        <f t="shared" si="130"/>
        <v>281.59999999999854</v>
      </c>
      <c r="BA182" s="109">
        <f t="shared" si="130"/>
        <v>478773.55000000005</v>
      </c>
      <c r="BB182" s="109">
        <f t="shared" si="130"/>
        <v>349925.75000000006</v>
      </c>
      <c r="BC182" s="109">
        <f t="shared" si="130"/>
        <v>0</v>
      </c>
      <c r="BD182" s="109">
        <f t="shared" si="130"/>
        <v>562904.31999999983</v>
      </c>
      <c r="BE182" s="109">
        <f t="shared" si="130"/>
        <v>6219.65</v>
      </c>
      <c r="BF182" s="109">
        <f t="shared" si="130"/>
        <v>36028775.899999999</v>
      </c>
      <c r="BG182" s="109">
        <f t="shared" si="130"/>
        <v>26605792.979999997</v>
      </c>
      <c r="BH182" s="109">
        <f t="shared" si="130"/>
        <v>1202041.6600000011</v>
      </c>
      <c r="BI182" s="109">
        <f t="shared" si="130"/>
        <v>8220941.2600000035</v>
      </c>
    </row>
    <row r="184" spans="2:61" x14ac:dyDescent="0.3">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40" activeCellId="1" sqref="A45 A40"/>
    </sheetView>
  </sheetViews>
  <sheetFormatPr baseColWidth="10" defaultRowHeight="14.4" x14ac:dyDescent="0.3"/>
  <cols>
    <col min="1" max="2" width="5.6640625" customWidth="1"/>
    <col min="3" max="3" width="9" customWidth="1"/>
    <col min="4" max="4" width="63.5546875" customWidth="1"/>
    <col min="5" max="5" width="22.6640625" customWidth="1"/>
  </cols>
  <sheetData>
    <row r="1" spans="1:5" ht="25.8" x14ac:dyDescent="0.5">
      <c r="A1" s="42" t="s">
        <v>761</v>
      </c>
      <c r="B1" s="7"/>
      <c r="C1" s="7"/>
      <c r="D1" s="7"/>
    </row>
    <row r="3" spans="1:5" ht="15" thickBot="1" x14ac:dyDescent="0.35"/>
    <row r="4" spans="1:5" ht="15" thickBot="1" x14ac:dyDescent="0.35">
      <c r="A4" t="s">
        <v>648</v>
      </c>
      <c r="D4" s="174" t="s">
        <v>25</v>
      </c>
    </row>
    <row r="7" spans="1:5" ht="21" x14ac:dyDescent="0.4">
      <c r="A7" s="102">
        <v>5</v>
      </c>
      <c r="B7" s="102"/>
      <c r="C7" s="102"/>
      <c r="D7" s="102" t="s">
        <v>193</v>
      </c>
      <c r="E7" s="185">
        <f>HLOOKUP($D$4,'6.1 Investissements'!$E$3:$BE$185,2,0)</f>
        <v>6219.65</v>
      </c>
    </row>
    <row r="8" spans="1:5" x14ac:dyDescent="0.3">
      <c r="A8" s="78"/>
      <c r="B8" s="69">
        <v>50</v>
      </c>
      <c r="C8" s="69"/>
      <c r="D8" s="69" t="s">
        <v>465</v>
      </c>
      <c r="E8" s="70">
        <f>SUM(E9:E16)</f>
        <v>0</v>
      </c>
    </row>
    <row r="9" spans="1:5" x14ac:dyDescent="0.3">
      <c r="C9">
        <v>500</v>
      </c>
      <c r="D9" t="s">
        <v>467</v>
      </c>
      <c r="E9" s="4">
        <f>HLOOKUP($D$4,'6.1 Investissements'!$E$3:$BE$185,4,0)</f>
        <v>0</v>
      </c>
    </row>
    <row r="10" spans="1:5" x14ac:dyDescent="0.3">
      <c r="C10">
        <v>501</v>
      </c>
      <c r="D10" t="s">
        <v>468</v>
      </c>
      <c r="E10" s="4">
        <f>HLOOKUP($D$4,'6.1 Investissements'!$E$3:$BE$185,5,0)</f>
        <v>0</v>
      </c>
    </row>
    <row r="11" spans="1:5" x14ac:dyDescent="0.3">
      <c r="C11">
        <v>502</v>
      </c>
      <c r="D11" t="s">
        <v>469</v>
      </c>
      <c r="E11" s="4">
        <f>HLOOKUP($D$4,'6.1 Investissements'!$E$3:$BE$185,6,0)</f>
        <v>0</v>
      </c>
    </row>
    <row r="12" spans="1:5" x14ac:dyDescent="0.3">
      <c r="C12">
        <v>503</v>
      </c>
      <c r="D12" t="s">
        <v>470</v>
      </c>
      <c r="E12" s="4">
        <f>HLOOKUP($D$4,'6.1 Investissements'!$E$3:$BE$185,7,0)</f>
        <v>0</v>
      </c>
    </row>
    <row r="13" spans="1:5" x14ac:dyDescent="0.3">
      <c r="C13">
        <v>504</v>
      </c>
      <c r="D13" t="s">
        <v>471</v>
      </c>
      <c r="E13" s="4">
        <f>HLOOKUP($D$4,'6.1 Investissements'!$E$3:$BE$185,8,0)</f>
        <v>0</v>
      </c>
    </row>
    <row r="14" spans="1:5" x14ac:dyDescent="0.3">
      <c r="C14">
        <v>505</v>
      </c>
      <c r="D14" t="s">
        <v>472</v>
      </c>
      <c r="E14" s="4">
        <f>HLOOKUP($D$4,'6.1 Investissements'!$E$3:$BE$185,9,0)</f>
        <v>0</v>
      </c>
    </row>
    <row r="15" spans="1:5" x14ac:dyDescent="0.3">
      <c r="C15">
        <v>506</v>
      </c>
      <c r="D15" t="s">
        <v>473</v>
      </c>
      <c r="E15" s="4">
        <f>HLOOKUP($D$4,'6.1 Investissements'!$E$3:$BE$185,10,0)</f>
        <v>0</v>
      </c>
    </row>
    <row r="16" spans="1:5" x14ac:dyDescent="0.3">
      <c r="C16">
        <v>509</v>
      </c>
      <c r="D16" t="s">
        <v>474</v>
      </c>
      <c r="E16" s="4">
        <f>HLOOKUP($D$4,'6.1 Investissements'!$E$3:$BE$185,11,0)</f>
        <v>0</v>
      </c>
    </row>
    <row r="18" spans="2:5" x14ac:dyDescent="0.3">
      <c r="B18" s="69">
        <v>51</v>
      </c>
      <c r="C18" s="69"/>
      <c r="D18" s="69" t="s">
        <v>466</v>
      </c>
      <c r="E18" s="70">
        <f>SUM(E19:E26)</f>
        <v>0</v>
      </c>
    </row>
    <row r="19" spans="2:5" x14ac:dyDescent="0.3">
      <c r="C19">
        <v>510</v>
      </c>
      <c r="D19" t="s">
        <v>467</v>
      </c>
      <c r="E19" s="4">
        <f>HLOOKUP($D$4,'6.1 Investissements'!$E$3:$BE$185,14,0)</f>
        <v>0</v>
      </c>
    </row>
    <row r="20" spans="2:5" x14ac:dyDescent="0.3">
      <c r="C20">
        <v>511</v>
      </c>
      <c r="D20" t="s">
        <v>468</v>
      </c>
      <c r="E20" s="4">
        <f>HLOOKUP($D$4,'6.1 Investissements'!$E$3:$BE$185,15,0)</f>
        <v>0</v>
      </c>
    </row>
    <row r="21" spans="2:5" x14ac:dyDescent="0.3">
      <c r="C21">
        <v>512</v>
      </c>
      <c r="D21" t="s">
        <v>469</v>
      </c>
      <c r="E21" s="4">
        <f>HLOOKUP($D$4,'6.1 Investissements'!$E$3:$BE$185,16,0)</f>
        <v>0</v>
      </c>
    </row>
    <row r="22" spans="2:5" x14ac:dyDescent="0.3">
      <c r="C22">
        <v>513</v>
      </c>
      <c r="D22" t="s">
        <v>470</v>
      </c>
      <c r="E22" s="4">
        <f>HLOOKUP($D$4,'6.1 Investissements'!$E$3:$BE$185,17,0)</f>
        <v>0</v>
      </c>
    </row>
    <row r="23" spans="2:5" x14ac:dyDescent="0.3">
      <c r="C23">
        <v>514</v>
      </c>
      <c r="D23" t="s">
        <v>471</v>
      </c>
      <c r="E23" s="4">
        <f>HLOOKUP($D$4,'6.1 Investissements'!$E$3:$BE$185,18,0)</f>
        <v>0</v>
      </c>
    </row>
    <row r="24" spans="2:5" x14ac:dyDescent="0.3">
      <c r="C24">
        <v>515</v>
      </c>
      <c r="D24" t="s">
        <v>472</v>
      </c>
      <c r="E24" s="4">
        <f>HLOOKUP($D$4,'6.1 Investissements'!$E$3:$BE$185,19,0)</f>
        <v>0</v>
      </c>
    </row>
    <row r="25" spans="2:5" x14ac:dyDescent="0.3">
      <c r="C25">
        <v>516</v>
      </c>
      <c r="D25" t="s">
        <v>473</v>
      </c>
      <c r="E25" s="4">
        <f>HLOOKUP($D$4,'6.1 Investissements'!$E$3:$BE$185,20,0)</f>
        <v>0</v>
      </c>
    </row>
    <row r="26" spans="2:5" x14ac:dyDescent="0.3">
      <c r="C26">
        <v>519</v>
      </c>
      <c r="D26" t="s">
        <v>474</v>
      </c>
      <c r="E26" s="4">
        <f>HLOOKUP($D$4,'6.1 Investissements'!$E$3:$BE$185,21,0)</f>
        <v>0</v>
      </c>
    </row>
    <row r="28" spans="2:5" x14ac:dyDescent="0.3">
      <c r="B28" s="69">
        <v>52</v>
      </c>
      <c r="C28" s="69"/>
      <c r="D28" s="69" t="s">
        <v>475</v>
      </c>
      <c r="E28" s="70">
        <f>SUM(E29:E31)</f>
        <v>6219.65</v>
      </c>
    </row>
    <row r="29" spans="2:5" x14ac:dyDescent="0.3">
      <c r="C29">
        <v>520</v>
      </c>
      <c r="D29" t="s">
        <v>375</v>
      </c>
      <c r="E29" s="4">
        <f>HLOOKUP($D$4,'6.1 Investissements'!$E$3:$BE$185,24,0)</f>
        <v>0</v>
      </c>
    </row>
    <row r="30" spans="2:5" x14ac:dyDescent="0.3">
      <c r="C30">
        <v>521</v>
      </c>
      <c r="D30" t="s">
        <v>376</v>
      </c>
      <c r="E30" s="4">
        <f>HLOOKUP($D$4,'6.1 Investissements'!$E$3:$BE$185,25,0)</f>
        <v>0</v>
      </c>
    </row>
    <row r="31" spans="2:5" x14ac:dyDescent="0.3">
      <c r="C31">
        <v>529</v>
      </c>
      <c r="D31" t="s">
        <v>476</v>
      </c>
      <c r="E31" s="4">
        <f>HLOOKUP($D$4,'6.1 Investissements'!$E$3:$BE$185,26,0)</f>
        <v>6219.65</v>
      </c>
    </row>
    <row r="33" spans="2:5" x14ac:dyDescent="0.3">
      <c r="B33" s="69">
        <v>54</v>
      </c>
      <c r="C33" s="69"/>
      <c r="D33" s="69" t="s">
        <v>257</v>
      </c>
      <c r="E33" s="70">
        <f>SUM(E34:E42)</f>
        <v>0</v>
      </c>
    </row>
    <row r="34" spans="2:5" x14ac:dyDescent="0.3">
      <c r="C34">
        <v>540</v>
      </c>
      <c r="D34" t="s">
        <v>477</v>
      </c>
      <c r="E34" s="4">
        <f>HLOOKUP($D$4,'6.1 Investissements'!$E$3:$BE$185,29,0)</f>
        <v>0</v>
      </c>
    </row>
    <row r="35" spans="2:5" x14ac:dyDescent="0.3">
      <c r="C35">
        <v>541</v>
      </c>
      <c r="D35" t="s">
        <v>478</v>
      </c>
      <c r="E35" s="4">
        <f>HLOOKUP($D$4,'6.1 Investissements'!$E$3:$BE$185,30,0)</f>
        <v>0</v>
      </c>
    </row>
    <row r="36" spans="2:5" x14ac:dyDescent="0.3">
      <c r="C36">
        <v>542</v>
      </c>
      <c r="D36" t="s">
        <v>479</v>
      </c>
      <c r="E36" s="4">
        <f>HLOOKUP($D$4,'6.1 Investissements'!$E$3:$BE$185,31,0)</f>
        <v>0</v>
      </c>
    </row>
    <row r="37" spans="2:5" x14ac:dyDescent="0.3">
      <c r="C37">
        <v>543</v>
      </c>
      <c r="D37" t="s">
        <v>480</v>
      </c>
      <c r="E37" s="4">
        <f>HLOOKUP($D$4,'6.1 Investissements'!$E$3:$BE$185,32,0)</f>
        <v>0</v>
      </c>
    </row>
    <row r="38" spans="2:5" x14ac:dyDescent="0.3">
      <c r="C38">
        <v>544</v>
      </c>
      <c r="D38" t="s">
        <v>481</v>
      </c>
      <c r="E38" s="4">
        <f>HLOOKUP($D$4,'6.1 Investissements'!$E$3:$BE$185,33,0)</f>
        <v>0</v>
      </c>
    </row>
    <row r="39" spans="2:5" x14ac:dyDescent="0.3">
      <c r="C39">
        <v>545</v>
      </c>
      <c r="D39" t="s">
        <v>482</v>
      </c>
      <c r="E39" s="4">
        <f>HLOOKUP($D$4,'6.1 Investissements'!$E$3:$BE$185,34,0)</f>
        <v>0</v>
      </c>
    </row>
    <row r="40" spans="2:5" x14ac:dyDescent="0.3">
      <c r="C40">
        <v>546</v>
      </c>
      <c r="D40" t="s">
        <v>483</v>
      </c>
      <c r="E40" s="4">
        <f>HLOOKUP($D$4,'6.1 Investissements'!$E$3:$BE$185,35,0)</f>
        <v>0</v>
      </c>
    </row>
    <row r="41" spans="2:5" x14ac:dyDescent="0.3">
      <c r="C41">
        <v>547</v>
      </c>
      <c r="D41" t="s">
        <v>484</v>
      </c>
      <c r="E41" s="4">
        <f>HLOOKUP($D$4,'6.1 Investissements'!$E$3:$BE$185,36,0)</f>
        <v>0</v>
      </c>
    </row>
    <row r="42" spans="2:5" x14ac:dyDescent="0.3">
      <c r="C42">
        <v>548</v>
      </c>
      <c r="D42" t="s">
        <v>485</v>
      </c>
      <c r="E42" s="4">
        <f>HLOOKUP($D$4,'6.1 Investissements'!$E$3:$BE$185,37,0)</f>
        <v>0</v>
      </c>
    </row>
    <row r="44" spans="2:5" x14ac:dyDescent="0.3">
      <c r="B44" s="69">
        <v>55</v>
      </c>
      <c r="C44" s="69"/>
      <c r="D44" s="69" t="s">
        <v>388</v>
      </c>
      <c r="E44" s="70">
        <f>SUM(E45:E53)</f>
        <v>0</v>
      </c>
    </row>
    <row r="45" spans="2:5" x14ac:dyDescent="0.3">
      <c r="C45">
        <v>550</v>
      </c>
      <c r="D45" t="s">
        <v>477</v>
      </c>
      <c r="E45" s="4">
        <f>HLOOKUP($D$4,'6.1 Investissements'!$E$3:$BE$185,40,0)</f>
        <v>0</v>
      </c>
    </row>
    <row r="46" spans="2:5" x14ac:dyDescent="0.3">
      <c r="C46">
        <v>551</v>
      </c>
      <c r="D46" t="s">
        <v>478</v>
      </c>
      <c r="E46" s="4">
        <f>HLOOKUP($D$4,'6.1 Investissements'!$E$3:$BE$185,41,0)</f>
        <v>0</v>
      </c>
    </row>
    <row r="47" spans="2:5" x14ac:dyDescent="0.3">
      <c r="C47">
        <v>552</v>
      </c>
      <c r="D47" t="s">
        <v>479</v>
      </c>
      <c r="E47" s="4">
        <f>HLOOKUP($D$4,'6.1 Investissements'!$E$3:$BE$185,42,0)</f>
        <v>0</v>
      </c>
    </row>
    <row r="48" spans="2:5" x14ac:dyDescent="0.3">
      <c r="C48">
        <v>553</v>
      </c>
      <c r="D48" t="s">
        <v>480</v>
      </c>
      <c r="E48" s="4">
        <f>HLOOKUP($D$4,'6.1 Investissements'!$E$3:$BE$185,43,0)</f>
        <v>0</v>
      </c>
    </row>
    <row r="49" spans="2:5" x14ac:dyDescent="0.3">
      <c r="C49">
        <v>554</v>
      </c>
      <c r="D49" t="s">
        <v>481</v>
      </c>
      <c r="E49" s="4">
        <f>HLOOKUP($D$4,'6.1 Investissements'!$E$3:$BE$185,44,0)</f>
        <v>0</v>
      </c>
    </row>
    <row r="50" spans="2:5" x14ac:dyDescent="0.3">
      <c r="C50">
        <v>555</v>
      </c>
      <c r="D50" t="s">
        <v>482</v>
      </c>
      <c r="E50" s="4">
        <f>HLOOKUP($D$4,'6.1 Investissements'!$E$3:$BE$185,45,0)</f>
        <v>0</v>
      </c>
    </row>
    <row r="51" spans="2:5" x14ac:dyDescent="0.3">
      <c r="C51">
        <v>556</v>
      </c>
      <c r="D51" t="s">
        <v>483</v>
      </c>
      <c r="E51" s="4">
        <f>HLOOKUP($D$4,'6.1 Investissements'!$E$3:$BE$185,46,0)</f>
        <v>0</v>
      </c>
    </row>
    <row r="52" spans="2:5" x14ac:dyDescent="0.3">
      <c r="C52">
        <v>557</v>
      </c>
      <c r="D52" t="s">
        <v>484</v>
      </c>
      <c r="E52" s="4">
        <f>HLOOKUP($D$4,'6.1 Investissements'!$E$3:$BE$185,47,0)</f>
        <v>0</v>
      </c>
    </row>
    <row r="53" spans="2:5" x14ac:dyDescent="0.3">
      <c r="C53">
        <v>558</v>
      </c>
      <c r="D53" t="s">
        <v>485</v>
      </c>
      <c r="E53" s="4">
        <f>HLOOKUP($D$4,'6.1 Investissements'!$E$3:$BE$185,48,0)</f>
        <v>0</v>
      </c>
    </row>
    <row r="55" spans="2:5" x14ac:dyDescent="0.3">
      <c r="B55" s="69">
        <v>56</v>
      </c>
      <c r="C55" s="69"/>
      <c r="D55" s="69" t="s">
        <v>486</v>
      </c>
      <c r="E55" s="70">
        <f>SUM(E56:E64)</f>
        <v>0</v>
      </c>
    </row>
    <row r="56" spans="2:5" x14ac:dyDescent="0.3">
      <c r="C56">
        <v>560</v>
      </c>
      <c r="D56" t="s">
        <v>477</v>
      </c>
      <c r="E56" s="4">
        <f>HLOOKUP($D$4,'6.1 Investissements'!$E$3:$BE$185,51,0)</f>
        <v>0</v>
      </c>
    </row>
    <row r="57" spans="2:5" x14ac:dyDescent="0.3">
      <c r="C57">
        <v>561</v>
      </c>
      <c r="D57" t="s">
        <v>478</v>
      </c>
      <c r="E57" s="4">
        <f>HLOOKUP($D$4,'6.1 Investissements'!$E$3:$BE$185,52,0)</f>
        <v>0</v>
      </c>
    </row>
    <row r="58" spans="2:5" x14ac:dyDescent="0.3">
      <c r="C58">
        <v>562</v>
      </c>
      <c r="D58" t="s">
        <v>479</v>
      </c>
      <c r="E58" s="4">
        <f>HLOOKUP($D$4,'6.1 Investissements'!$E$3:$BE$185,53,0)</f>
        <v>0</v>
      </c>
    </row>
    <row r="59" spans="2:5" x14ac:dyDescent="0.3">
      <c r="C59">
        <v>563</v>
      </c>
      <c r="D59" t="s">
        <v>480</v>
      </c>
      <c r="E59" s="4">
        <f>HLOOKUP($D$4,'6.1 Investissements'!$E$3:$BE$185,54,0)</f>
        <v>0</v>
      </c>
    </row>
    <row r="60" spans="2:5" x14ac:dyDescent="0.3">
      <c r="C60">
        <v>564</v>
      </c>
      <c r="D60" t="s">
        <v>481</v>
      </c>
      <c r="E60" s="4">
        <f>HLOOKUP($D$4,'6.1 Investissements'!$E$3:$BE$185,55,0)</f>
        <v>0</v>
      </c>
    </row>
    <row r="61" spans="2:5" x14ac:dyDescent="0.3">
      <c r="C61">
        <v>565</v>
      </c>
      <c r="D61" t="s">
        <v>482</v>
      </c>
      <c r="E61" s="4">
        <f>HLOOKUP($D$4,'6.1 Investissements'!$E$3:$BE$185,56,0)</f>
        <v>0</v>
      </c>
    </row>
    <row r="62" spans="2:5" x14ac:dyDescent="0.3">
      <c r="C62">
        <v>566</v>
      </c>
      <c r="D62" t="s">
        <v>483</v>
      </c>
      <c r="E62" s="4">
        <f>HLOOKUP($D$4,'6.1 Investissements'!$E$3:$BE$185,57,0)</f>
        <v>0</v>
      </c>
    </row>
    <row r="63" spans="2:5" x14ac:dyDescent="0.3">
      <c r="C63">
        <v>567</v>
      </c>
      <c r="D63" t="s">
        <v>484</v>
      </c>
      <c r="E63" s="4">
        <f>HLOOKUP($D$4,'6.1 Investissements'!$E$3:$BE$185,58,0)</f>
        <v>0</v>
      </c>
    </row>
    <row r="64" spans="2:5" x14ac:dyDescent="0.3">
      <c r="C64">
        <v>568</v>
      </c>
      <c r="D64" t="s">
        <v>485</v>
      </c>
      <c r="E64" s="4">
        <f>HLOOKUP($D$4,'6.1 Investissements'!$E$3:$BE$185,59,0)</f>
        <v>0</v>
      </c>
    </row>
    <row r="66" spans="2:5" x14ac:dyDescent="0.3">
      <c r="B66" s="69">
        <v>57</v>
      </c>
      <c r="C66" s="69"/>
      <c r="D66" s="69" t="s">
        <v>487</v>
      </c>
      <c r="E66" s="70">
        <f>SUM(E67:E75)</f>
        <v>0</v>
      </c>
    </row>
    <row r="67" spans="2:5" x14ac:dyDescent="0.3">
      <c r="C67">
        <v>570</v>
      </c>
      <c r="D67" t="s">
        <v>477</v>
      </c>
      <c r="E67" s="4">
        <f>HLOOKUP($D$4,'6.1 Investissements'!$E$3:$BE$185,62,0)</f>
        <v>0</v>
      </c>
    </row>
    <row r="68" spans="2:5" x14ac:dyDescent="0.3">
      <c r="C68">
        <v>571</v>
      </c>
      <c r="D68" t="s">
        <v>478</v>
      </c>
      <c r="E68" s="4">
        <f>HLOOKUP($D$4,'6.1 Investissements'!$E$3:$BE$185,63,0)</f>
        <v>0</v>
      </c>
    </row>
    <row r="69" spans="2:5" x14ac:dyDescent="0.3">
      <c r="C69">
        <v>572</v>
      </c>
      <c r="D69" t="s">
        <v>479</v>
      </c>
      <c r="E69" s="4">
        <f>HLOOKUP($D$4,'6.1 Investissements'!$E$3:$BE$185,64,0)</f>
        <v>0</v>
      </c>
    </row>
    <row r="70" spans="2:5" x14ac:dyDescent="0.3">
      <c r="C70">
        <v>573</v>
      </c>
      <c r="D70" t="s">
        <v>480</v>
      </c>
      <c r="E70" s="4">
        <f>HLOOKUP($D$4,'6.1 Investissements'!$E$3:$BE$185,65,0)</f>
        <v>0</v>
      </c>
    </row>
    <row r="71" spans="2:5" x14ac:dyDescent="0.3">
      <c r="C71">
        <v>574</v>
      </c>
      <c r="D71" t="s">
        <v>481</v>
      </c>
      <c r="E71" s="4">
        <f>HLOOKUP($D$4,'6.1 Investissements'!$E$3:$BE$185,66,0)</f>
        <v>0</v>
      </c>
    </row>
    <row r="72" spans="2:5" x14ac:dyDescent="0.3">
      <c r="C72">
        <v>575</v>
      </c>
      <c r="D72" t="s">
        <v>482</v>
      </c>
      <c r="E72" s="4">
        <f>HLOOKUP($D$4,'6.1 Investissements'!$E$3:$BE$185,67,0)</f>
        <v>0</v>
      </c>
    </row>
    <row r="73" spans="2:5" x14ac:dyDescent="0.3">
      <c r="C73">
        <v>576</v>
      </c>
      <c r="D73" t="s">
        <v>483</v>
      </c>
      <c r="E73" s="4">
        <f>HLOOKUP($D$4,'6.1 Investissements'!$E$3:$BE$185,68,0)</f>
        <v>0</v>
      </c>
    </row>
    <row r="74" spans="2:5" x14ac:dyDescent="0.3">
      <c r="C74">
        <v>577</v>
      </c>
      <c r="D74" t="s">
        <v>484</v>
      </c>
      <c r="E74" s="4">
        <f>HLOOKUP($D$4,'6.1 Investissements'!$E$3:$BE$185,69,0)</f>
        <v>0</v>
      </c>
    </row>
    <row r="75" spans="2:5" x14ac:dyDescent="0.3">
      <c r="C75">
        <v>578</v>
      </c>
      <c r="D75" t="s">
        <v>485</v>
      </c>
      <c r="E75" s="4">
        <f>HLOOKUP($D$4,'6.1 Investissements'!$E$3:$BE$185,70,0)</f>
        <v>0</v>
      </c>
    </row>
    <row r="77" spans="2:5" x14ac:dyDescent="0.3">
      <c r="B77" s="69">
        <v>58</v>
      </c>
      <c r="C77" s="69"/>
      <c r="D77" s="69" t="s">
        <v>488</v>
      </c>
      <c r="E77" s="70">
        <f>SUM(E78:E83)</f>
        <v>0</v>
      </c>
    </row>
    <row r="78" spans="2:5" x14ac:dyDescent="0.3">
      <c r="C78">
        <v>580</v>
      </c>
      <c r="D78" t="s">
        <v>465</v>
      </c>
      <c r="E78" s="4">
        <f>HLOOKUP($D$4,'6.1 Investissements'!$E$3:$BE$185,73,0)</f>
        <v>0</v>
      </c>
    </row>
    <row r="79" spans="2:5" x14ac:dyDescent="0.3">
      <c r="C79">
        <v>582</v>
      </c>
      <c r="D79" t="s">
        <v>475</v>
      </c>
      <c r="E79" s="4">
        <f>HLOOKUP($D$4,'6.1 Investissements'!$E$3:$BE$185,74,0)</f>
        <v>0</v>
      </c>
    </row>
    <row r="80" spans="2:5" x14ac:dyDescent="0.3">
      <c r="C80">
        <v>584</v>
      </c>
      <c r="D80" t="s">
        <v>257</v>
      </c>
      <c r="E80" s="4">
        <f>HLOOKUP($D$4,'6.1 Investissements'!$E$3:$BE$185,75,0)</f>
        <v>0</v>
      </c>
    </row>
    <row r="81" spans="1:5" x14ac:dyDescent="0.3">
      <c r="C81">
        <v>585</v>
      </c>
      <c r="D81" t="s">
        <v>388</v>
      </c>
      <c r="E81" s="4">
        <f>HLOOKUP($D$4,'6.1 Investissements'!$E$3:$BE$185,76,0)</f>
        <v>0</v>
      </c>
    </row>
    <row r="82" spans="1:5" x14ac:dyDescent="0.3">
      <c r="C82">
        <v>586</v>
      </c>
      <c r="D82" t="s">
        <v>489</v>
      </c>
      <c r="E82" s="4">
        <f>HLOOKUP($D$4,'6.1 Investissements'!$E$3:$BE$185,77,0)</f>
        <v>0</v>
      </c>
    </row>
    <row r="83" spans="1:5" x14ac:dyDescent="0.3">
      <c r="C83">
        <v>589</v>
      </c>
      <c r="D83" t="s">
        <v>490</v>
      </c>
      <c r="E83" s="4">
        <f>HLOOKUP($D$4,'6.1 Investissements'!$E$3:$BE$185,78,0)</f>
        <v>0</v>
      </c>
    </row>
    <row r="85" spans="1:5" x14ac:dyDescent="0.3">
      <c r="B85" s="69">
        <v>59</v>
      </c>
      <c r="C85" s="69"/>
      <c r="D85" s="69" t="s">
        <v>491</v>
      </c>
      <c r="E85" s="70">
        <f>SUM(E86)</f>
        <v>0</v>
      </c>
    </row>
    <row r="86" spans="1:5" x14ac:dyDescent="0.3">
      <c r="C86">
        <v>590</v>
      </c>
      <c r="D86" t="s">
        <v>491</v>
      </c>
      <c r="E86" s="4">
        <f>HLOOKUP($D$4,'6.1 Investissements'!$E$3:$BE$185,81,0)</f>
        <v>0</v>
      </c>
    </row>
    <row r="90" spans="1:5" ht="21" x14ac:dyDescent="0.4">
      <c r="A90" s="104">
        <v>6</v>
      </c>
      <c r="B90" s="104"/>
      <c r="C90" s="104"/>
      <c r="D90" s="104" t="s">
        <v>492</v>
      </c>
      <c r="E90" s="186">
        <f>HLOOKUP($D$4,'6.1 Investissements'!$E$3:$BE$185,85,0)</f>
        <v>0</v>
      </c>
    </row>
    <row r="91" spans="1:5" x14ac:dyDescent="0.3">
      <c r="A91" s="7"/>
      <c r="B91" s="105">
        <v>60</v>
      </c>
      <c r="C91" s="105"/>
      <c r="D91" s="105" t="s">
        <v>493</v>
      </c>
      <c r="E91" s="103">
        <f>SUM(E92:E99)</f>
        <v>0</v>
      </c>
    </row>
    <row r="92" spans="1:5" x14ac:dyDescent="0.3">
      <c r="C92">
        <v>600</v>
      </c>
      <c r="D92" t="s">
        <v>467</v>
      </c>
      <c r="E92" s="4">
        <f>HLOOKUP($D$4,'6.1 Investissements'!$E$3:$BE$185,87,0)</f>
        <v>0</v>
      </c>
    </row>
    <row r="93" spans="1:5" x14ac:dyDescent="0.3">
      <c r="C93">
        <v>601</v>
      </c>
      <c r="D93" t="s">
        <v>468</v>
      </c>
      <c r="E93" s="4">
        <f>HLOOKUP($D$4,'6.1 Investissements'!$E$3:$BE$185,88,0)</f>
        <v>0</v>
      </c>
    </row>
    <row r="94" spans="1:5" x14ac:dyDescent="0.3">
      <c r="C94">
        <v>602</v>
      </c>
      <c r="D94" t="s">
        <v>469</v>
      </c>
      <c r="E94" s="4">
        <f>HLOOKUP($D$4,'6.1 Investissements'!$E$3:$BE$185,89,0)</f>
        <v>0</v>
      </c>
    </row>
    <row r="95" spans="1:5" x14ac:dyDescent="0.3">
      <c r="C95">
        <v>603</v>
      </c>
      <c r="D95" t="s">
        <v>470</v>
      </c>
      <c r="E95" s="4">
        <f>HLOOKUP($D$4,'6.1 Investissements'!$E$3:$BE$185,90,0)</f>
        <v>0</v>
      </c>
    </row>
    <row r="96" spans="1:5" x14ac:dyDescent="0.3">
      <c r="C96">
        <v>604</v>
      </c>
      <c r="D96" t="s">
        <v>471</v>
      </c>
      <c r="E96" s="4">
        <f>HLOOKUP($D$4,'6.1 Investissements'!$E$3:$BE$185,91,0)</f>
        <v>0</v>
      </c>
    </row>
    <row r="97" spans="2:5" x14ac:dyDescent="0.3">
      <c r="C97">
        <v>605</v>
      </c>
      <c r="D97" t="s">
        <v>472</v>
      </c>
      <c r="E97" s="4">
        <f>HLOOKUP($D$4,'6.1 Investissements'!$E$3:$BE$185,92,0)</f>
        <v>0</v>
      </c>
    </row>
    <row r="98" spans="2:5" x14ac:dyDescent="0.3">
      <c r="C98">
        <v>606</v>
      </c>
      <c r="D98" t="s">
        <v>473</v>
      </c>
      <c r="E98" s="4">
        <f>HLOOKUP($D$4,'6.1 Investissements'!$E$3:$BE$185,93,0)</f>
        <v>0</v>
      </c>
    </row>
    <row r="99" spans="2:5" x14ac:dyDescent="0.3">
      <c r="C99">
        <v>609</v>
      </c>
      <c r="D99" t="s">
        <v>474</v>
      </c>
      <c r="E99" s="4">
        <f>HLOOKUP($D$4,'6.1 Investissements'!$E$3:$BE$185,94,0)</f>
        <v>0</v>
      </c>
    </row>
    <row r="101" spans="2:5" x14ac:dyDescent="0.3">
      <c r="B101" s="105">
        <v>61</v>
      </c>
      <c r="C101" s="105"/>
      <c r="D101" s="105" t="s">
        <v>494</v>
      </c>
      <c r="E101" s="103">
        <f>SUM(E102:E109)</f>
        <v>0</v>
      </c>
    </row>
    <row r="102" spans="2:5" x14ac:dyDescent="0.3">
      <c r="C102">
        <v>610</v>
      </c>
      <c r="D102" t="s">
        <v>467</v>
      </c>
      <c r="E102" s="4">
        <f>HLOOKUP($D$4,'6.1 Investissements'!$E$3:$BE$185,97,0)</f>
        <v>0</v>
      </c>
    </row>
    <row r="103" spans="2:5" x14ac:dyDescent="0.3">
      <c r="C103">
        <v>611</v>
      </c>
      <c r="D103" t="s">
        <v>468</v>
      </c>
      <c r="E103" s="4">
        <f>HLOOKUP($D$4,'6.1 Investissements'!$E$3:$BE$185,98,0)</f>
        <v>0</v>
      </c>
    </row>
    <row r="104" spans="2:5" x14ac:dyDescent="0.3">
      <c r="C104">
        <v>612</v>
      </c>
      <c r="D104" t="s">
        <v>469</v>
      </c>
      <c r="E104" s="4">
        <f>HLOOKUP($D$4,'6.1 Investissements'!$E$3:$BE$185,99,0)</f>
        <v>0</v>
      </c>
    </row>
    <row r="105" spans="2:5" x14ac:dyDescent="0.3">
      <c r="C105">
        <v>613</v>
      </c>
      <c r="D105" t="s">
        <v>470</v>
      </c>
      <c r="E105" s="4">
        <f>HLOOKUP($D$4,'6.1 Investissements'!$E$3:$BE$185,100,0)</f>
        <v>0</v>
      </c>
    </row>
    <row r="106" spans="2:5" x14ac:dyDescent="0.3">
      <c r="C106">
        <v>614</v>
      </c>
      <c r="D106" t="s">
        <v>471</v>
      </c>
      <c r="E106" s="4">
        <f>HLOOKUP($D$4,'6.1 Investissements'!$E$3:$BE$185,101,0)</f>
        <v>0</v>
      </c>
    </row>
    <row r="107" spans="2:5" x14ac:dyDescent="0.3">
      <c r="C107">
        <v>615</v>
      </c>
      <c r="D107" t="s">
        <v>472</v>
      </c>
      <c r="E107" s="4">
        <f>HLOOKUP($D$4,'6.1 Investissements'!$E$3:$BE$185,102,0)</f>
        <v>0</v>
      </c>
    </row>
    <row r="108" spans="2:5" x14ac:dyDescent="0.3">
      <c r="C108">
        <v>616</v>
      </c>
      <c r="D108" t="s">
        <v>473</v>
      </c>
      <c r="E108" s="4">
        <f>HLOOKUP($D$4,'6.1 Investissements'!$E$3:$BE$185,103,0)</f>
        <v>0</v>
      </c>
    </row>
    <row r="109" spans="2:5" x14ac:dyDescent="0.3">
      <c r="C109">
        <v>619</v>
      </c>
      <c r="D109" t="s">
        <v>474</v>
      </c>
      <c r="E109" s="4">
        <f>HLOOKUP($D$4,'6.1 Investissements'!$E$3:$BE$185,104,0)</f>
        <v>0</v>
      </c>
    </row>
    <row r="111" spans="2:5" x14ac:dyDescent="0.3">
      <c r="B111" s="105">
        <v>62</v>
      </c>
      <c r="C111" s="105"/>
      <c r="D111" s="105" t="s">
        <v>495</v>
      </c>
      <c r="E111" s="103">
        <f>SUM(E112:E114)</f>
        <v>0</v>
      </c>
    </row>
    <row r="112" spans="2:5" x14ac:dyDescent="0.3">
      <c r="C112">
        <v>620</v>
      </c>
      <c r="D112" t="s">
        <v>375</v>
      </c>
      <c r="E112" s="4">
        <f>HLOOKUP($D$4,'6.1 Investissements'!$E$3:$BE$185,107,0)</f>
        <v>0</v>
      </c>
    </row>
    <row r="113" spans="2:5" x14ac:dyDescent="0.3">
      <c r="C113">
        <v>621</v>
      </c>
      <c r="D113" t="s">
        <v>376</v>
      </c>
      <c r="E113" s="4">
        <f>HLOOKUP($D$4,'6.1 Investissements'!$E$3:$BE$185,108,0)</f>
        <v>0</v>
      </c>
    </row>
    <row r="114" spans="2:5" x14ac:dyDescent="0.3">
      <c r="C114">
        <v>629</v>
      </c>
      <c r="D114" t="s">
        <v>476</v>
      </c>
      <c r="E114" s="4">
        <f>HLOOKUP($D$4,'6.1 Investissements'!$E$3:$BE$185,109,0)</f>
        <v>0</v>
      </c>
    </row>
    <row r="116" spans="2:5" x14ac:dyDescent="0.3">
      <c r="B116" s="105">
        <v>63</v>
      </c>
      <c r="C116" s="105"/>
      <c r="D116" s="105" t="s">
        <v>496</v>
      </c>
      <c r="E116" s="103">
        <f>SUM(E117:E125)</f>
        <v>0</v>
      </c>
    </row>
    <row r="117" spans="2:5" x14ac:dyDescent="0.3">
      <c r="C117">
        <v>630</v>
      </c>
      <c r="D117" t="s">
        <v>477</v>
      </c>
      <c r="E117" s="4">
        <f>HLOOKUP($D$4,'6.1 Investissements'!$E$3:$BE$185,112,0)</f>
        <v>0</v>
      </c>
    </row>
    <row r="118" spans="2:5" x14ac:dyDescent="0.3">
      <c r="C118">
        <v>631</v>
      </c>
      <c r="D118" t="s">
        <v>478</v>
      </c>
      <c r="E118" s="4">
        <f>HLOOKUP($D$4,'6.1 Investissements'!$E$3:$BE$185,113,0)</f>
        <v>0</v>
      </c>
    </row>
    <row r="119" spans="2:5" x14ac:dyDescent="0.3">
      <c r="C119">
        <v>632</v>
      </c>
      <c r="D119" t="s">
        <v>479</v>
      </c>
      <c r="E119" s="4">
        <f>HLOOKUP($D$4,'6.1 Investissements'!$E$3:$BE$185,114,0)</f>
        <v>0</v>
      </c>
    </row>
    <row r="120" spans="2:5" x14ac:dyDescent="0.3">
      <c r="C120">
        <v>633</v>
      </c>
      <c r="D120" t="s">
        <v>480</v>
      </c>
      <c r="E120" s="4">
        <f>HLOOKUP($D$4,'6.1 Investissements'!$E$3:$BE$185,115,0)</f>
        <v>0</v>
      </c>
    </row>
    <row r="121" spans="2:5" x14ac:dyDescent="0.3">
      <c r="C121">
        <v>634</v>
      </c>
      <c r="D121" t="s">
        <v>481</v>
      </c>
      <c r="E121" s="4">
        <f>HLOOKUP($D$4,'6.1 Investissements'!$E$3:$BE$185,116,0)</f>
        <v>0</v>
      </c>
    </row>
    <row r="122" spans="2:5" x14ac:dyDescent="0.3">
      <c r="C122">
        <v>635</v>
      </c>
      <c r="D122" t="s">
        <v>482</v>
      </c>
      <c r="E122" s="4">
        <f>HLOOKUP($D$4,'6.1 Investissements'!$E$3:$BE$185,117,0)</f>
        <v>0</v>
      </c>
    </row>
    <row r="123" spans="2:5" x14ac:dyDescent="0.3">
      <c r="C123">
        <v>636</v>
      </c>
      <c r="D123" t="s">
        <v>483</v>
      </c>
      <c r="E123" s="4">
        <f>HLOOKUP($D$4,'6.1 Investissements'!$E$3:$BE$185,118,0)</f>
        <v>0</v>
      </c>
    </row>
    <row r="124" spans="2:5" x14ac:dyDescent="0.3">
      <c r="C124">
        <v>637</v>
      </c>
      <c r="D124" t="s">
        <v>484</v>
      </c>
      <c r="E124" s="4">
        <f>HLOOKUP($D$4,'6.1 Investissements'!$E$3:$BE$185,119,0)</f>
        <v>0</v>
      </c>
    </row>
    <row r="125" spans="2:5" x14ac:dyDescent="0.3">
      <c r="C125">
        <v>638</v>
      </c>
      <c r="D125" t="s">
        <v>485</v>
      </c>
      <c r="E125" s="4">
        <f>HLOOKUP($D$4,'6.1 Investissements'!$E$3:$BE$185,120,0)</f>
        <v>0</v>
      </c>
    </row>
    <row r="127" spans="2:5" x14ac:dyDescent="0.3">
      <c r="B127" s="105">
        <v>64</v>
      </c>
      <c r="C127" s="105"/>
      <c r="D127" s="105" t="s">
        <v>497</v>
      </c>
      <c r="E127" s="103">
        <f>SUM(E128:E136)</f>
        <v>0</v>
      </c>
    </row>
    <row r="128" spans="2:5" x14ac:dyDescent="0.3">
      <c r="C128">
        <v>640</v>
      </c>
      <c r="D128" t="s">
        <v>477</v>
      </c>
      <c r="E128" s="4">
        <f>HLOOKUP($D$4,'6.1 Investissements'!$E$3:$BE$185,123,0)</f>
        <v>0</v>
      </c>
    </row>
    <row r="129" spans="2:5" x14ac:dyDescent="0.3">
      <c r="C129">
        <v>641</v>
      </c>
      <c r="D129" t="s">
        <v>478</v>
      </c>
      <c r="E129" s="4">
        <f>HLOOKUP($D$4,'6.1 Investissements'!$E$3:$BE$185,124,0)</f>
        <v>0</v>
      </c>
    </row>
    <row r="130" spans="2:5" x14ac:dyDescent="0.3">
      <c r="C130">
        <v>642</v>
      </c>
      <c r="D130" t="s">
        <v>479</v>
      </c>
      <c r="E130" s="4">
        <f>HLOOKUP($D$4,'6.1 Investissements'!$E$3:$BE$185,125,0)</f>
        <v>0</v>
      </c>
    </row>
    <row r="131" spans="2:5" x14ac:dyDescent="0.3">
      <c r="C131">
        <v>643</v>
      </c>
      <c r="D131" t="s">
        <v>480</v>
      </c>
      <c r="E131" s="4">
        <f>HLOOKUP($D$4,'6.1 Investissements'!$E$3:$BE$185,126,0)</f>
        <v>0</v>
      </c>
    </row>
    <row r="132" spans="2:5" x14ac:dyDescent="0.3">
      <c r="C132">
        <v>644</v>
      </c>
      <c r="D132" t="s">
        <v>481</v>
      </c>
      <c r="E132" s="4">
        <f>HLOOKUP($D$4,'6.1 Investissements'!$E$3:$BE$185,127,0)</f>
        <v>0</v>
      </c>
    </row>
    <row r="133" spans="2:5" x14ac:dyDescent="0.3">
      <c r="C133">
        <v>645</v>
      </c>
      <c r="D133" t="s">
        <v>482</v>
      </c>
      <c r="E133" s="4">
        <f>HLOOKUP($D$4,'6.1 Investissements'!$E$3:$BE$185,128,0)</f>
        <v>0</v>
      </c>
    </row>
    <row r="134" spans="2:5" x14ac:dyDescent="0.3">
      <c r="C134">
        <v>646</v>
      </c>
      <c r="D134" t="s">
        <v>483</v>
      </c>
      <c r="E134" s="4">
        <f>HLOOKUP($D$4,'6.1 Investissements'!$E$3:$BE$185,129,0)</f>
        <v>0</v>
      </c>
    </row>
    <row r="135" spans="2:5" x14ac:dyDescent="0.3">
      <c r="C135">
        <v>647</v>
      </c>
      <c r="D135" t="s">
        <v>484</v>
      </c>
      <c r="E135" s="4">
        <f>HLOOKUP($D$4,'6.1 Investissements'!$E$3:$BE$185,130,0)</f>
        <v>0</v>
      </c>
    </row>
    <row r="136" spans="2:5" x14ac:dyDescent="0.3">
      <c r="C136">
        <v>648</v>
      </c>
      <c r="D136" t="s">
        <v>485</v>
      </c>
      <c r="E136" s="4">
        <f>HLOOKUP($D$4,'6.1 Investissements'!$E$3:$BE$185,131,0)</f>
        <v>0</v>
      </c>
    </row>
    <row r="138" spans="2:5" x14ac:dyDescent="0.3">
      <c r="B138" s="105">
        <v>65</v>
      </c>
      <c r="C138" s="105"/>
      <c r="D138" s="105" t="s">
        <v>498</v>
      </c>
      <c r="E138" s="103">
        <f>SUM(E139:E147)</f>
        <v>0</v>
      </c>
    </row>
    <row r="139" spans="2:5" x14ac:dyDescent="0.3">
      <c r="C139">
        <v>650</v>
      </c>
      <c r="D139" t="s">
        <v>477</v>
      </c>
      <c r="E139" s="4">
        <f>HLOOKUP($D$4,'6.1 Investissements'!$E$3:$BE$185,134,0)</f>
        <v>0</v>
      </c>
    </row>
    <row r="140" spans="2:5" x14ac:dyDescent="0.3">
      <c r="C140">
        <v>651</v>
      </c>
      <c r="D140" t="s">
        <v>478</v>
      </c>
      <c r="E140" s="4">
        <f>HLOOKUP($D$4,'6.1 Investissements'!$E$3:$BE$185,135,0)</f>
        <v>0</v>
      </c>
    </row>
    <row r="141" spans="2:5" x14ac:dyDescent="0.3">
      <c r="C141">
        <v>652</v>
      </c>
      <c r="D141" t="s">
        <v>479</v>
      </c>
      <c r="E141" s="4">
        <f>HLOOKUP($D$4,'6.1 Investissements'!$E$3:$BE$185,136,0)</f>
        <v>0</v>
      </c>
    </row>
    <row r="142" spans="2:5" x14ac:dyDescent="0.3">
      <c r="C142">
        <v>653</v>
      </c>
      <c r="D142" t="s">
        <v>480</v>
      </c>
      <c r="E142" s="4">
        <f>HLOOKUP($D$4,'6.1 Investissements'!$E$3:$BE$185,137,0)</f>
        <v>0</v>
      </c>
    </row>
    <row r="143" spans="2:5" x14ac:dyDescent="0.3">
      <c r="C143">
        <v>654</v>
      </c>
      <c r="D143" t="s">
        <v>481</v>
      </c>
      <c r="E143" s="4">
        <f>HLOOKUP($D$4,'6.1 Investissements'!$E$3:$BE$185,138,0)</f>
        <v>0</v>
      </c>
    </row>
    <row r="144" spans="2:5" x14ac:dyDescent="0.3">
      <c r="C144">
        <v>655</v>
      </c>
      <c r="D144" t="s">
        <v>482</v>
      </c>
      <c r="E144" s="4">
        <f>HLOOKUP($D$4,'6.1 Investissements'!$E$3:$BE$185,139,0)</f>
        <v>0</v>
      </c>
    </row>
    <row r="145" spans="2:5" x14ac:dyDescent="0.3">
      <c r="C145">
        <v>656</v>
      </c>
      <c r="D145" t="s">
        <v>483</v>
      </c>
      <c r="E145" s="4">
        <f>HLOOKUP($D$4,'6.1 Investissements'!$E$3:$BE$185,140,0)</f>
        <v>0</v>
      </c>
    </row>
    <row r="146" spans="2:5" x14ac:dyDescent="0.3">
      <c r="C146">
        <v>657</v>
      </c>
      <c r="D146" t="s">
        <v>484</v>
      </c>
      <c r="E146" s="4">
        <f>HLOOKUP($D$4,'6.1 Investissements'!$E$3:$BE$185,141,0)</f>
        <v>0</v>
      </c>
    </row>
    <row r="147" spans="2:5" x14ac:dyDescent="0.3">
      <c r="C147">
        <v>658</v>
      </c>
      <c r="D147" t="s">
        <v>485</v>
      </c>
      <c r="E147" s="4">
        <f>HLOOKUP($D$4,'6.1 Investissements'!$E$3:$BE$185,142,0)</f>
        <v>0</v>
      </c>
    </row>
    <row r="149" spans="2:5" x14ac:dyDescent="0.3">
      <c r="B149" s="105">
        <v>66</v>
      </c>
      <c r="C149" s="105"/>
      <c r="D149" s="105" t="s">
        <v>499</v>
      </c>
      <c r="E149" s="103">
        <f>SUM(E150:E158)</f>
        <v>0</v>
      </c>
    </row>
    <row r="150" spans="2:5" x14ac:dyDescent="0.3">
      <c r="C150">
        <v>660</v>
      </c>
      <c r="D150" t="s">
        <v>477</v>
      </c>
      <c r="E150" s="4">
        <f>HLOOKUP($D$4,'6.1 Investissements'!$E$3:$BE$185,145,0)</f>
        <v>0</v>
      </c>
    </row>
    <row r="151" spans="2:5" x14ac:dyDescent="0.3">
      <c r="C151">
        <v>661</v>
      </c>
      <c r="D151" t="s">
        <v>478</v>
      </c>
      <c r="E151" s="4">
        <f>HLOOKUP($D$4,'6.1 Investissements'!$E$3:$BE$185,146,0)</f>
        <v>0</v>
      </c>
    </row>
    <row r="152" spans="2:5" x14ac:dyDescent="0.3">
      <c r="C152">
        <v>662</v>
      </c>
      <c r="D152" t="s">
        <v>479</v>
      </c>
      <c r="E152" s="4">
        <f>HLOOKUP($D$4,'6.1 Investissements'!$E$3:$BE$185,147,0)</f>
        <v>0</v>
      </c>
    </row>
    <row r="153" spans="2:5" x14ac:dyDescent="0.3">
      <c r="C153">
        <v>663</v>
      </c>
      <c r="D153" t="s">
        <v>480</v>
      </c>
      <c r="E153" s="4">
        <f>HLOOKUP($D$4,'6.1 Investissements'!$E$3:$BE$185,148,0)</f>
        <v>0</v>
      </c>
    </row>
    <row r="154" spans="2:5" x14ac:dyDescent="0.3">
      <c r="C154">
        <v>664</v>
      </c>
      <c r="D154" t="s">
        <v>481</v>
      </c>
      <c r="E154" s="4">
        <f>HLOOKUP($D$4,'6.1 Investissements'!$E$3:$BE$185,149,0)</f>
        <v>0</v>
      </c>
    </row>
    <row r="155" spans="2:5" x14ac:dyDescent="0.3">
      <c r="C155">
        <v>665</v>
      </c>
      <c r="D155" t="s">
        <v>482</v>
      </c>
      <c r="E155" s="4">
        <f>HLOOKUP($D$4,'6.1 Investissements'!$E$3:$BE$185,150,0)</f>
        <v>0</v>
      </c>
    </row>
    <row r="156" spans="2:5" x14ac:dyDescent="0.3">
      <c r="C156">
        <v>666</v>
      </c>
      <c r="D156" t="s">
        <v>483</v>
      </c>
      <c r="E156" s="4">
        <f>HLOOKUP($D$4,'6.1 Investissements'!$E$3:$BE$185,151,0)</f>
        <v>0</v>
      </c>
    </row>
    <row r="157" spans="2:5" x14ac:dyDescent="0.3">
      <c r="C157">
        <v>667</v>
      </c>
      <c r="D157" t="s">
        <v>484</v>
      </c>
      <c r="E157" s="4">
        <f>HLOOKUP($D$4,'6.1 Investissements'!$E$3:$BE$185,152,0)</f>
        <v>0</v>
      </c>
    </row>
    <row r="158" spans="2:5" x14ac:dyDescent="0.3">
      <c r="C158">
        <v>668</v>
      </c>
      <c r="D158" t="s">
        <v>485</v>
      </c>
      <c r="E158" s="4">
        <f>HLOOKUP($D$4,'6.1 Investissements'!$E$3:$BE$185,153,0)</f>
        <v>0</v>
      </c>
    </row>
    <row r="160" spans="2:5" x14ac:dyDescent="0.3">
      <c r="B160" s="105">
        <v>67</v>
      </c>
      <c r="C160" s="105"/>
      <c r="D160" s="105" t="s">
        <v>487</v>
      </c>
      <c r="E160" s="103">
        <f>SUM(E161:E169)</f>
        <v>0</v>
      </c>
    </row>
    <row r="161" spans="2:5" x14ac:dyDescent="0.3">
      <c r="C161">
        <v>670</v>
      </c>
      <c r="D161" t="s">
        <v>477</v>
      </c>
      <c r="E161" s="4">
        <f>HLOOKUP($D$4,'6.1 Investissements'!$E$3:$BE$185,156,0)</f>
        <v>0</v>
      </c>
    </row>
    <row r="162" spans="2:5" x14ac:dyDescent="0.3">
      <c r="C162">
        <v>671</v>
      </c>
      <c r="D162" t="s">
        <v>478</v>
      </c>
      <c r="E162" s="4">
        <f>HLOOKUP($D$4,'6.1 Investissements'!$E$3:$BE$185,157,0)</f>
        <v>0</v>
      </c>
    </row>
    <row r="163" spans="2:5" x14ac:dyDescent="0.3">
      <c r="C163">
        <v>672</v>
      </c>
      <c r="D163" t="s">
        <v>479</v>
      </c>
      <c r="E163" s="4">
        <f>HLOOKUP($D$4,'6.1 Investissements'!$E$3:$BE$185,158,0)</f>
        <v>0</v>
      </c>
    </row>
    <row r="164" spans="2:5" x14ac:dyDescent="0.3">
      <c r="C164">
        <v>673</v>
      </c>
      <c r="D164" t="s">
        <v>480</v>
      </c>
      <c r="E164" s="4">
        <f>HLOOKUP($D$4,'6.1 Investissements'!$E$3:$BE$185,159,0)</f>
        <v>0</v>
      </c>
    </row>
    <row r="165" spans="2:5" x14ac:dyDescent="0.3">
      <c r="C165">
        <v>674</v>
      </c>
      <c r="D165" t="s">
        <v>481</v>
      </c>
      <c r="E165" s="4">
        <f>HLOOKUP($D$4,'6.1 Investissements'!$E$3:$BE$185,160,0)</f>
        <v>0</v>
      </c>
    </row>
    <row r="166" spans="2:5" x14ac:dyDescent="0.3">
      <c r="C166">
        <v>675</v>
      </c>
      <c r="D166" t="s">
        <v>482</v>
      </c>
      <c r="E166" s="4">
        <f>HLOOKUP($D$4,'6.1 Investissements'!$E$3:$BE$185,161,0)</f>
        <v>0</v>
      </c>
    </row>
    <row r="167" spans="2:5" x14ac:dyDescent="0.3">
      <c r="C167">
        <v>676</v>
      </c>
      <c r="D167" t="s">
        <v>483</v>
      </c>
      <c r="E167" s="4">
        <f>HLOOKUP($D$4,'6.1 Investissements'!$E$3:$BE$185,162,0)</f>
        <v>0</v>
      </c>
    </row>
    <row r="168" spans="2:5" x14ac:dyDescent="0.3">
      <c r="C168">
        <v>677</v>
      </c>
      <c r="D168" t="s">
        <v>484</v>
      </c>
      <c r="E168" s="4">
        <f>HLOOKUP($D$4,'6.1 Investissements'!$E$3:$BE$185,163,0)</f>
        <v>0</v>
      </c>
    </row>
    <row r="169" spans="2:5" x14ac:dyDescent="0.3">
      <c r="C169">
        <v>678</v>
      </c>
      <c r="D169" t="s">
        <v>485</v>
      </c>
      <c r="E169" s="4">
        <f>HLOOKUP($D$4,'6.1 Investissements'!$E$3:$BE$185,164,0)</f>
        <v>0</v>
      </c>
    </row>
    <row r="171" spans="2:5" x14ac:dyDescent="0.3">
      <c r="B171" s="105">
        <v>68</v>
      </c>
      <c r="C171" s="105"/>
      <c r="D171" s="105" t="s">
        <v>500</v>
      </c>
      <c r="E171" s="187">
        <f>SUM(E172:E178)</f>
        <v>0</v>
      </c>
    </row>
    <row r="172" spans="2:5" x14ac:dyDescent="0.3">
      <c r="C172">
        <v>680</v>
      </c>
      <c r="D172" t="s">
        <v>465</v>
      </c>
      <c r="E172" s="4">
        <f>HLOOKUP($D$4,'6.1 Investissements'!$E$3:$BE$185,167,0)</f>
        <v>0</v>
      </c>
    </row>
    <row r="173" spans="2:5" x14ac:dyDescent="0.3">
      <c r="C173">
        <v>682</v>
      </c>
      <c r="D173" t="s">
        <v>475</v>
      </c>
      <c r="E173" s="4">
        <f>HLOOKUP($D$4,'6.1 Investissements'!$E$3:$BE$185,168,0)</f>
        <v>0</v>
      </c>
    </row>
    <row r="174" spans="2:5" x14ac:dyDescent="0.3">
      <c r="C174">
        <v>683</v>
      </c>
      <c r="D174" t="s">
        <v>501</v>
      </c>
      <c r="E174" s="4">
        <f>HLOOKUP($D$4,'6.1 Investissements'!$E$3:$BE$185,169,0)</f>
        <v>0</v>
      </c>
    </row>
    <row r="175" spans="2:5" x14ac:dyDescent="0.3">
      <c r="C175">
        <v>684</v>
      </c>
      <c r="D175" t="s">
        <v>257</v>
      </c>
      <c r="E175" s="4">
        <f>HLOOKUP($D$4,'6.1 Investissements'!$E$3:$BE$185,170,0)</f>
        <v>0</v>
      </c>
    </row>
    <row r="176" spans="2:5" x14ac:dyDescent="0.3">
      <c r="C176">
        <v>685</v>
      </c>
      <c r="D176" t="s">
        <v>388</v>
      </c>
      <c r="E176" s="4">
        <f>HLOOKUP($D$4,'6.1 Investissements'!$E$3:$BE$185,171,0)</f>
        <v>0</v>
      </c>
    </row>
    <row r="177" spans="2:5" x14ac:dyDescent="0.3">
      <c r="C177">
        <v>686</v>
      </c>
      <c r="D177" t="s">
        <v>502</v>
      </c>
      <c r="E177" s="4">
        <f>HLOOKUP($D$4,'6.1 Investissements'!$E$3:$BE$185,172,0)</f>
        <v>0</v>
      </c>
    </row>
    <row r="178" spans="2:5" x14ac:dyDescent="0.3">
      <c r="C178">
        <v>689</v>
      </c>
      <c r="D178" t="s">
        <v>503</v>
      </c>
      <c r="E178" s="4">
        <f>HLOOKUP($D$4,'6.1 Investissements'!$E$3:$BE$185,173,0)</f>
        <v>0</v>
      </c>
    </row>
    <row r="180" spans="2:5" x14ac:dyDescent="0.3">
      <c r="B180" s="105">
        <v>69</v>
      </c>
      <c r="C180" s="105"/>
      <c r="D180" s="105" t="s">
        <v>504</v>
      </c>
      <c r="E180" s="103">
        <f>SUM(E181)</f>
        <v>6219.65</v>
      </c>
    </row>
    <row r="181" spans="2:5" x14ac:dyDescent="0.3">
      <c r="C181">
        <v>690</v>
      </c>
      <c r="D181" t="s">
        <v>504</v>
      </c>
      <c r="E181" s="4">
        <f>HLOOKUP($D$4,'6.1 Investissements'!$E$3:$BE$185,176,0)</f>
        <v>6219.65</v>
      </c>
    </row>
    <row r="185" spans="2:5" ht="18" x14ac:dyDescent="0.35">
      <c r="D185" s="188" t="s">
        <v>225</v>
      </c>
      <c r="E185" s="189">
        <f>HLOOKUP($D$4,'6.1 Investissements'!$E$3:$BE$185,180,0)</f>
        <v>6219.65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40" activeCellId="1" sqref="A45 A40"/>
    </sheetView>
  </sheetViews>
  <sheetFormatPr baseColWidth="10" defaultRowHeight="14.4" x14ac:dyDescent="0.3"/>
  <cols>
    <col min="1" max="2" width="11.44140625" customWidth="1"/>
    <col min="3" max="3" width="14.88671875" customWidth="1"/>
    <col min="4" max="4" width="11.44140625" customWidth="1"/>
  </cols>
  <sheetData>
    <row r="8" spans="1:8" ht="18" x14ac:dyDescent="0.35">
      <c r="A8" s="190" t="s">
        <v>505</v>
      </c>
      <c r="B8" s="190"/>
      <c r="C8" s="190"/>
      <c r="D8" s="190"/>
      <c r="E8" s="190"/>
      <c r="F8" s="190"/>
      <c r="G8" s="190"/>
      <c r="H8" s="190"/>
    </row>
    <row r="10" spans="1:8" x14ac:dyDescent="0.3">
      <c r="A10" s="184" t="s">
        <v>660</v>
      </c>
    </row>
    <row r="12" spans="1:8" x14ac:dyDescent="0.3">
      <c r="A12" s="7" t="s">
        <v>506</v>
      </c>
    </row>
    <row r="14" spans="1:8" ht="90" customHeight="1" x14ac:dyDescent="0.3">
      <c r="A14" s="217" t="s">
        <v>661</v>
      </c>
      <c r="B14" s="218"/>
      <c r="C14" s="218"/>
      <c r="D14" s="218"/>
      <c r="E14" s="218"/>
      <c r="F14" s="218"/>
      <c r="G14" s="218"/>
      <c r="H14" s="219"/>
    </row>
    <row r="16" spans="1:8" x14ac:dyDescent="0.3">
      <c r="A16" s="3"/>
      <c r="B16" s="3" t="s">
        <v>662</v>
      </c>
      <c r="C16" s="3" t="s">
        <v>663</v>
      </c>
      <c r="D16" t="s">
        <v>664</v>
      </c>
    </row>
    <row r="17" spans="1:8" x14ac:dyDescent="0.3">
      <c r="C17" s="3" t="s">
        <v>665</v>
      </c>
      <c r="D17" t="s">
        <v>666</v>
      </c>
    </row>
    <row r="18" spans="1:8" x14ac:dyDescent="0.3">
      <c r="C18" s="3" t="s">
        <v>667</v>
      </c>
      <c r="D18" t="s">
        <v>668</v>
      </c>
    </row>
    <row r="19" spans="1:8" x14ac:dyDescent="0.3">
      <c r="C19" s="3" t="s">
        <v>669</v>
      </c>
      <c r="D19" t="s">
        <v>670</v>
      </c>
    </row>
    <row r="20" spans="1:8" x14ac:dyDescent="0.3">
      <c r="C20" s="3" t="s">
        <v>671</v>
      </c>
      <c r="D20" t="s">
        <v>672</v>
      </c>
    </row>
    <row r="22" spans="1:8" x14ac:dyDescent="0.3">
      <c r="A22" s="7" t="s">
        <v>517</v>
      </c>
    </row>
    <row r="24" spans="1:8" ht="90" customHeight="1" x14ac:dyDescent="0.3">
      <c r="A24" s="217" t="s">
        <v>673</v>
      </c>
      <c r="B24" s="218"/>
      <c r="C24" s="218"/>
      <c r="D24" s="218"/>
      <c r="E24" s="218"/>
      <c r="F24" s="218"/>
      <c r="G24" s="218"/>
      <c r="H24" s="219"/>
    </row>
    <row r="26" spans="1:8" x14ac:dyDescent="0.3">
      <c r="A26" s="3"/>
      <c r="B26" s="3" t="s">
        <v>674</v>
      </c>
      <c r="C26" s="3" t="s">
        <v>675</v>
      </c>
      <c r="D26" t="s">
        <v>676</v>
      </c>
    </row>
    <row r="27" spans="1:8" x14ac:dyDescent="0.3">
      <c r="C27" s="3" t="s">
        <v>677</v>
      </c>
      <c r="D27" t="s">
        <v>678</v>
      </c>
    </row>
    <row r="28" spans="1:8" x14ac:dyDescent="0.3">
      <c r="C28" s="3" t="s">
        <v>679</v>
      </c>
      <c r="D28" t="s">
        <v>680</v>
      </c>
    </row>
    <row r="30" spans="1:8" x14ac:dyDescent="0.3">
      <c r="A30" s="7" t="s">
        <v>580</v>
      </c>
    </row>
    <row r="32" spans="1:8" ht="90" customHeight="1" x14ac:dyDescent="0.3">
      <c r="A32" s="217" t="s">
        <v>681</v>
      </c>
      <c r="B32" s="218"/>
      <c r="C32" s="218"/>
      <c r="D32" s="218"/>
      <c r="E32" s="218"/>
      <c r="F32" s="218"/>
      <c r="G32" s="218"/>
      <c r="H32" s="219"/>
    </row>
    <row r="34" spans="1:8" x14ac:dyDescent="0.3">
      <c r="A34" s="3"/>
      <c r="B34" s="3" t="s">
        <v>674</v>
      </c>
      <c r="C34" s="3" t="s">
        <v>682</v>
      </c>
      <c r="D34" t="s">
        <v>683</v>
      </c>
    </row>
    <row r="35" spans="1:8" x14ac:dyDescent="0.3">
      <c r="C35" s="191" t="s">
        <v>684</v>
      </c>
      <c r="D35" t="s">
        <v>685</v>
      </c>
    </row>
    <row r="36" spans="1:8" x14ac:dyDescent="0.3">
      <c r="C36" s="3" t="s">
        <v>686</v>
      </c>
      <c r="D36" t="s">
        <v>687</v>
      </c>
    </row>
    <row r="37" spans="1:8" x14ac:dyDescent="0.3">
      <c r="C37" s="3" t="s">
        <v>688</v>
      </c>
      <c r="D37" t="s">
        <v>689</v>
      </c>
    </row>
    <row r="38" spans="1:8" x14ac:dyDescent="0.3">
      <c r="C38" s="3" t="s">
        <v>690</v>
      </c>
      <c r="D38" t="s">
        <v>691</v>
      </c>
    </row>
    <row r="40" spans="1:8" x14ac:dyDescent="0.3">
      <c r="A40" s="7" t="s">
        <v>581</v>
      </c>
    </row>
    <row r="42" spans="1:8" ht="90" customHeight="1" x14ac:dyDescent="0.3">
      <c r="A42" s="217" t="s">
        <v>692</v>
      </c>
      <c r="B42" s="218"/>
      <c r="C42" s="218"/>
      <c r="D42" s="218"/>
      <c r="E42" s="218"/>
      <c r="F42" s="218"/>
      <c r="G42" s="218"/>
      <c r="H42" s="219"/>
    </row>
    <row r="44" spans="1:8" x14ac:dyDescent="0.3">
      <c r="A44" s="3"/>
      <c r="B44" s="3" t="s">
        <v>674</v>
      </c>
    </row>
    <row r="45" spans="1:8" x14ac:dyDescent="0.3">
      <c r="C45" s="3" t="s">
        <v>693</v>
      </c>
      <c r="D45" t="s">
        <v>694</v>
      </c>
    </row>
    <row r="46" spans="1:8" x14ac:dyDescent="0.3">
      <c r="C46" s="3" t="s">
        <v>695</v>
      </c>
      <c r="D46" t="s">
        <v>696</v>
      </c>
    </row>
    <row r="47" spans="1:8" x14ac:dyDescent="0.3">
      <c r="C47" s="3" t="s">
        <v>697</v>
      </c>
      <c r="D47" t="s">
        <v>698</v>
      </c>
    </row>
    <row r="48" spans="1:8" x14ac:dyDescent="0.3">
      <c r="C48" s="3" t="s">
        <v>699</v>
      </c>
      <c r="D48" t="s">
        <v>700</v>
      </c>
    </row>
    <row r="49" spans="1:8" x14ac:dyDescent="0.3">
      <c r="C49" s="3" t="s">
        <v>701</v>
      </c>
      <c r="D49" t="s">
        <v>702</v>
      </c>
    </row>
    <row r="51" spans="1:8" x14ac:dyDescent="0.3">
      <c r="A51" s="7" t="s">
        <v>539</v>
      </c>
    </row>
    <row r="53" spans="1:8" ht="90" customHeight="1" x14ac:dyDescent="0.3">
      <c r="A53" s="217" t="s">
        <v>703</v>
      </c>
      <c r="B53" s="218"/>
      <c r="C53" s="218"/>
      <c r="D53" s="218"/>
      <c r="E53" s="218"/>
      <c r="F53" s="218"/>
      <c r="G53" s="218"/>
      <c r="H53" s="219"/>
    </row>
    <row r="55" spans="1:8" x14ac:dyDescent="0.3">
      <c r="A55" s="3"/>
      <c r="B55" s="3" t="s">
        <v>674</v>
      </c>
      <c r="C55" s="3" t="s">
        <v>704</v>
      </c>
      <c r="D55" t="s">
        <v>705</v>
      </c>
    </row>
    <row r="56" spans="1:8" x14ac:dyDescent="0.3">
      <c r="C56" s="3" t="s">
        <v>706</v>
      </c>
      <c r="D56" t="s">
        <v>707</v>
      </c>
    </row>
    <row r="57" spans="1:8" x14ac:dyDescent="0.3">
      <c r="C57" s="3" t="s">
        <v>708</v>
      </c>
      <c r="D57" t="s">
        <v>709</v>
      </c>
    </row>
    <row r="58" spans="1:8" x14ac:dyDescent="0.3">
      <c r="C58" s="3" t="s">
        <v>710</v>
      </c>
      <c r="D58" t="s">
        <v>711</v>
      </c>
    </row>
    <row r="60" spans="1:8" x14ac:dyDescent="0.3">
      <c r="A60" s="7" t="s">
        <v>582</v>
      </c>
    </row>
    <row r="62" spans="1:8" ht="90" customHeight="1" x14ac:dyDescent="0.3">
      <c r="A62" s="217" t="s">
        <v>712</v>
      </c>
      <c r="B62" s="218"/>
      <c r="C62" s="218"/>
      <c r="D62" s="218"/>
      <c r="E62" s="218"/>
      <c r="F62" s="218"/>
      <c r="G62" s="218"/>
      <c r="H62" s="219"/>
    </row>
    <row r="64" spans="1:8" x14ac:dyDescent="0.3">
      <c r="A64" s="3"/>
      <c r="B64" s="3" t="s">
        <v>674</v>
      </c>
      <c r="C64" s="192" t="s">
        <v>713</v>
      </c>
      <c r="D64" t="s">
        <v>714</v>
      </c>
    </row>
    <row r="65" spans="1:8" x14ac:dyDescent="0.3">
      <c r="C65" s="3" t="s">
        <v>715</v>
      </c>
      <c r="D65" t="s">
        <v>716</v>
      </c>
    </row>
    <row r="66" spans="1:8" x14ac:dyDescent="0.3">
      <c r="C66" s="3" t="s">
        <v>717</v>
      </c>
      <c r="D66" t="s">
        <v>718</v>
      </c>
    </row>
    <row r="67" spans="1:8" x14ac:dyDescent="0.3">
      <c r="C67" s="3" t="s">
        <v>719</v>
      </c>
      <c r="D67" t="s">
        <v>720</v>
      </c>
    </row>
    <row r="69" spans="1:8" x14ac:dyDescent="0.3">
      <c r="A69" s="7" t="s">
        <v>553</v>
      </c>
    </row>
    <row r="71" spans="1:8" ht="90" customHeight="1" x14ac:dyDescent="0.3">
      <c r="A71" s="217" t="s">
        <v>721</v>
      </c>
      <c r="B71" s="218"/>
      <c r="C71" s="218"/>
      <c r="D71" s="218"/>
      <c r="E71" s="218"/>
      <c r="F71" s="218"/>
      <c r="G71" s="218"/>
      <c r="H71" s="219"/>
    </row>
    <row r="73" spans="1:8" x14ac:dyDescent="0.3">
      <c r="A73" s="3"/>
      <c r="B73" s="3" t="s">
        <v>674</v>
      </c>
      <c r="C73" s="3" t="s">
        <v>722</v>
      </c>
      <c r="D73" t="s">
        <v>723</v>
      </c>
    </row>
    <row r="74" spans="1:8" x14ac:dyDescent="0.3">
      <c r="C74" s="3" t="s">
        <v>724</v>
      </c>
      <c r="D74" t="s">
        <v>725</v>
      </c>
    </row>
    <row r="75" spans="1:8" x14ac:dyDescent="0.3">
      <c r="C75" s="3" t="s">
        <v>726</v>
      </c>
      <c r="D75" t="s">
        <v>727</v>
      </c>
    </row>
    <row r="76" spans="1:8" x14ac:dyDescent="0.3">
      <c r="C76" s="3" t="s">
        <v>728</v>
      </c>
      <c r="D76" t="s">
        <v>729</v>
      </c>
    </row>
    <row r="77" spans="1:8" x14ac:dyDescent="0.3">
      <c r="C77" s="3" t="s">
        <v>730</v>
      </c>
      <c r="D77" t="s">
        <v>731</v>
      </c>
    </row>
    <row r="79" spans="1:8" x14ac:dyDescent="0.3">
      <c r="A79" s="7" t="s">
        <v>732</v>
      </c>
    </row>
    <row r="81" spans="1:8" ht="90" customHeight="1" x14ac:dyDescent="0.3">
      <c r="A81" s="217" t="s">
        <v>733</v>
      </c>
      <c r="B81" s="218"/>
      <c r="C81" s="218"/>
      <c r="D81" s="218"/>
      <c r="E81" s="218"/>
      <c r="F81" s="218"/>
      <c r="G81" s="218"/>
      <c r="H81" s="219"/>
    </row>
    <row r="83" spans="1:8" x14ac:dyDescent="0.3">
      <c r="A83" s="3"/>
      <c r="B83" s="3" t="s">
        <v>674</v>
      </c>
      <c r="C83" s="3" t="s">
        <v>734</v>
      </c>
      <c r="D83" t="s">
        <v>735</v>
      </c>
    </row>
    <row r="84" spans="1:8" x14ac:dyDescent="0.3">
      <c r="C84" s="3" t="s">
        <v>736</v>
      </c>
      <c r="D84" t="s">
        <v>737</v>
      </c>
    </row>
    <row r="85" spans="1:8" x14ac:dyDescent="0.3">
      <c r="C85" s="3" t="s">
        <v>738</v>
      </c>
      <c r="D85" t="s">
        <v>739</v>
      </c>
    </row>
    <row r="87" spans="1:8" x14ac:dyDescent="0.3">
      <c r="A87" s="7" t="s">
        <v>561</v>
      </c>
    </row>
    <row r="89" spans="1:8" ht="90" customHeight="1" x14ac:dyDescent="0.3">
      <c r="A89" s="217" t="s">
        <v>740</v>
      </c>
      <c r="B89" s="218"/>
      <c r="C89" s="218"/>
      <c r="D89" s="218"/>
      <c r="E89" s="218"/>
      <c r="F89" s="218"/>
      <c r="G89" s="218"/>
      <c r="H89" s="219"/>
    </row>
    <row r="91" spans="1:8" x14ac:dyDescent="0.3">
      <c r="A91" s="3"/>
      <c r="B91" s="3" t="s">
        <v>674</v>
      </c>
      <c r="C91" s="3" t="s">
        <v>741</v>
      </c>
      <c r="D91" t="s">
        <v>739</v>
      </c>
    </row>
    <row r="92" spans="1:8" x14ac:dyDescent="0.3">
      <c r="C92" s="3" t="s">
        <v>742</v>
      </c>
      <c r="D92" t="s">
        <v>737</v>
      </c>
    </row>
    <row r="93" spans="1:8" x14ac:dyDescent="0.3">
      <c r="C93" s="3" t="s">
        <v>743</v>
      </c>
      <c r="D93" t="s">
        <v>744</v>
      </c>
    </row>
    <row r="94" spans="1:8" x14ac:dyDescent="0.3">
      <c r="C94" s="3" t="s">
        <v>745</v>
      </c>
      <c r="D94" t="s">
        <v>746</v>
      </c>
    </row>
    <row r="96" spans="1:8" x14ac:dyDescent="0.3">
      <c r="A96" s="7" t="s">
        <v>747</v>
      </c>
    </row>
    <row r="98" spans="1:8" ht="90" customHeight="1" x14ac:dyDescent="0.3">
      <c r="A98" s="217" t="s">
        <v>748</v>
      </c>
      <c r="B98" s="218"/>
      <c r="C98" s="218"/>
      <c r="D98" s="218"/>
      <c r="E98" s="218"/>
      <c r="F98" s="218"/>
      <c r="G98" s="218"/>
      <c r="H98" s="219"/>
    </row>
    <row r="100" spans="1:8" x14ac:dyDescent="0.3">
      <c r="A100" s="3"/>
      <c r="B100" s="3" t="s">
        <v>674</v>
      </c>
      <c r="C100" s="3" t="s">
        <v>749</v>
      </c>
      <c r="D100" t="s">
        <v>750</v>
      </c>
    </row>
    <row r="101" spans="1:8" x14ac:dyDescent="0.3">
      <c r="C101" s="3" t="s">
        <v>751</v>
      </c>
      <c r="D101" t="s">
        <v>698</v>
      </c>
    </row>
    <row r="102" spans="1:8" x14ac:dyDescent="0.3">
      <c r="C102" s="3" t="s">
        <v>752</v>
      </c>
      <c r="D102" t="s">
        <v>739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C23" sqref="C23"/>
    </sheetView>
  </sheetViews>
  <sheetFormatPr baseColWidth="10" defaultRowHeight="14.4" x14ac:dyDescent="0.3"/>
  <cols>
    <col min="1" max="1" width="4.88671875" customWidth="1"/>
    <col min="2" max="2" width="20.109375" customWidth="1"/>
    <col min="3" max="3" width="12.88671875" customWidth="1"/>
    <col min="4" max="4" width="4.44140625" customWidth="1"/>
    <col min="7" max="7" width="4.6640625" customWidth="1"/>
    <col min="10" max="10" width="4.88671875" customWidth="1"/>
    <col min="13" max="13" width="6" customWidth="1"/>
    <col min="16" max="16" width="4.109375" customWidth="1"/>
  </cols>
  <sheetData>
    <row r="3" spans="1:21" x14ac:dyDescent="0.3">
      <c r="B3" t="s">
        <v>0</v>
      </c>
      <c r="E3" t="s">
        <v>1</v>
      </c>
      <c r="G3" t="s">
        <v>2</v>
      </c>
      <c r="J3" t="s">
        <v>3</v>
      </c>
      <c r="M3" t="s">
        <v>4</v>
      </c>
      <c r="P3" t="s">
        <v>5</v>
      </c>
    </row>
    <row r="5" spans="1:21" x14ac:dyDescent="0.3">
      <c r="A5">
        <v>1</v>
      </c>
      <c r="B5" t="s">
        <v>11</v>
      </c>
      <c r="C5" s="1">
        <f>'Base de données pop.'!C24</f>
        <v>96</v>
      </c>
      <c r="D5">
        <v>9</v>
      </c>
      <c r="E5" t="s">
        <v>6</v>
      </c>
      <c r="F5" s="1">
        <f>'Base de données pop.'!C32</f>
        <v>227</v>
      </c>
      <c r="G5">
        <v>22</v>
      </c>
      <c r="H5" t="s">
        <v>19</v>
      </c>
      <c r="I5" s="1">
        <f>'Base de données pop.'!C26</f>
        <v>516</v>
      </c>
      <c r="J5">
        <v>33</v>
      </c>
      <c r="K5" t="s">
        <v>8</v>
      </c>
      <c r="L5" s="1">
        <f>'Base de données pop.'!C43</f>
        <v>1028</v>
      </c>
      <c r="M5">
        <v>45</v>
      </c>
      <c r="N5" t="s">
        <v>9</v>
      </c>
      <c r="O5" s="1">
        <f>'Base de données pop.'!C45</f>
        <v>2400</v>
      </c>
      <c r="P5">
        <v>48</v>
      </c>
      <c r="Q5" t="s">
        <v>27</v>
      </c>
      <c r="R5" s="1">
        <f>'Base de données pop.'!C20</f>
        <v>3190</v>
      </c>
    </row>
    <row r="6" spans="1:21" x14ac:dyDescent="0.3">
      <c r="A6">
        <v>2</v>
      </c>
      <c r="B6" t="s">
        <v>17</v>
      </c>
      <c r="C6" s="1">
        <f>'Base de données pop.'!C14</f>
        <v>108</v>
      </c>
      <c r="D6">
        <v>10</v>
      </c>
      <c r="E6" t="s">
        <v>12</v>
      </c>
      <c r="F6" s="1">
        <f>'Base de données pop.'!C18</f>
        <v>255</v>
      </c>
      <c r="G6">
        <v>23</v>
      </c>
      <c r="H6" t="s">
        <v>13</v>
      </c>
      <c r="I6" s="1">
        <f>'Base de données pop.'!C13</f>
        <v>528</v>
      </c>
      <c r="J6">
        <v>34</v>
      </c>
      <c r="K6" t="s">
        <v>58</v>
      </c>
      <c r="L6" s="1">
        <f>'Base de données pop.'!C51</f>
        <v>1096</v>
      </c>
      <c r="M6">
        <v>46</v>
      </c>
      <c r="N6" t="s">
        <v>21</v>
      </c>
      <c r="O6" s="1">
        <f>'Base de données pop.'!C31</f>
        <v>2615</v>
      </c>
      <c r="P6">
        <v>49</v>
      </c>
      <c r="Q6" t="s">
        <v>10</v>
      </c>
      <c r="R6" s="1">
        <f>'Base de données pop.'!C7</f>
        <v>3313</v>
      </c>
    </row>
    <row r="7" spans="1:21" x14ac:dyDescent="0.3">
      <c r="A7">
        <v>3</v>
      </c>
      <c r="B7" t="s">
        <v>23</v>
      </c>
      <c r="C7" s="1">
        <f>'Base de données pop.'!C11</f>
        <v>118</v>
      </c>
      <c r="D7">
        <v>11</v>
      </c>
      <c r="E7" t="s">
        <v>18</v>
      </c>
      <c r="F7" s="1">
        <f>'Base de données pop.'!C3</f>
        <v>270</v>
      </c>
      <c r="G7">
        <v>24</v>
      </c>
      <c r="H7" t="s">
        <v>25</v>
      </c>
      <c r="I7" s="1">
        <f>'Base de données pop.'!C54</f>
        <v>560</v>
      </c>
      <c r="J7">
        <v>35</v>
      </c>
      <c r="K7" t="s">
        <v>14</v>
      </c>
      <c r="L7" s="1">
        <f>'Base de données pop.'!C35</f>
        <v>1135</v>
      </c>
      <c r="M7">
        <v>47</v>
      </c>
      <c r="N7" t="s">
        <v>15</v>
      </c>
      <c r="O7" s="1">
        <f>'Base de données pop.'!C8</f>
        <v>2644</v>
      </c>
      <c r="P7">
        <v>50</v>
      </c>
      <c r="Q7" t="s">
        <v>33</v>
      </c>
      <c r="R7" s="1">
        <f>'Base de données pop.'!C6</f>
        <v>3631</v>
      </c>
    </row>
    <row r="8" spans="1:21" x14ac:dyDescent="0.3">
      <c r="A8">
        <v>4</v>
      </c>
      <c r="B8" t="s">
        <v>29</v>
      </c>
      <c r="C8" s="1">
        <f>'Base de données pop.'!C37</f>
        <v>119</v>
      </c>
      <c r="D8">
        <v>12</v>
      </c>
      <c r="E8" t="s">
        <v>24</v>
      </c>
      <c r="F8" s="1">
        <f>'Base de données pop.'!C44</f>
        <v>314</v>
      </c>
      <c r="G8">
        <v>25</v>
      </c>
      <c r="H8" t="s">
        <v>36</v>
      </c>
      <c r="I8" s="1">
        <f>'Base de données pop.'!C28</f>
        <v>572</v>
      </c>
      <c r="J8">
        <v>36</v>
      </c>
      <c r="K8" t="s">
        <v>26</v>
      </c>
      <c r="L8" s="1">
        <f>'Base de données pop.'!C38</f>
        <v>1195</v>
      </c>
      <c r="O8" s="2">
        <f>SUM(O5:O7)</f>
        <v>7659</v>
      </c>
      <c r="P8">
        <v>51</v>
      </c>
      <c r="Q8" t="s">
        <v>16</v>
      </c>
      <c r="R8" s="1">
        <f>'Base de données pop.'!C53</f>
        <v>6434</v>
      </c>
    </row>
    <row r="9" spans="1:21" x14ac:dyDescent="0.3">
      <c r="A9">
        <v>5</v>
      </c>
      <c r="B9" t="s">
        <v>34</v>
      </c>
      <c r="C9" s="1">
        <f>'Base de données pop.'!C33</f>
        <v>131</v>
      </c>
      <c r="D9">
        <v>13</v>
      </c>
      <c r="E9" t="s">
        <v>30</v>
      </c>
      <c r="F9" s="1">
        <f>'Base de données pop.'!C21</f>
        <v>324</v>
      </c>
      <c r="G9">
        <v>26</v>
      </c>
      <c r="H9" t="s">
        <v>44</v>
      </c>
      <c r="I9" s="1">
        <f>'Base de données pop.'!C40</f>
        <v>645</v>
      </c>
      <c r="J9">
        <v>37</v>
      </c>
      <c r="K9" t="s">
        <v>32</v>
      </c>
      <c r="L9" s="1">
        <f>'Base de données pop.'!C36</f>
        <v>1241</v>
      </c>
      <c r="N9" s="3" t="s">
        <v>38</v>
      </c>
      <c r="O9" s="4">
        <f>O8/5</f>
        <v>1531.8</v>
      </c>
      <c r="P9">
        <v>52</v>
      </c>
      <c r="Q9" t="s">
        <v>22</v>
      </c>
      <c r="R9" s="1">
        <f>'Base de données pop.'!C12</f>
        <v>7167</v>
      </c>
    </row>
    <row r="10" spans="1:21" x14ac:dyDescent="0.3">
      <c r="A10">
        <v>6</v>
      </c>
      <c r="B10" t="s">
        <v>39</v>
      </c>
      <c r="C10" s="1">
        <f>'Base de données pop.'!C25</f>
        <v>149</v>
      </c>
      <c r="D10">
        <v>14</v>
      </c>
      <c r="E10" t="s">
        <v>35</v>
      </c>
      <c r="F10" s="1">
        <f>'Base de données pop.'!C48</f>
        <v>347</v>
      </c>
      <c r="G10">
        <v>27</v>
      </c>
      <c r="H10" t="s">
        <v>48</v>
      </c>
      <c r="I10" s="1">
        <f>'Base de données pop.'!C39</f>
        <v>663</v>
      </c>
      <c r="J10">
        <v>38</v>
      </c>
      <c r="K10" t="s">
        <v>20</v>
      </c>
      <c r="L10" s="1">
        <f>'Base de données pop.'!C22</f>
        <v>1246</v>
      </c>
      <c r="P10">
        <v>53</v>
      </c>
      <c r="Q10" t="s">
        <v>28</v>
      </c>
      <c r="R10" s="1">
        <f>'Base de données pop.'!C9</f>
        <v>12618</v>
      </c>
    </row>
    <row r="11" spans="1:21" x14ac:dyDescent="0.3">
      <c r="A11">
        <v>7</v>
      </c>
      <c r="B11" t="s">
        <v>46</v>
      </c>
      <c r="C11" s="1">
        <f>'Base de données pop.'!C47</f>
        <v>181</v>
      </c>
      <c r="D11">
        <v>15</v>
      </c>
      <c r="E11" t="s">
        <v>40</v>
      </c>
      <c r="F11" s="1">
        <f>'Base de données pop.'!C16</f>
        <v>349</v>
      </c>
      <c r="G11">
        <v>28</v>
      </c>
      <c r="H11" t="s">
        <v>41</v>
      </c>
      <c r="I11" s="1">
        <f>'Base de données pop.'!C27</f>
        <v>671</v>
      </c>
      <c r="J11">
        <v>39</v>
      </c>
      <c r="K11" t="s">
        <v>37</v>
      </c>
      <c r="L11" s="1">
        <f>'Base de données pop.'!C41</f>
        <v>1263</v>
      </c>
      <c r="R11" s="2">
        <f>SUM(R5:R10)</f>
        <v>36353</v>
      </c>
    </row>
    <row r="12" spans="1:21" x14ac:dyDescent="0.3">
      <c r="A12">
        <v>8</v>
      </c>
      <c r="B12" t="s">
        <v>50</v>
      </c>
      <c r="C12" s="1">
        <f>'Base de données pop.'!C52</f>
        <v>188</v>
      </c>
      <c r="D12">
        <v>16</v>
      </c>
      <c r="E12" t="s">
        <v>47</v>
      </c>
      <c r="F12" s="1">
        <f>'Base de données pop.'!C50</f>
        <v>387</v>
      </c>
      <c r="G12">
        <v>29</v>
      </c>
      <c r="H12" t="s">
        <v>31</v>
      </c>
      <c r="I12" s="1">
        <f>'Base de données pop.'!C17</f>
        <v>687</v>
      </c>
      <c r="J12">
        <v>40</v>
      </c>
      <c r="K12" t="s">
        <v>42</v>
      </c>
      <c r="L12" s="1">
        <f>'Base de données pop.'!C10</f>
        <v>1371</v>
      </c>
      <c r="Q12" s="3" t="s">
        <v>38</v>
      </c>
      <c r="R12" s="4">
        <f>R11/4</f>
        <v>9088.25</v>
      </c>
      <c r="T12" s="1"/>
    </row>
    <row r="13" spans="1:21" x14ac:dyDescent="0.3">
      <c r="C13" s="2">
        <f>SUM(C5:C12)</f>
        <v>1090</v>
      </c>
      <c r="D13">
        <v>17</v>
      </c>
      <c r="E13" t="s">
        <v>43</v>
      </c>
      <c r="F13" s="1">
        <f>'Base de données pop.'!C15</f>
        <v>415</v>
      </c>
      <c r="G13">
        <v>30</v>
      </c>
      <c r="H13" t="s">
        <v>51</v>
      </c>
      <c r="I13" s="1">
        <f>'Base de données pop.'!C42</f>
        <v>740</v>
      </c>
      <c r="J13">
        <v>41</v>
      </c>
      <c r="K13" t="s">
        <v>45</v>
      </c>
      <c r="L13" s="1">
        <f>'Base de données pop.'!C23</f>
        <v>1528</v>
      </c>
      <c r="T13" s="1"/>
    </row>
    <row r="14" spans="1:21" x14ac:dyDescent="0.3">
      <c r="B14" s="3" t="s">
        <v>38</v>
      </c>
      <c r="C14" s="4">
        <f>C13/8</f>
        <v>136.25</v>
      </c>
      <c r="D14">
        <v>18</v>
      </c>
      <c r="E14" t="s">
        <v>59</v>
      </c>
      <c r="F14" s="1">
        <f>'Base de données pop.'!C19</f>
        <v>436</v>
      </c>
      <c r="G14">
        <v>31</v>
      </c>
      <c r="H14" t="s">
        <v>54</v>
      </c>
      <c r="I14" s="1">
        <f>'Base de données pop.'!C46</f>
        <v>755</v>
      </c>
      <c r="J14">
        <v>42</v>
      </c>
      <c r="K14" t="s">
        <v>49</v>
      </c>
      <c r="L14" s="1">
        <f>'Base de données pop.'!C49</f>
        <v>1690</v>
      </c>
      <c r="S14" s="5">
        <f>C13+F18+I16+L17+O8+R11</f>
        <v>73709</v>
      </c>
      <c r="U14" s="1"/>
    </row>
    <row r="15" spans="1:21" x14ac:dyDescent="0.3">
      <c r="D15">
        <v>19</v>
      </c>
      <c r="E15" t="s">
        <v>53</v>
      </c>
      <c r="F15" s="1">
        <f>'Base de données pop.'!C5</f>
        <v>446</v>
      </c>
      <c r="G15">
        <v>32</v>
      </c>
      <c r="H15" t="s">
        <v>56</v>
      </c>
      <c r="I15" s="1">
        <f>'Base de données pop.'!C2</f>
        <v>923</v>
      </c>
      <c r="J15">
        <v>43</v>
      </c>
      <c r="K15" t="s">
        <v>52</v>
      </c>
      <c r="L15" s="1">
        <f>'Base de données pop.'!C34</f>
        <v>1895</v>
      </c>
      <c r="S15" s="1">
        <f>S14/53</f>
        <v>1390.7358490566037</v>
      </c>
    </row>
    <row r="16" spans="1:21" x14ac:dyDescent="0.3">
      <c r="D16">
        <v>20</v>
      </c>
      <c r="E16" t="s">
        <v>57</v>
      </c>
      <c r="F16" s="1">
        <f>'Base de données pop.'!C4</f>
        <v>485</v>
      </c>
      <c r="I16" s="9">
        <f>SUM(I5:I15)</f>
        <v>7260</v>
      </c>
      <c r="J16">
        <v>44</v>
      </c>
      <c r="K16" t="s">
        <v>55</v>
      </c>
      <c r="L16" s="1">
        <f>'Base de données pop.'!C30</f>
        <v>1914</v>
      </c>
      <c r="Q16" s="1"/>
      <c r="U16" t="s">
        <v>66</v>
      </c>
    </row>
    <row r="17" spans="2:21" x14ac:dyDescent="0.3">
      <c r="C17" s="1"/>
      <c r="D17">
        <v>21</v>
      </c>
      <c r="E17" t="s">
        <v>7</v>
      </c>
      <c r="F17" s="1">
        <f>'Base de données pop.'!C29</f>
        <v>490</v>
      </c>
      <c r="H17" s="3" t="s">
        <v>38</v>
      </c>
      <c r="I17" s="4">
        <f>I16/11</f>
        <v>660</v>
      </c>
      <c r="L17" s="2">
        <f>SUM(L5:L16)</f>
        <v>16602</v>
      </c>
      <c r="U17" s="1">
        <f>C13+F18+I16</f>
        <v>13095</v>
      </c>
    </row>
    <row r="18" spans="2:21" x14ac:dyDescent="0.3">
      <c r="F18" s="2">
        <f>SUM(F5:F17)</f>
        <v>4745</v>
      </c>
      <c r="K18" s="3" t="s">
        <v>38</v>
      </c>
      <c r="L18" s="4">
        <f>L17/12</f>
        <v>1383.5</v>
      </c>
      <c r="Q18" s="1"/>
    </row>
    <row r="19" spans="2:21" x14ac:dyDescent="0.3">
      <c r="E19" s="3" t="s">
        <v>38</v>
      </c>
      <c r="F19" s="4">
        <f>F18/13</f>
        <v>365</v>
      </c>
    </row>
    <row r="20" spans="2:21" x14ac:dyDescent="0.3">
      <c r="O20" s="1"/>
    </row>
    <row r="21" spans="2:21" x14ac:dyDescent="0.3">
      <c r="B21" s="1">
        <f>C13+F18+I16+L17+O8+R11</f>
        <v>73709</v>
      </c>
      <c r="F21" s="1"/>
      <c r="O21" s="1"/>
    </row>
    <row r="22" spans="2:21" x14ac:dyDescent="0.3">
      <c r="O22" s="8"/>
    </row>
    <row r="23" spans="2:21" x14ac:dyDescent="0.3">
      <c r="K23" t="s">
        <v>63</v>
      </c>
      <c r="L23" t="s">
        <v>28</v>
      </c>
      <c r="M23" s="7"/>
      <c r="N23" s="7"/>
      <c r="O23" s="37">
        <v>38954</v>
      </c>
    </row>
    <row r="24" spans="2:21" x14ac:dyDescent="0.3">
      <c r="B24" t="s">
        <v>77</v>
      </c>
      <c r="C24" s="2">
        <f>C13</f>
        <v>1090</v>
      </c>
      <c r="E24" s="36">
        <f>C24*100/B21</f>
        <v>1.4787882076815586</v>
      </c>
      <c r="L24" t="s">
        <v>64</v>
      </c>
      <c r="O24">
        <v>10479</v>
      </c>
      <c r="R24" s="1"/>
    </row>
    <row r="25" spans="2:21" x14ac:dyDescent="0.3">
      <c r="B25" t="s">
        <v>73</v>
      </c>
      <c r="C25" s="2">
        <f>F18</f>
        <v>4745</v>
      </c>
      <c r="D25" s="4"/>
      <c r="E25" s="39">
        <f>C25*100/B21</f>
        <v>6.4374771059165097</v>
      </c>
      <c r="F25" s="36">
        <f>E24+E25</f>
        <v>7.9162653135980685</v>
      </c>
      <c r="L25" t="s">
        <v>16</v>
      </c>
      <c r="O25">
        <v>24276</v>
      </c>
      <c r="R25" s="1"/>
    </row>
    <row r="26" spans="2:21" x14ac:dyDescent="0.3">
      <c r="B26" t="s">
        <v>78</v>
      </c>
      <c r="C26" s="2">
        <f>I16</f>
        <v>7260</v>
      </c>
      <c r="D26" s="4"/>
      <c r="E26" s="39">
        <f>C26*100/B21</f>
        <v>9.8495434750166186</v>
      </c>
      <c r="L26" s="7" t="s">
        <v>65</v>
      </c>
      <c r="O26" s="15">
        <f>SUM(O23:O25)</f>
        <v>73709</v>
      </c>
      <c r="R26" s="1"/>
    </row>
    <row r="27" spans="2:21" x14ac:dyDescent="0.3">
      <c r="B27" t="s">
        <v>74</v>
      </c>
      <c r="C27" s="2">
        <f>L17</f>
        <v>16602</v>
      </c>
      <c r="D27" s="18"/>
      <c r="E27" s="39">
        <f>C27*100/B21</f>
        <v>22.523708095347921</v>
      </c>
    </row>
    <row r="28" spans="2:21" x14ac:dyDescent="0.3">
      <c r="B28" t="s">
        <v>75</v>
      </c>
      <c r="C28" s="2">
        <f>O8</f>
        <v>7659</v>
      </c>
      <c r="D28" s="18"/>
      <c r="E28" s="39">
        <f>C28*100/B21</f>
        <v>10.390861360213814</v>
      </c>
    </row>
    <row r="29" spans="2:21" x14ac:dyDescent="0.3">
      <c r="B29" t="s">
        <v>76</v>
      </c>
      <c r="C29" s="2">
        <f>R11</f>
        <v>36353</v>
      </c>
      <c r="D29" s="18"/>
      <c r="E29" s="39">
        <f>C29*100/B21</f>
        <v>49.319621755823576</v>
      </c>
    </row>
    <row r="30" spans="2:21" x14ac:dyDescent="0.3">
      <c r="C30" s="15">
        <f>SUM(C24:C29)</f>
        <v>73709</v>
      </c>
      <c r="D30" s="18"/>
      <c r="E30" s="39">
        <f>C30*100/B21</f>
        <v>100</v>
      </c>
    </row>
    <row r="31" spans="2:21" x14ac:dyDescent="0.3">
      <c r="D31" s="40"/>
      <c r="E31" s="38"/>
    </row>
    <row r="32" spans="2:21" x14ac:dyDescent="0.3">
      <c r="C32" s="6"/>
      <c r="D32" s="38"/>
      <c r="E32" s="38"/>
    </row>
    <row r="33" spans="3:4" x14ac:dyDescent="0.3">
      <c r="D33" s="38"/>
    </row>
    <row r="36" spans="3:4" x14ac:dyDescent="0.3">
      <c r="C36" s="6"/>
    </row>
  </sheetData>
  <sortState ref="K5:L16">
    <sortCondition ref="L5:L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E28"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2" width="5.6640625" customWidth="1"/>
    <col min="3" max="3" width="9" customWidth="1"/>
    <col min="4" max="4" width="63.5546875" customWidth="1"/>
    <col min="5" max="58" width="16.33203125" customWidth="1"/>
    <col min="59" max="61" width="17.88671875" customWidth="1"/>
  </cols>
  <sheetData>
    <row r="1" spans="1:61" ht="25.8" x14ac:dyDescent="0.5">
      <c r="A1" s="42" t="s">
        <v>282</v>
      </c>
      <c r="B1" s="7"/>
      <c r="C1" s="7"/>
      <c r="D1" s="7"/>
    </row>
    <row r="2" spans="1:61" x14ac:dyDescent="0.3">
      <c r="A2" s="7" t="s">
        <v>586</v>
      </c>
      <c r="E2" s="57">
        <f>'Base de données pop.'!C2</f>
        <v>923</v>
      </c>
      <c r="F2" s="57">
        <f>'Base de données pop.'!C3</f>
        <v>270</v>
      </c>
      <c r="G2" s="57">
        <f>'Base de données pop.'!C4</f>
        <v>485</v>
      </c>
      <c r="H2" s="57">
        <f>'Base de données pop.'!C5</f>
        <v>446</v>
      </c>
      <c r="I2" s="57">
        <f>'Base de données pop.'!C6</f>
        <v>3631</v>
      </c>
      <c r="J2" s="57">
        <f>'Base de données pop.'!C7</f>
        <v>3313</v>
      </c>
      <c r="K2" s="57">
        <f>'Base de données pop.'!C8</f>
        <v>2644</v>
      </c>
      <c r="L2" s="57">
        <f>'Base de données pop.'!C9</f>
        <v>12618</v>
      </c>
      <c r="M2" s="57">
        <f>'Base de données pop.'!C10</f>
        <v>1371</v>
      </c>
      <c r="N2" s="57">
        <f>'Base de données pop.'!C11</f>
        <v>118</v>
      </c>
      <c r="O2" s="57">
        <f>'Base de données pop.'!C12</f>
        <v>7167</v>
      </c>
      <c r="P2" s="57">
        <f>'Base de données pop.'!C13</f>
        <v>528</v>
      </c>
      <c r="Q2" s="57">
        <f>'Base de données pop.'!C14</f>
        <v>108</v>
      </c>
      <c r="R2" s="57">
        <f>'Base de données pop.'!C15</f>
        <v>415</v>
      </c>
      <c r="S2" s="57">
        <f>'Base de données pop.'!C16</f>
        <v>349</v>
      </c>
      <c r="T2" s="57">
        <f>'Base de données pop.'!C17</f>
        <v>687</v>
      </c>
      <c r="U2" s="57">
        <f>'Base de données pop.'!C18</f>
        <v>255</v>
      </c>
      <c r="V2" s="57">
        <f>'Base de données pop.'!C19</f>
        <v>436</v>
      </c>
      <c r="W2" s="57">
        <f>'Base de données pop.'!C20</f>
        <v>3190</v>
      </c>
      <c r="X2" s="57">
        <f>'Base de données pop.'!C21</f>
        <v>324</v>
      </c>
      <c r="Y2" s="57">
        <f>'Base de données pop.'!C22</f>
        <v>1246</v>
      </c>
      <c r="Z2" s="57">
        <f>'Base de données pop.'!C23</f>
        <v>1528</v>
      </c>
      <c r="AA2" s="57">
        <f>'Base de données pop.'!C24</f>
        <v>96</v>
      </c>
      <c r="AB2" s="57">
        <f>'Base de données pop.'!C25</f>
        <v>149</v>
      </c>
      <c r="AC2" s="57">
        <f>'Base de données pop.'!C26</f>
        <v>516</v>
      </c>
      <c r="AD2" s="57">
        <f>'Base de données pop.'!C27</f>
        <v>671</v>
      </c>
      <c r="AE2" s="57">
        <f>'Base de données pop.'!C28</f>
        <v>572</v>
      </c>
      <c r="AF2" s="57">
        <f>'Base de données pop.'!C29</f>
        <v>490</v>
      </c>
      <c r="AG2" s="57">
        <f>'Base de données pop.'!C30</f>
        <v>1914</v>
      </c>
      <c r="AH2" s="57">
        <f>'Base de données pop.'!C31</f>
        <v>2615</v>
      </c>
      <c r="AI2" s="57">
        <f>'Base de données pop.'!C32</f>
        <v>227</v>
      </c>
      <c r="AJ2" s="57">
        <f>'Base de données pop.'!C33</f>
        <v>131</v>
      </c>
      <c r="AK2" s="57">
        <f>'Base de données pop.'!C34</f>
        <v>1895</v>
      </c>
      <c r="AL2" s="57">
        <f>'Base de données pop.'!C35</f>
        <v>1135</v>
      </c>
      <c r="AM2" s="57">
        <f>'Base de données pop.'!C36</f>
        <v>1241</v>
      </c>
      <c r="AN2" s="57">
        <f>'Base de données pop.'!C37</f>
        <v>119</v>
      </c>
      <c r="AO2" s="57">
        <f>'Base de données pop.'!C38</f>
        <v>1195</v>
      </c>
      <c r="AP2" s="57">
        <f>'Base de données pop.'!C39</f>
        <v>663</v>
      </c>
      <c r="AQ2" s="57">
        <f>'Base de données pop.'!C40</f>
        <v>645</v>
      </c>
      <c r="AR2" s="57">
        <f>'Base de données pop.'!C41</f>
        <v>1263</v>
      </c>
      <c r="AS2" s="57">
        <f>'Base de données pop.'!C42</f>
        <v>740</v>
      </c>
      <c r="AT2" s="57">
        <f>'Base de données pop.'!C43</f>
        <v>1028</v>
      </c>
      <c r="AU2" s="57">
        <f>'Base de données pop.'!C44</f>
        <v>314</v>
      </c>
      <c r="AV2" s="57">
        <f>'Base de données pop.'!C45</f>
        <v>2400</v>
      </c>
      <c r="AW2" s="57">
        <f>'Base de données pop.'!C46</f>
        <v>755</v>
      </c>
      <c r="AX2" s="57">
        <f>'Base de données pop.'!C47</f>
        <v>181</v>
      </c>
      <c r="AY2" s="57">
        <f>'Base de données pop.'!C48</f>
        <v>347</v>
      </c>
      <c r="AZ2" s="57">
        <f>'Base de données pop.'!C49</f>
        <v>1690</v>
      </c>
      <c r="BA2" s="57">
        <f>'Base de données pop.'!C50</f>
        <v>387</v>
      </c>
      <c r="BB2" s="57">
        <f>'Base de données pop.'!C51</f>
        <v>1096</v>
      </c>
      <c r="BC2" s="57">
        <f>'Base de données pop.'!C52</f>
        <v>188</v>
      </c>
      <c r="BD2" s="57">
        <f>'Base de données pop.'!C53</f>
        <v>6434</v>
      </c>
      <c r="BE2" s="57">
        <f>'Base de données pop.'!C54</f>
        <v>560</v>
      </c>
      <c r="BF2" s="57">
        <f>SUM(E2:BE2)</f>
        <v>73709</v>
      </c>
      <c r="BG2" s="57">
        <f>SUM(E2:W2)</f>
        <v>38954</v>
      </c>
      <c r="BH2" s="57">
        <f>SUM(X2:AJ2)</f>
        <v>10479</v>
      </c>
      <c r="BI2" s="57">
        <f>SUM(AK2:BE2)</f>
        <v>24276</v>
      </c>
    </row>
    <row r="3" spans="1:61" x14ac:dyDescent="0.3">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4">
      <c r="A4" s="92">
        <v>1</v>
      </c>
      <c r="B4" s="92"/>
      <c r="C4" s="92"/>
      <c r="D4" s="92" t="s">
        <v>246</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3">
      <c r="C5">
        <v>10</v>
      </c>
      <c r="D5" t="s">
        <v>247</v>
      </c>
      <c r="E5" s="4">
        <v>5729343.4000000004</v>
      </c>
      <c r="F5" s="4">
        <v>1313751.3999999999</v>
      </c>
      <c r="G5" s="4">
        <v>4291473.13</v>
      </c>
      <c r="H5" s="4">
        <v>4279580.0599999996</v>
      </c>
      <c r="I5" s="4">
        <v>15173301</v>
      </c>
      <c r="J5" s="4">
        <v>8024691.8499999996</v>
      </c>
      <c r="K5" s="4">
        <v>10459838.140000001</v>
      </c>
      <c r="L5" s="4">
        <v>55034877.579999998</v>
      </c>
      <c r="M5" s="4">
        <v>3743166.68</v>
      </c>
      <c r="N5" s="4">
        <v>0</v>
      </c>
      <c r="O5" s="4">
        <v>17870825.219999999</v>
      </c>
      <c r="P5" s="4">
        <v>2306934.9900000002</v>
      </c>
      <c r="Q5" s="4">
        <v>340332.25</v>
      </c>
      <c r="R5" s="4">
        <v>1454384.04</v>
      </c>
      <c r="S5" s="4">
        <v>2174540.65</v>
      </c>
      <c r="T5" s="4">
        <v>5578034.3600000003</v>
      </c>
      <c r="U5" s="4">
        <v>771790.42</v>
      </c>
      <c r="V5" s="4">
        <v>2513060.25</v>
      </c>
      <c r="W5" s="4">
        <v>5690503.7400000002</v>
      </c>
      <c r="X5" s="4">
        <v>1782334</v>
      </c>
      <c r="Y5" s="4">
        <v>4607305.3099999996</v>
      </c>
      <c r="Z5" s="4">
        <v>22337836.73</v>
      </c>
      <c r="AA5" s="4">
        <v>514539</v>
      </c>
      <c r="AB5" s="4">
        <v>1164911.31</v>
      </c>
      <c r="AC5" s="4">
        <v>3000469.46</v>
      </c>
      <c r="AD5" s="4">
        <v>1298160.8999999999</v>
      </c>
      <c r="AE5" s="4">
        <v>2898436.1</v>
      </c>
      <c r="AF5" s="4">
        <v>4936104.3499999996</v>
      </c>
      <c r="AG5" s="4">
        <v>8990815.1799999997</v>
      </c>
      <c r="AH5" s="4">
        <v>10854437</v>
      </c>
      <c r="AI5" s="4">
        <v>907440</v>
      </c>
      <c r="AJ5" s="4">
        <v>1868313.05</v>
      </c>
      <c r="AK5" s="4">
        <v>5849957.46</v>
      </c>
      <c r="AL5" s="4">
        <v>3398783</v>
      </c>
      <c r="AM5" s="4">
        <v>4876876.1100000003</v>
      </c>
      <c r="AN5" s="4">
        <v>529407.81999999995</v>
      </c>
      <c r="AO5" s="4">
        <v>14951876</v>
      </c>
      <c r="AP5" s="4">
        <v>3720554.4</v>
      </c>
      <c r="AQ5" s="4">
        <v>3653484</v>
      </c>
      <c r="AR5" s="4">
        <v>11819557.02</v>
      </c>
      <c r="AS5" s="4">
        <v>2533324.2999999998</v>
      </c>
      <c r="AT5" s="4">
        <v>3348405.97</v>
      </c>
      <c r="AU5" s="4">
        <v>3818782.68</v>
      </c>
      <c r="AV5" s="4">
        <v>4797496.66</v>
      </c>
      <c r="AW5" s="4">
        <v>3077294.98</v>
      </c>
      <c r="AX5" s="4">
        <v>678851.45</v>
      </c>
      <c r="AY5" s="4">
        <v>2029594.24</v>
      </c>
      <c r="AZ5" s="4">
        <v>4272308.3099999996</v>
      </c>
      <c r="BA5" s="4">
        <v>1690939.23</v>
      </c>
      <c r="BB5" s="4">
        <v>4279723.32</v>
      </c>
      <c r="BC5" s="4">
        <v>866229.02</v>
      </c>
      <c r="BD5" s="4">
        <v>28478770</v>
      </c>
      <c r="BE5" s="4">
        <v>2581993.19</v>
      </c>
      <c r="BF5" s="4">
        <f>SUM(E5:BE5)</f>
        <v>323165740.7100001</v>
      </c>
      <c r="BG5" s="4">
        <f>SUM(E5:W5)</f>
        <v>146750429.16000003</v>
      </c>
      <c r="BH5" s="4">
        <f>SUM(X5:AJ5)</f>
        <v>65161102.390000001</v>
      </c>
      <c r="BI5" s="4">
        <f>SUM(AK5:BE5)</f>
        <v>111254209.16000001</v>
      </c>
    </row>
    <row r="6" spans="1:61" x14ac:dyDescent="0.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4">
      <c r="A7" s="98">
        <v>2</v>
      </c>
      <c r="B7" s="98"/>
      <c r="C7" s="98"/>
      <c r="D7" s="98" t="s">
        <v>258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3">
      <c r="B8" s="78"/>
      <c r="C8" s="134">
        <v>20</v>
      </c>
      <c r="D8" s="134" t="s">
        <v>259</v>
      </c>
      <c r="E8" s="89">
        <v>7710885.7000000002</v>
      </c>
      <c r="F8" s="89">
        <v>1661251.45</v>
      </c>
      <c r="G8" s="89">
        <v>6404558.5199999996</v>
      </c>
      <c r="H8" s="89">
        <v>4613400.9400000004</v>
      </c>
      <c r="I8" s="89">
        <v>26343468</v>
      </c>
      <c r="J8" s="89">
        <v>21137174.780000001</v>
      </c>
      <c r="K8" s="89">
        <v>11484688.109999999</v>
      </c>
      <c r="L8" s="89">
        <v>125557688.95</v>
      </c>
      <c r="M8" s="89">
        <v>5868070.6299999999</v>
      </c>
      <c r="N8" s="89">
        <v>0</v>
      </c>
      <c r="O8" s="89">
        <v>39464606.920000002</v>
      </c>
      <c r="P8" s="89">
        <v>3674228.88</v>
      </c>
      <c r="Q8" s="89">
        <v>585366.75</v>
      </c>
      <c r="R8" s="89">
        <v>3329882.66</v>
      </c>
      <c r="S8" s="89">
        <v>4328768.28</v>
      </c>
      <c r="T8" s="89">
        <v>5790676.8899999997</v>
      </c>
      <c r="U8" s="89">
        <v>1064577.6299999999</v>
      </c>
      <c r="V8" s="89">
        <v>2952271.95</v>
      </c>
      <c r="W8" s="89">
        <v>16108731.58</v>
      </c>
      <c r="X8" s="89">
        <v>701824</v>
      </c>
      <c r="Y8" s="89">
        <v>12393883.23</v>
      </c>
      <c r="Z8" s="89">
        <v>13352559.84</v>
      </c>
      <c r="AA8" s="89">
        <v>650530</v>
      </c>
      <c r="AB8" s="89">
        <v>1324155.57</v>
      </c>
      <c r="AC8" s="89">
        <v>3262180.61</v>
      </c>
      <c r="AD8" s="89">
        <v>7901506.1299999999</v>
      </c>
      <c r="AE8" s="89">
        <v>4184157.13</v>
      </c>
      <c r="AF8" s="89">
        <v>1835141.4</v>
      </c>
      <c r="AG8" s="89">
        <v>7913147.3899999997</v>
      </c>
      <c r="AH8" s="89">
        <v>21041584</v>
      </c>
      <c r="AI8" s="89">
        <v>1029453</v>
      </c>
      <c r="AJ8" s="89">
        <v>737274</v>
      </c>
      <c r="AK8" s="89">
        <v>17215810.02</v>
      </c>
      <c r="AL8" s="89">
        <v>16414</v>
      </c>
      <c r="AM8" s="89">
        <v>11723916.060000001</v>
      </c>
      <c r="AN8" s="89">
        <v>11500</v>
      </c>
      <c r="AO8" s="89">
        <v>11108782.970000001</v>
      </c>
      <c r="AP8" s="89">
        <v>5180403.1399999997</v>
      </c>
      <c r="AQ8" s="89">
        <v>4581586</v>
      </c>
      <c r="AR8" s="89">
        <v>9798705.8300000001</v>
      </c>
      <c r="AS8" s="89">
        <v>5672676.1900000004</v>
      </c>
      <c r="AT8" s="89">
        <v>8438512.1400000006</v>
      </c>
      <c r="AU8" s="89">
        <v>2009618.65</v>
      </c>
      <c r="AV8" s="89">
        <v>14597972.57</v>
      </c>
      <c r="AW8" s="89">
        <v>6019600.25</v>
      </c>
      <c r="AX8" s="89">
        <v>982153.85</v>
      </c>
      <c r="AY8" s="89">
        <v>2091959</v>
      </c>
      <c r="AZ8" s="89">
        <v>21006891.079999998</v>
      </c>
      <c r="BA8" s="89">
        <v>1270560.3899999999</v>
      </c>
      <c r="BB8" s="89">
        <v>10609246.140000001</v>
      </c>
      <c r="BC8" s="89">
        <v>295678.96000000002</v>
      </c>
      <c r="BD8" s="89">
        <v>69341997.879999995</v>
      </c>
      <c r="BE8" s="89">
        <v>4724519.8</v>
      </c>
      <c r="BF8" s="72">
        <f t="shared" ref="BF8:BF14" si="0">SUM(E8:BE8)</f>
        <v>571106199.83999968</v>
      </c>
      <c r="BG8" s="72">
        <f t="shared" ref="BG8:BG14" si="1">SUM(E8:W8)</f>
        <v>288080298.61999995</v>
      </c>
      <c r="BH8" s="72">
        <f t="shared" ref="BH8:BH14" si="2">SUM(X8:AJ8)</f>
        <v>76327396.300000012</v>
      </c>
      <c r="BI8" s="72">
        <f t="shared" ref="BI8:BI14" si="3">SUM(AK8:BE8)</f>
        <v>206698504.91999999</v>
      </c>
    </row>
    <row r="9" spans="1:61" x14ac:dyDescent="0.3">
      <c r="C9">
        <v>200</v>
      </c>
      <c r="D9" t="s">
        <v>260</v>
      </c>
      <c r="E9" s="4">
        <v>3771.65</v>
      </c>
      <c r="F9" s="4">
        <v>44599</v>
      </c>
      <c r="G9" s="4">
        <v>112759.55</v>
      </c>
      <c r="H9" s="4">
        <v>233640.35</v>
      </c>
      <c r="I9" s="4">
        <v>600201</v>
      </c>
      <c r="J9" s="4">
        <v>950985.5</v>
      </c>
      <c r="K9" s="4">
        <v>201552.2</v>
      </c>
      <c r="L9" s="4">
        <v>3705859.12</v>
      </c>
      <c r="M9" s="4">
        <v>242544.73</v>
      </c>
      <c r="N9" s="4">
        <v>0</v>
      </c>
      <c r="O9" s="4">
        <v>1453277.22</v>
      </c>
      <c r="P9" s="4">
        <v>91190.97</v>
      </c>
      <c r="Q9" s="4">
        <v>25537.75</v>
      </c>
      <c r="R9" s="4">
        <v>266808.40999999997</v>
      </c>
      <c r="S9" s="4">
        <v>563608.91</v>
      </c>
      <c r="T9" s="4">
        <v>401478.57</v>
      </c>
      <c r="U9" s="4">
        <v>213190.62</v>
      </c>
      <c r="V9" s="4">
        <v>221716.45</v>
      </c>
      <c r="W9" s="4">
        <v>2071297.12</v>
      </c>
      <c r="X9" s="4">
        <v>135</v>
      </c>
      <c r="Y9" s="4">
        <v>8866789.9800000004</v>
      </c>
      <c r="Z9" s="4">
        <v>3389024.96</v>
      </c>
      <c r="AA9" s="4">
        <v>33957</v>
      </c>
      <c r="AB9" s="4">
        <v>31444.13</v>
      </c>
      <c r="AC9" s="4">
        <v>287157.11</v>
      </c>
      <c r="AD9" s="4">
        <v>640852.55000000005</v>
      </c>
      <c r="AE9" s="4">
        <v>0</v>
      </c>
      <c r="AF9" s="4">
        <v>163650.85</v>
      </c>
      <c r="AG9" s="4">
        <v>1264494.6399999999</v>
      </c>
      <c r="AH9" s="4">
        <v>283597</v>
      </c>
      <c r="AI9" s="4">
        <v>74.5</v>
      </c>
      <c r="AJ9" s="4">
        <v>43246.05</v>
      </c>
      <c r="AK9" s="4">
        <v>341865.4</v>
      </c>
      <c r="AL9" s="4">
        <v>320246</v>
      </c>
      <c r="AM9" s="4">
        <v>179595.55</v>
      </c>
      <c r="AN9" s="4">
        <v>30726.94</v>
      </c>
      <c r="AO9" s="4">
        <v>1175364.1000000001</v>
      </c>
      <c r="AP9" s="4">
        <v>352732.84</v>
      </c>
      <c r="AQ9" s="4">
        <v>135768</v>
      </c>
      <c r="AR9" s="4">
        <v>320325.25</v>
      </c>
      <c r="AS9" s="4">
        <v>362403.69</v>
      </c>
      <c r="AT9" s="4">
        <v>212758.25</v>
      </c>
      <c r="AU9" s="4">
        <v>47182.1</v>
      </c>
      <c r="AV9" s="4">
        <v>526840.46</v>
      </c>
      <c r="AW9" s="4">
        <v>125306.3</v>
      </c>
      <c r="AX9" s="4">
        <v>18759.349999999999</v>
      </c>
      <c r="AY9" s="4">
        <v>110841.3</v>
      </c>
      <c r="AZ9" s="4">
        <v>1391754.4</v>
      </c>
      <c r="BA9" s="4">
        <v>34063.440000000002</v>
      </c>
      <c r="BB9" s="4">
        <v>1010318.05</v>
      </c>
      <c r="BC9" s="4">
        <v>57543.88</v>
      </c>
      <c r="BD9" s="4">
        <v>2244759.54</v>
      </c>
      <c r="BE9" s="4">
        <v>403308.85</v>
      </c>
      <c r="BF9" s="72">
        <f t="shared" si="0"/>
        <v>35810906.580000013</v>
      </c>
      <c r="BG9" s="72">
        <f t="shared" si="1"/>
        <v>11404019.119999997</v>
      </c>
      <c r="BH9" s="72">
        <f t="shared" si="2"/>
        <v>15004423.770000003</v>
      </c>
      <c r="BI9" s="72">
        <f t="shared" si="3"/>
        <v>9402463.6899999995</v>
      </c>
    </row>
    <row r="10" spans="1:61" x14ac:dyDescent="0.3">
      <c r="C10">
        <v>201</v>
      </c>
      <c r="D10" t="s">
        <v>261</v>
      </c>
      <c r="E10" s="4">
        <v>3909040.76</v>
      </c>
      <c r="F10" s="4">
        <v>74260</v>
      </c>
      <c r="G10" s="4">
        <v>180090.75</v>
      </c>
      <c r="H10" s="4">
        <v>352998.33</v>
      </c>
      <c r="I10" s="4">
        <v>4511771</v>
      </c>
      <c r="J10" s="4">
        <v>5336550</v>
      </c>
      <c r="K10" s="4">
        <v>0</v>
      </c>
      <c r="L10" s="4">
        <v>49004578.5</v>
      </c>
      <c r="M10" s="4">
        <v>213200</v>
      </c>
      <c r="N10" s="4">
        <v>0</v>
      </c>
      <c r="O10" s="4">
        <v>3586455.24</v>
      </c>
      <c r="P10" s="4">
        <v>1264473.8700000001</v>
      </c>
      <c r="Q10" s="4">
        <v>125256.5</v>
      </c>
      <c r="R10" s="4">
        <v>0</v>
      </c>
      <c r="S10" s="4">
        <v>2512156.62</v>
      </c>
      <c r="T10" s="4">
        <v>0</v>
      </c>
      <c r="U10" s="4">
        <v>160308.07999999999</v>
      </c>
      <c r="V10" s="4">
        <v>675483.74</v>
      </c>
      <c r="W10" s="4">
        <v>0</v>
      </c>
      <c r="X10" s="4">
        <v>63507</v>
      </c>
      <c r="Y10" s="4">
        <v>0</v>
      </c>
      <c r="Z10" s="4">
        <v>0</v>
      </c>
      <c r="AA10" s="4">
        <v>0</v>
      </c>
      <c r="AB10" s="4">
        <v>0</v>
      </c>
      <c r="AC10" s="4">
        <v>795091.5</v>
      </c>
      <c r="AD10" s="4">
        <v>87760.01</v>
      </c>
      <c r="AE10" s="4">
        <v>195428.94</v>
      </c>
      <c r="AF10" s="4">
        <v>484090.65</v>
      </c>
      <c r="AG10" s="4">
        <v>1436720.75</v>
      </c>
      <c r="AH10" s="4">
        <v>7465504</v>
      </c>
      <c r="AI10" s="4">
        <v>-28418</v>
      </c>
      <c r="AJ10" s="4">
        <v>16520</v>
      </c>
      <c r="AK10" s="4">
        <v>0</v>
      </c>
      <c r="AL10" s="4">
        <v>512379</v>
      </c>
      <c r="AM10" s="4">
        <v>438479.73</v>
      </c>
      <c r="AN10" s="4">
        <v>0</v>
      </c>
      <c r="AO10" s="4">
        <v>1000000</v>
      </c>
      <c r="AP10" s="4">
        <v>50050</v>
      </c>
      <c r="AQ10" s="4">
        <v>334240</v>
      </c>
      <c r="AR10" s="4">
        <v>32000</v>
      </c>
      <c r="AS10" s="4">
        <v>333359.06</v>
      </c>
      <c r="AT10" s="4">
        <v>276059</v>
      </c>
      <c r="AU10" s="4">
        <v>19300</v>
      </c>
      <c r="AV10" s="4">
        <v>0</v>
      </c>
      <c r="AW10" s="4">
        <v>1227600</v>
      </c>
      <c r="AX10" s="4">
        <v>10000</v>
      </c>
      <c r="AY10" s="4">
        <v>235243.64</v>
      </c>
      <c r="AZ10" s="4">
        <v>530829.82999999996</v>
      </c>
      <c r="BA10" s="4">
        <v>306582.07</v>
      </c>
      <c r="BB10" s="4">
        <v>725276.54</v>
      </c>
      <c r="BC10" s="4">
        <v>0</v>
      </c>
      <c r="BD10" s="4">
        <v>10110840.08</v>
      </c>
      <c r="BE10" s="4">
        <v>150426</v>
      </c>
      <c r="BF10" s="4">
        <f t="shared" si="0"/>
        <v>98715493.190000013</v>
      </c>
      <c r="BG10" s="4">
        <f t="shared" si="1"/>
        <v>71906623.390000001</v>
      </c>
      <c r="BH10" s="4">
        <f t="shared" si="2"/>
        <v>10516204.85</v>
      </c>
      <c r="BI10" s="4">
        <f t="shared" si="3"/>
        <v>16292664.949999999</v>
      </c>
    </row>
    <row r="11" spans="1:61" x14ac:dyDescent="0.3">
      <c r="C11">
        <v>2016</v>
      </c>
      <c r="D11" t="s">
        <v>276</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162300</v>
      </c>
      <c r="AM11" s="4">
        <v>0</v>
      </c>
      <c r="AN11" s="4">
        <v>0</v>
      </c>
      <c r="AO11" s="4">
        <v>0</v>
      </c>
      <c r="AP11" s="4">
        <v>0</v>
      </c>
      <c r="AQ11" s="4"/>
      <c r="AR11" s="4">
        <v>0</v>
      </c>
      <c r="AS11" s="4">
        <v>0</v>
      </c>
      <c r="AT11" s="4">
        <v>0</v>
      </c>
      <c r="AU11" s="4">
        <v>0</v>
      </c>
      <c r="AV11" s="4">
        <v>0</v>
      </c>
      <c r="AW11" s="4">
        <v>0</v>
      </c>
      <c r="AX11" s="4">
        <v>0</v>
      </c>
      <c r="AY11" s="4">
        <v>0</v>
      </c>
      <c r="AZ11" s="4">
        <v>0</v>
      </c>
      <c r="BA11" s="4">
        <v>0</v>
      </c>
      <c r="BB11" s="4">
        <v>0</v>
      </c>
      <c r="BC11" s="4">
        <v>0</v>
      </c>
      <c r="BD11" s="4">
        <v>0</v>
      </c>
      <c r="BE11" s="4">
        <v>0</v>
      </c>
      <c r="BF11" s="4">
        <f t="shared" si="0"/>
        <v>162300</v>
      </c>
      <c r="BG11" s="4">
        <f t="shared" si="1"/>
        <v>0</v>
      </c>
      <c r="BH11" s="4">
        <f t="shared" si="2"/>
        <v>0</v>
      </c>
      <c r="BI11" s="4">
        <f t="shared" si="3"/>
        <v>162300</v>
      </c>
    </row>
    <row r="12" spans="1:61" x14ac:dyDescent="0.3">
      <c r="C12">
        <v>206</v>
      </c>
      <c r="D12" t="s">
        <v>264</v>
      </c>
      <c r="E12" s="4">
        <v>3449574.66</v>
      </c>
      <c r="F12" s="4">
        <v>1575200.85</v>
      </c>
      <c r="G12" s="4">
        <v>5302040</v>
      </c>
      <c r="H12" s="4">
        <v>3739314.97</v>
      </c>
      <c r="I12" s="4">
        <v>17801406</v>
      </c>
      <c r="J12" s="4">
        <v>14552620</v>
      </c>
      <c r="K12" s="4">
        <v>6615738.4900000002</v>
      </c>
      <c r="L12" s="4">
        <v>66513986.549999997</v>
      </c>
      <c r="M12" s="4">
        <v>5198699.75</v>
      </c>
      <c r="N12" s="4">
        <v>0</v>
      </c>
      <c r="O12" s="4">
        <v>32997633.300000001</v>
      </c>
      <c r="P12" s="4">
        <v>1797463.35</v>
      </c>
      <c r="Q12" s="4">
        <v>385600</v>
      </c>
      <c r="R12" s="4">
        <v>3046722.25</v>
      </c>
      <c r="S12" s="4">
        <v>1129011</v>
      </c>
      <c r="T12" s="4">
        <v>5103900</v>
      </c>
      <c r="U12" s="4">
        <v>280221.77</v>
      </c>
      <c r="V12" s="4">
        <v>1847698.1</v>
      </c>
      <c r="W12" s="4">
        <v>12761720</v>
      </c>
      <c r="X12" s="4">
        <v>504064</v>
      </c>
      <c r="Y12" s="4">
        <v>3210200</v>
      </c>
      <c r="Z12" s="4">
        <v>4729200</v>
      </c>
      <c r="AA12" s="4">
        <v>610190</v>
      </c>
      <c r="AB12" s="4">
        <v>1200000</v>
      </c>
      <c r="AC12" s="4">
        <v>1985134.62</v>
      </c>
      <c r="AD12" s="4">
        <v>6970357.2800000003</v>
      </c>
      <c r="AE12" s="4">
        <v>3642000</v>
      </c>
      <c r="AF12" s="4">
        <v>515000</v>
      </c>
      <c r="AG12" s="4">
        <v>4377400</v>
      </c>
      <c r="AH12" s="4">
        <v>11523397</v>
      </c>
      <c r="AI12" s="4">
        <v>913401</v>
      </c>
      <c r="AJ12" s="4">
        <v>659260</v>
      </c>
      <c r="AK12" s="4">
        <v>16838944.620000001</v>
      </c>
      <c r="AL12" s="4">
        <v>5808800</v>
      </c>
      <c r="AM12" s="4">
        <v>10805793.380000001</v>
      </c>
      <c r="AN12" s="4">
        <v>1600000</v>
      </c>
      <c r="AO12" s="4">
        <v>7922475</v>
      </c>
      <c r="AP12" s="4">
        <v>4736229.05</v>
      </c>
      <c r="AQ12" s="4">
        <v>3968985</v>
      </c>
      <c r="AR12" s="4">
        <v>9008304.7300000004</v>
      </c>
      <c r="AS12" s="4">
        <v>4813702</v>
      </c>
      <c r="AT12" s="4">
        <v>7532739.1200000001</v>
      </c>
      <c r="AU12" s="4">
        <v>1825965</v>
      </c>
      <c r="AV12" s="4">
        <v>13357775</v>
      </c>
      <c r="AW12" s="4">
        <v>4368892</v>
      </c>
      <c r="AX12" s="4">
        <v>798406.85</v>
      </c>
      <c r="AY12" s="4">
        <v>1660900</v>
      </c>
      <c r="AZ12" s="4">
        <v>18633004.399999999</v>
      </c>
      <c r="BA12" s="4">
        <v>871280</v>
      </c>
      <c r="BB12" s="4">
        <v>8489385.5500000007</v>
      </c>
      <c r="BC12" s="4">
        <v>148745.70000000001</v>
      </c>
      <c r="BD12" s="4">
        <v>52347931</v>
      </c>
      <c r="BE12" s="4">
        <v>3874321.95</v>
      </c>
      <c r="BF12" s="4">
        <f t="shared" si="0"/>
        <v>404350735.29000002</v>
      </c>
      <c r="BG12" s="4">
        <f t="shared" si="1"/>
        <v>184098551.04000002</v>
      </c>
      <c r="BH12" s="4">
        <f t="shared" si="2"/>
        <v>40839603.900000006</v>
      </c>
      <c r="BI12" s="4">
        <f t="shared" si="3"/>
        <v>179412580.34999999</v>
      </c>
    </row>
    <row r="13" spans="1:61" x14ac:dyDescent="0.3">
      <c r="C13">
        <v>29</v>
      </c>
      <c r="D13" t="s">
        <v>267</v>
      </c>
      <c r="E13" s="4">
        <v>3556841.05</v>
      </c>
      <c r="F13" s="4">
        <v>424484.22</v>
      </c>
      <c r="G13" s="4">
        <v>426157.26</v>
      </c>
      <c r="H13" s="4">
        <v>1573416.94</v>
      </c>
      <c r="I13" s="4">
        <v>4528998</v>
      </c>
      <c r="J13" s="4">
        <v>2613926.48</v>
      </c>
      <c r="K13" s="4">
        <v>9795973.8699999992</v>
      </c>
      <c r="L13" s="4">
        <v>9469403.4299999997</v>
      </c>
      <c r="M13" s="4">
        <v>1428470.76</v>
      </c>
      <c r="N13" s="4">
        <v>0</v>
      </c>
      <c r="O13" s="4">
        <v>1406930.34</v>
      </c>
      <c r="P13" s="4">
        <v>1418245.9</v>
      </c>
      <c r="Q13" s="4">
        <v>198361.4</v>
      </c>
      <c r="R13" s="4">
        <v>387290.27</v>
      </c>
      <c r="S13" s="4">
        <v>1086576.02</v>
      </c>
      <c r="T13" s="4">
        <v>2442335.52</v>
      </c>
      <c r="U13" s="4">
        <v>506479.81</v>
      </c>
      <c r="V13" s="4">
        <v>579511.64</v>
      </c>
      <c r="W13" s="4">
        <v>2306630.38</v>
      </c>
      <c r="X13" s="4">
        <v>3130869</v>
      </c>
      <c r="Y13" s="4">
        <v>2665398.61</v>
      </c>
      <c r="Z13" s="4">
        <v>17457784.329999998</v>
      </c>
      <c r="AA13" s="4">
        <v>787174</v>
      </c>
      <c r="AB13" s="4">
        <v>1193467.19</v>
      </c>
      <c r="AC13" s="4">
        <v>1658594.32</v>
      </c>
      <c r="AD13" s="4">
        <v>1476782.47</v>
      </c>
      <c r="AE13" s="4">
        <v>3093097.76</v>
      </c>
      <c r="AF13" s="4">
        <v>7186752.1500000004</v>
      </c>
      <c r="AG13" s="4">
        <v>6277779.9900000002</v>
      </c>
      <c r="AH13" s="4">
        <v>7771833</v>
      </c>
      <c r="AI13" s="4">
        <v>1673621</v>
      </c>
      <c r="AJ13" s="4">
        <v>1852459.2</v>
      </c>
      <c r="AK13" s="4">
        <v>2269093.0299999998</v>
      </c>
      <c r="AL13" s="4">
        <v>209363</v>
      </c>
      <c r="AM13" s="4">
        <v>2655880.75</v>
      </c>
      <c r="AN13" s="4">
        <v>528531.41</v>
      </c>
      <c r="AO13" s="4">
        <v>16275380.58</v>
      </c>
      <c r="AP13" s="4">
        <v>2312312.73</v>
      </c>
      <c r="AQ13" s="4">
        <v>2202763</v>
      </c>
      <c r="AR13" s="4">
        <v>8918139.8300000001</v>
      </c>
      <c r="AS13" s="4">
        <v>787625.26</v>
      </c>
      <c r="AT13" s="4">
        <v>989505.38</v>
      </c>
      <c r="AU13" s="4">
        <v>4110967.01</v>
      </c>
      <c r="AV13" s="4">
        <v>5618048.5599999996</v>
      </c>
      <c r="AW13" s="4">
        <v>1695122.93</v>
      </c>
      <c r="AX13" s="4">
        <v>565767.6</v>
      </c>
      <c r="AY13" s="4">
        <v>721365.79</v>
      </c>
      <c r="AZ13" s="4">
        <v>2339255.0099999998</v>
      </c>
      <c r="BA13" s="4">
        <v>1702511.6</v>
      </c>
      <c r="BB13" s="4">
        <v>3308556.82</v>
      </c>
      <c r="BC13" s="4">
        <v>1229772.96</v>
      </c>
      <c r="BD13" s="4">
        <v>4295127.7300000004</v>
      </c>
      <c r="BE13" s="4">
        <v>763224.75</v>
      </c>
      <c r="BF13" s="4">
        <f t="shared" si="0"/>
        <v>163873962.03999996</v>
      </c>
      <c r="BG13" s="4">
        <f t="shared" si="1"/>
        <v>44150033.290000014</v>
      </c>
      <c r="BH13" s="4">
        <f t="shared" si="2"/>
        <v>56225613.020000003</v>
      </c>
      <c r="BI13" s="4">
        <f t="shared" si="3"/>
        <v>63498315.730000004</v>
      </c>
    </row>
    <row r="14" spans="1:61" x14ac:dyDescent="0.3">
      <c r="C14">
        <v>299</v>
      </c>
      <c r="D14" t="s">
        <v>587</v>
      </c>
      <c r="E14" s="4">
        <v>2032602.43</v>
      </c>
      <c r="F14" s="4">
        <v>259669.26</v>
      </c>
      <c r="G14" s="4">
        <v>306794.81</v>
      </c>
      <c r="H14" s="4">
        <v>131830.07</v>
      </c>
      <c r="I14" s="4">
        <v>4873264</v>
      </c>
      <c r="J14" s="4">
        <v>1471739.28</v>
      </c>
      <c r="K14" s="4">
        <v>2812814.04</v>
      </c>
      <c r="L14" s="4">
        <v>3367435.7</v>
      </c>
      <c r="M14" s="4">
        <v>988470.76</v>
      </c>
      <c r="N14" s="4">
        <v>0</v>
      </c>
      <c r="O14" s="153">
        <v>-745183.54</v>
      </c>
      <c r="P14" s="4">
        <v>273295.59999999998</v>
      </c>
      <c r="Q14" s="4">
        <v>81570.179999999993</v>
      </c>
      <c r="R14" s="4">
        <v>218290.27</v>
      </c>
      <c r="S14" s="4">
        <v>99293.38</v>
      </c>
      <c r="T14" s="4">
        <v>659696.05000000005</v>
      </c>
      <c r="U14" s="4">
        <v>3343.42</v>
      </c>
      <c r="V14" s="4">
        <v>286705.59000000003</v>
      </c>
      <c r="W14" s="4">
        <v>1621215.03</v>
      </c>
      <c r="X14" s="4">
        <v>1937692</v>
      </c>
      <c r="Y14" s="4">
        <v>1121797.04</v>
      </c>
      <c r="Z14" s="4">
        <v>10536916.17</v>
      </c>
      <c r="AA14" s="4">
        <v>357293</v>
      </c>
      <c r="AB14" s="4">
        <v>1031602.47</v>
      </c>
      <c r="AC14" s="4">
        <v>579462.42000000004</v>
      </c>
      <c r="AD14" s="4">
        <v>884960.82</v>
      </c>
      <c r="AE14" s="4">
        <v>1321982.31</v>
      </c>
      <c r="AF14" s="4">
        <v>4783431.4400000004</v>
      </c>
      <c r="AG14" s="4">
        <v>3216901.24</v>
      </c>
      <c r="AH14" s="4">
        <v>2061849</v>
      </c>
      <c r="AI14" s="4">
        <v>1113598</v>
      </c>
      <c r="AJ14" s="4">
        <v>583278.91</v>
      </c>
      <c r="AK14" s="4">
        <v>321705.46000000002</v>
      </c>
      <c r="AL14" s="4">
        <v>-32824</v>
      </c>
      <c r="AM14" s="4">
        <v>2314644.77</v>
      </c>
      <c r="AN14" s="4">
        <v>8760.2199999999993</v>
      </c>
      <c r="AO14" s="4">
        <v>6886509.9699999997</v>
      </c>
      <c r="AP14" s="4">
        <v>1959508.23</v>
      </c>
      <c r="AQ14" s="4">
        <v>1081492</v>
      </c>
      <c r="AR14" s="4">
        <v>4762498.4800000004</v>
      </c>
      <c r="AS14" s="4">
        <v>296861.51</v>
      </c>
      <c r="AT14" s="4">
        <v>585826.38</v>
      </c>
      <c r="AU14" s="4">
        <v>2975620.16</v>
      </c>
      <c r="AV14" s="4">
        <v>4884403.59</v>
      </c>
      <c r="AW14" s="4">
        <v>443278.43</v>
      </c>
      <c r="AX14" s="4">
        <v>166848.37</v>
      </c>
      <c r="AY14" s="4">
        <v>207879.69</v>
      </c>
      <c r="AZ14" s="4">
        <v>2235253.7599999998</v>
      </c>
      <c r="BA14" s="4">
        <v>1496239.95</v>
      </c>
      <c r="BB14" s="4">
        <v>1806369.39</v>
      </c>
      <c r="BC14" s="4">
        <v>725925.62</v>
      </c>
      <c r="BD14" s="4">
        <v>1509378.23</v>
      </c>
      <c r="BE14" s="4">
        <v>364615.26</v>
      </c>
      <c r="BF14" s="4">
        <f t="shared" si="0"/>
        <v>83274406.620000035</v>
      </c>
      <c r="BG14" s="4">
        <f t="shared" si="1"/>
        <v>18742846.330000002</v>
      </c>
      <c r="BH14" s="4">
        <f t="shared" si="2"/>
        <v>29530764.820000004</v>
      </c>
      <c r="BI14" s="4">
        <f t="shared" si="3"/>
        <v>35000795.469999999</v>
      </c>
    </row>
    <row r="15" spans="1:61" x14ac:dyDescent="0.3">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4">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3">
      <c r="B17" s="78"/>
      <c r="C17" s="134">
        <v>30</v>
      </c>
      <c r="D17" s="134" t="s">
        <v>283</v>
      </c>
      <c r="E17" s="89">
        <v>470114.3</v>
      </c>
      <c r="F17" s="89">
        <v>33790.6</v>
      </c>
      <c r="G17" s="89">
        <v>132370.54999999999</v>
      </c>
      <c r="H17" s="89">
        <v>234232.2</v>
      </c>
      <c r="I17" s="89">
        <v>2614007</v>
      </c>
      <c r="J17" s="89">
        <v>2914897.7</v>
      </c>
      <c r="K17" s="89">
        <v>1052579.25</v>
      </c>
      <c r="L17" s="89">
        <v>19606286.829999998</v>
      </c>
      <c r="M17" s="89">
        <v>1235277.3</v>
      </c>
      <c r="N17" s="89">
        <v>0</v>
      </c>
      <c r="O17" s="89">
        <v>3355866.1</v>
      </c>
      <c r="P17" s="89">
        <v>166881.04999999999</v>
      </c>
      <c r="Q17" s="89">
        <v>69596.649999999994</v>
      </c>
      <c r="R17" s="89">
        <v>238242.75</v>
      </c>
      <c r="S17" s="89">
        <v>120756.95</v>
      </c>
      <c r="T17" s="89">
        <v>287755</v>
      </c>
      <c r="U17" s="89">
        <v>106789</v>
      </c>
      <c r="V17" s="89">
        <v>333879.65000000002</v>
      </c>
      <c r="W17" s="89">
        <v>2111725.83</v>
      </c>
      <c r="X17" s="89">
        <v>99579</v>
      </c>
      <c r="Y17" s="89">
        <v>1191421.6000000001</v>
      </c>
      <c r="Z17" s="89">
        <v>1513460.5</v>
      </c>
      <c r="AA17" s="89">
        <v>93557</v>
      </c>
      <c r="AB17" s="89">
        <v>58454.1</v>
      </c>
      <c r="AC17" s="89">
        <v>238202.45</v>
      </c>
      <c r="AD17" s="89">
        <v>545174.19999999995</v>
      </c>
      <c r="AE17" s="89">
        <v>297597.05</v>
      </c>
      <c r="AF17" s="89">
        <v>357056.9</v>
      </c>
      <c r="AG17" s="89">
        <v>837538.1</v>
      </c>
      <c r="AH17" s="89">
        <v>1592396</v>
      </c>
      <c r="AI17" s="89">
        <v>83492</v>
      </c>
      <c r="AJ17" s="89">
        <v>58225.8</v>
      </c>
      <c r="AK17" s="89">
        <v>684219.85</v>
      </c>
      <c r="AL17" s="89">
        <v>420037</v>
      </c>
      <c r="AM17" s="89">
        <v>494732.75</v>
      </c>
      <c r="AN17" s="89">
        <v>66430.3</v>
      </c>
      <c r="AO17" s="89">
        <v>1213438.1399999999</v>
      </c>
      <c r="AP17" s="89">
        <v>784212.55</v>
      </c>
      <c r="AQ17" s="89">
        <v>234203</v>
      </c>
      <c r="AR17" s="89">
        <v>1090599.7</v>
      </c>
      <c r="AS17" s="89">
        <v>440814.85</v>
      </c>
      <c r="AT17" s="89">
        <v>411550.05</v>
      </c>
      <c r="AU17" s="89">
        <v>107092.01</v>
      </c>
      <c r="AV17" s="89">
        <v>988286.2</v>
      </c>
      <c r="AW17" s="89">
        <v>451651.45</v>
      </c>
      <c r="AX17" s="89">
        <v>86578.74</v>
      </c>
      <c r="AY17" s="89">
        <v>136178.70000000001</v>
      </c>
      <c r="AZ17" s="89">
        <v>861631.8</v>
      </c>
      <c r="BA17" s="89">
        <v>118392.9</v>
      </c>
      <c r="BB17" s="89">
        <v>1272093.46</v>
      </c>
      <c r="BC17" s="89">
        <v>72984.600000000006</v>
      </c>
      <c r="BD17" s="89">
        <v>10089330.32</v>
      </c>
      <c r="BE17" s="89">
        <v>316780.65000000002</v>
      </c>
      <c r="BF17" s="4">
        <f t="shared" ref="BF17:BF34" si="4">SUM(E17:BE17)</f>
        <v>62392442.430000007</v>
      </c>
      <c r="BG17" s="4">
        <f t="shared" ref="BG17:BG34" si="5">SUM(E17:W17)</f>
        <v>35085048.710000001</v>
      </c>
      <c r="BH17" s="4">
        <f t="shared" ref="BH17:BH34" si="6">SUM(X17:AJ17)</f>
        <v>6966154.7000000002</v>
      </c>
      <c r="BI17" s="4">
        <f t="shared" ref="BI17:BI34" si="7">SUM(AK17:BE17)</f>
        <v>20341239.019999996</v>
      </c>
    </row>
    <row r="18" spans="2:61" x14ac:dyDescent="0.3">
      <c r="C18">
        <v>31</v>
      </c>
      <c r="D18" t="s">
        <v>284</v>
      </c>
      <c r="E18" s="4">
        <v>427006.53</v>
      </c>
      <c r="F18" s="4">
        <v>109341.55</v>
      </c>
      <c r="G18" s="4">
        <v>162658.44</v>
      </c>
      <c r="H18" s="4">
        <v>169499.04</v>
      </c>
      <c r="I18" s="4">
        <v>1351042</v>
      </c>
      <c r="J18" s="4">
        <v>989580.55</v>
      </c>
      <c r="K18" s="4">
        <v>870080.81</v>
      </c>
      <c r="L18" s="72">
        <v>6472698.6500000004</v>
      </c>
      <c r="M18" s="4">
        <v>455373.48</v>
      </c>
      <c r="N18" s="4">
        <v>0</v>
      </c>
      <c r="O18" s="4">
        <v>2262722.02</v>
      </c>
      <c r="P18" s="4">
        <v>488433.9</v>
      </c>
      <c r="Q18" s="4">
        <v>47140</v>
      </c>
      <c r="R18" s="4">
        <v>156580.06</v>
      </c>
      <c r="S18" s="4">
        <v>386409.94</v>
      </c>
      <c r="T18" s="4">
        <v>296090.25</v>
      </c>
      <c r="U18" s="4">
        <v>142237</v>
      </c>
      <c r="V18" s="4">
        <v>463620.3</v>
      </c>
      <c r="W18" s="4">
        <v>1491682.19</v>
      </c>
      <c r="X18" s="4">
        <v>490521</v>
      </c>
      <c r="Y18" s="4">
        <v>705013.06</v>
      </c>
      <c r="Z18" s="4">
        <v>1897606.49</v>
      </c>
      <c r="AA18" s="4">
        <v>81902</v>
      </c>
      <c r="AB18" s="4">
        <v>145386.71</v>
      </c>
      <c r="AC18" s="4">
        <v>521420.78</v>
      </c>
      <c r="AD18" s="72">
        <v>566829.05000000005</v>
      </c>
      <c r="AE18" s="72">
        <v>887967.67</v>
      </c>
      <c r="AF18" s="72">
        <v>923720.35</v>
      </c>
      <c r="AG18" s="72">
        <v>898217.02</v>
      </c>
      <c r="AH18" s="72">
        <v>1522013</v>
      </c>
      <c r="AI18" s="72">
        <v>104066</v>
      </c>
      <c r="AJ18" s="72">
        <v>120434.1</v>
      </c>
      <c r="AK18" s="4">
        <v>900963.89</v>
      </c>
      <c r="AL18" s="4">
        <v>619988</v>
      </c>
      <c r="AM18" s="4">
        <v>1016617.37</v>
      </c>
      <c r="AN18" s="4">
        <v>135760.01</v>
      </c>
      <c r="AO18" s="4">
        <v>1214719.8500000001</v>
      </c>
      <c r="AP18" s="4">
        <v>215224.04</v>
      </c>
      <c r="AQ18" s="4">
        <v>286519</v>
      </c>
      <c r="AR18" s="4">
        <v>990421.36</v>
      </c>
      <c r="AS18" s="4">
        <v>393121.48</v>
      </c>
      <c r="AT18" s="4">
        <v>437216.28</v>
      </c>
      <c r="AU18" s="4">
        <v>398705.82</v>
      </c>
      <c r="AV18" s="4">
        <v>1090158.54</v>
      </c>
      <c r="AW18" s="4">
        <v>438452.33</v>
      </c>
      <c r="AX18" s="4">
        <v>69188.600000000006</v>
      </c>
      <c r="AY18" s="4">
        <v>206333.94</v>
      </c>
      <c r="AZ18" s="4">
        <v>650080.6</v>
      </c>
      <c r="BA18" s="4">
        <v>515024.4</v>
      </c>
      <c r="BB18" s="4">
        <v>1480527.4</v>
      </c>
      <c r="BC18" s="4">
        <v>137825.35999999999</v>
      </c>
      <c r="BD18" s="4">
        <v>4850554.4000000004</v>
      </c>
      <c r="BE18" s="4">
        <v>311899.3</v>
      </c>
      <c r="BF18" s="4">
        <f t="shared" si="4"/>
        <v>41966595.910000004</v>
      </c>
      <c r="BG18" s="4">
        <f t="shared" si="5"/>
        <v>16742196.710000001</v>
      </c>
      <c r="BH18" s="4">
        <f t="shared" si="6"/>
        <v>8865097.2299999986</v>
      </c>
      <c r="BI18" s="4">
        <f t="shared" si="7"/>
        <v>16359301.970000001</v>
      </c>
    </row>
    <row r="19" spans="2:61" x14ac:dyDescent="0.3">
      <c r="C19">
        <v>3180</v>
      </c>
      <c r="D19" t="s">
        <v>96</v>
      </c>
      <c r="E19" s="4">
        <v>89412.95</v>
      </c>
      <c r="F19" s="4">
        <v>-22573.3</v>
      </c>
      <c r="G19" s="4">
        <v>0</v>
      </c>
      <c r="H19" s="4">
        <v>0</v>
      </c>
      <c r="I19" s="4">
        <v>0</v>
      </c>
      <c r="J19" s="4">
        <v>69066.95</v>
      </c>
      <c r="K19" s="4">
        <v>8573.0499999999993</v>
      </c>
      <c r="L19" s="72">
        <v>-750000</v>
      </c>
      <c r="M19" s="4">
        <v>-79432.399999999994</v>
      </c>
      <c r="N19" s="4">
        <v>0</v>
      </c>
      <c r="O19" s="4">
        <v>-356022.92</v>
      </c>
      <c r="P19" s="4">
        <v>214.85</v>
      </c>
      <c r="Q19" s="4">
        <v>0</v>
      </c>
      <c r="R19" s="4">
        <v>0</v>
      </c>
      <c r="S19" s="4">
        <v>0</v>
      </c>
      <c r="T19" s="4">
        <v>0</v>
      </c>
      <c r="U19" s="4">
        <v>-2945.1</v>
      </c>
      <c r="V19" s="4">
        <v>2081.6</v>
      </c>
      <c r="W19" s="4">
        <v>51965.66</v>
      </c>
      <c r="X19" s="4">
        <v>11000</v>
      </c>
      <c r="Y19" s="4">
        <v>0.5</v>
      </c>
      <c r="Z19" s="4">
        <v>0</v>
      </c>
      <c r="AA19" s="4">
        <v>0</v>
      </c>
      <c r="AB19" s="4">
        <v>0</v>
      </c>
      <c r="AC19" s="4">
        <v>20500</v>
      </c>
      <c r="AD19" s="72">
        <v>24341.87</v>
      </c>
      <c r="AE19" s="72">
        <v>0</v>
      </c>
      <c r="AF19" s="72">
        <v>7116.5</v>
      </c>
      <c r="AG19" s="72">
        <v>100</v>
      </c>
      <c r="AH19" s="72">
        <v>0</v>
      </c>
      <c r="AI19" s="72">
        <v>8346.4</v>
      </c>
      <c r="AJ19" s="72">
        <v>0</v>
      </c>
      <c r="AK19" s="4">
        <v>64499.65</v>
      </c>
      <c r="AL19" s="4">
        <v>230770</v>
      </c>
      <c r="AM19" s="4">
        <v>36930</v>
      </c>
      <c r="AN19" s="4">
        <v>0</v>
      </c>
      <c r="AO19" s="4">
        <v>193723.5</v>
      </c>
      <c r="AP19" s="4">
        <v>-147064.94</v>
      </c>
      <c r="AQ19" s="4">
        <v>0</v>
      </c>
      <c r="AR19" s="4">
        <v>0</v>
      </c>
      <c r="AS19" s="4">
        <v>12355.1</v>
      </c>
      <c r="AT19" s="4">
        <v>-30292.01</v>
      </c>
      <c r="AU19" s="4">
        <v>64000</v>
      </c>
      <c r="AV19" s="4">
        <v>0</v>
      </c>
      <c r="AW19" s="4">
        <v>4673.78</v>
      </c>
      <c r="AX19" s="4">
        <v>0</v>
      </c>
      <c r="AY19" s="4">
        <v>2015.25</v>
      </c>
      <c r="AZ19" s="4">
        <v>0</v>
      </c>
      <c r="BA19" s="4">
        <v>0</v>
      </c>
      <c r="BB19" s="4">
        <v>33200</v>
      </c>
      <c r="BC19" s="4">
        <v>0</v>
      </c>
      <c r="BD19" s="4">
        <v>0</v>
      </c>
      <c r="BE19" s="4">
        <v>21039</v>
      </c>
      <c r="BF19" s="4">
        <f t="shared" si="4"/>
        <v>-432404.06000000017</v>
      </c>
      <c r="BG19" s="4">
        <f t="shared" si="5"/>
        <v>-989658.66000000015</v>
      </c>
      <c r="BH19" s="4">
        <f t="shared" si="6"/>
        <v>71405.26999999999</v>
      </c>
      <c r="BI19" s="4">
        <f t="shared" si="7"/>
        <v>485849.33</v>
      </c>
    </row>
    <row r="20" spans="2:61" x14ac:dyDescent="0.3">
      <c r="C20">
        <v>33</v>
      </c>
      <c r="D20" t="s">
        <v>98</v>
      </c>
      <c r="E20" s="4">
        <v>487774.58</v>
      </c>
      <c r="F20" s="4">
        <v>50349</v>
      </c>
      <c r="G20" s="4">
        <v>26490.3</v>
      </c>
      <c r="H20" s="4">
        <v>93840</v>
      </c>
      <c r="I20" s="4">
        <v>497197</v>
      </c>
      <c r="J20" s="4">
        <v>834227.87</v>
      </c>
      <c r="K20" s="4">
        <v>436693.95</v>
      </c>
      <c r="L20" s="72">
        <v>3184573.05</v>
      </c>
      <c r="M20" s="4">
        <v>192920</v>
      </c>
      <c r="N20" s="4">
        <v>0</v>
      </c>
      <c r="O20" s="4">
        <v>1048101.7</v>
      </c>
      <c r="P20" s="4">
        <v>137078</v>
      </c>
      <c r="Q20" s="4">
        <v>12845</v>
      </c>
      <c r="R20" s="4">
        <v>81200</v>
      </c>
      <c r="S20" s="4">
        <v>67550</v>
      </c>
      <c r="T20" s="4">
        <v>102560</v>
      </c>
      <c r="U20" s="4">
        <v>21086</v>
      </c>
      <c r="V20" s="4">
        <v>149609.54999999999</v>
      </c>
      <c r="W20" s="4">
        <v>849975.67</v>
      </c>
      <c r="X20" s="4">
        <v>51671</v>
      </c>
      <c r="Y20" s="4">
        <v>216817</v>
      </c>
      <c r="Z20" s="4">
        <v>268500</v>
      </c>
      <c r="AA20" s="4">
        <v>40237</v>
      </c>
      <c r="AB20" s="4">
        <v>700</v>
      </c>
      <c r="AC20" s="4">
        <v>59546.8</v>
      </c>
      <c r="AD20" s="4">
        <v>118375</v>
      </c>
      <c r="AE20" s="4">
        <v>112900</v>
      </c>
      <c r="AF20" s="4">
        <v>46101.55</v>
      </c>
      <c r="AG20" s="4">
        <v>439539</v>
      </c>
      <c r="AH20" s="4">
        <v>966285</v>
      </c>
      <c r="AI20" s="4">
        <v>47194</v>
      </c>
      <c r="AJ20" s="4">
        <v>4720</v>
      </c>
      <c r="AK20" s="4">
        <v>0</v>
      </c>
      <c r="AL20" s="4">
        <v>236997</v>
      </c>
      <c r="AM20" s="4">
        <v>172530</v>
      </c>
      <c r="AN20" s="4">
        <v>18600</v>
      </c>
      <c r="AO20" s="4">
        <v>371459</v>
      </c>
      <c r="AP20" s="4">
        <v>54350</v>
      </c>
      <c r="AQ20" s="4">
        <v>151720</v>
      </c>
      <c r="AR20" s="4">
        <v>509414.85</v>
      </c>
      <c r="AS20" s="4">
        <v>99234.8</v>
      </c>
      <c r="AT20" s="4">
        <v>150006.67000000001</v>
      </c>
      <c r="AU20" s="4">
        <v>432093.9</v>
      </c>
      <c r="AV20" s="4">
        <v>337553.91</v>
      </c>
      <c r="AW20" s="4">
        <v>70004.160000000003</v>
      </c>
      <c r="AX20" s="4">
        <v>11750</v>
      </c>
      <c r="AY20" s="4">
        <v>141500</v>
      </c>
      <c r="AZ20" s="4">
        <v>451323.05</v>
      </c>
      <c r="BA20" s="4">
        <v>29040</v>
      </c>
      <c r="BB20" s="4">
        <v>381409.63</v>
      </c>
      <c r="BC20" s="4">
        <v>12476</v>
      </c>
      <c r="BD20" s="4">
        <v>3089940.09</v>
      </c>
      <c r="BE20" s="4">
        <v>97600.320000000007</v>
      </c>
      <c r="BF20" s="4">
        <f t="shared" si="4"/>
        <v>17465661.400000006</v>
      </c>
      <c r="BG20" s="4">
        <f t="shared" si="5"/>
        <v>8274071.6699999999</v>
      </c>
      <c r="BH20" s="4">
        <f t="shared" si="6"/>
        <v>2372586.35</v>
      </c>
      <c r="BI20" s="4">
        <f t="shared" si="7"/>
        <v>6819003.3800000008</v>
      </c>
    </row>
    <row r="21" spans="2:61" x14ac:dyDescent="0.3">
      <c r="C21">
        <v>34</v>
      </c>
      <c r="D21" t="s">
        <v>101</v>
      </c>
      <c r="E21" s="4">
        <v>25957.09</v>
      </c>
      <c r="F21" s="4">
        <v>53622.65</v>
      </c>
      <c r="G21" s="4">
        <v>109242.38</v>
      </c>
      <c r="H21" s="4">
        <v>79602.070000000007</v>
      </c>
      <c r="I21" s="4">
        <v>167746</v>
      </c>
      <c r="J21" s="4">
        <v>353755.02</v>
      </c>
      <c r="K21" s="4">
        <v>190806.37</v>
      </c>
      <c r="L21" s="72">
        <v>1293539.25</v>
      </c>
      <c r="M21" s="4">
        <v>62498.61</v>
      </c>
      <c r="N21" s="4">
        <v>0</v>
      </c>
      <c r="O21" s="4">
        <v>409269.4</v>
      </c>
      <c r="P21" s="4">
        <v>49806.81</v>
      </c>
      <c r="Q21" s="4">
        <v>9325.5300000000007</v>
      </c>
      <c r="R21" s="4">
        <v>38513.269999999997</v>
      </c>
      <c r="S21" s="4">
        <v>62506.13</v>
      </c>
      <c r="T21" s="4">
        <v>106712.1</v>
      </c>
      <c r="U21" s="4">
        <v>10641</v>
      </c>
      <c r="V21" s="4">
        <v>64002.95</v>
      </c>
      <c r="W21" s="4">
        <v>206751.8</v>
      </c>
      <c r="X21" s="4">
        <v>17824</v>
      </c>
      <c r="Y21" s="4">
        <v>161629.54999999999</v>
      </c>
      <c r="Z21" s="4">
        <v>49245.58</v>
      </c>
      <c r="AA21" s="4">
        <v>4961</v>
      </c>
      <c r="AB21" s="4">
        <v>14428.89</v>
      </c>
      <c r="AC21" s="4">
        <v>36916.46</v>
      </c>
      <c r="AD21" s="4">
        <v>126012.01</v>
      </c>
      <c r="AE21" s="4">
        <v>38360.71</v>
      </c>
      <c r="AF21" s="4">
        <v>53662.75</v>
      </c>
      <c r="AG21" s="4">
        <v>135089.70000000001</v>
      </c>
      <c r="AH21" s="4">
        <v>309966</v>
      </c>
      <c r="AI21" s="4">
        <v>20703</v>
      </c>
      <c r="AJ21" s="4">
        <v>42883.78</v>
      </c>
      <c r="AK21" s="4">
        <v>202458.52</v>
      </c>
      <c r="AL21" s="4">
        <v>35284</v>
      </c>
      <c r="AM21" s="4">
        <v>163768.79999999999</v>
      </c>
      <c r="AN21" s="4">
        <v>28646.12</v>
      </c>
      <c r="AO21" s="4">
        <v>251870.98</v>
      </c>
      <c r="AP21" s="4">
        <v>59393.55</v>
      </c>
      <c r="AQ21" s="4">
        <v>47702</v>
      </c>
      <c r="AR21" s="4">
        <v>253950.22</v>
      </c>
      <c r="AS21" s="4">
        <v>105100.13</v>
      </c>
      <c r="AT21" s="4">
        <v>150456.45000000001</v>
      </c>
      <c r="AU21" s="4">
        <v>23204.25</v>
      </c>
      <c r="AV21" s="4">
        <v>205298.78</v>
      </c>
      <c r="AW21" s="4">
        <v>48284.98</v>
      </c>
      <c r="AX21" s="4">
        <v>12648.8</v>
      </c>
      <c r="AY21" s="4">
        <v>16514.060000000001</v>
      </c>
      <c r="AZ21" s="4">
        <v>249349.03</v>
      </c>
      <c r="BA21" s="4">
        <v>12565.11</v>
      </c>
      <c r="BB21" s="4">
        <v>114102.89</v>
      </c>
      <c r="BC21" s="4">
        <v>450.2</v>
      </c>
      <c r="BD21" s="4">
        <v>962411.89</v>
      </c>
      <c r="BE21" s="4">
        <v>21151.45</v>
      </c>
      <c r="BF21" s="4">
        <f t="shared" si="4"/>
        <v>7270594.0700000003</v>
      </c>
      <c r="BG21" s="4">
        <f t="shared" si="5"/>
        <v>3294298.4299999997</v>
      </c>
      <c r="BH21" s="4">
        <f t="shared" si="6"/>
        <v>1011683.4300000002</v>
      </c>
      <c r="BI21" s="4">
        <f t="shared" si="7"/>
        <v>2964612.21</v>
      </c>
    </row>
    <row r="22" spans="2:61" x14ac:dyDescent="0.3">
      <c r="C22">
        <v>340</v>
      </c>
      <c r="D22" t="s">
        <v>289</v>
      </c>
      <c r="E22" s="4">
        <v>25957.09</v>
      </c>
      <c r="F22" s="4">
        <v>34741.199999999997</v>
      </c>
      <c r="G22" s="4">
        <v>63086.15</v>
      </c>
      <c r="H22" s="4">
        <v>62822.720000000001</v>
      </c>
      <c r="I22" s="4">
        <v>313671</v>
      </c>
      <c r="J22" s="4">
        <v>230949.12</v>
      </c>
      <c r="K22" s="4">
        <v>94301.96</v>
      </c>
      <c r="L22" s="72">
        <v>1098788.75</v>
      </c>
      <c r="M22" s="4">
        <v>52189.760000000002</v>
      </c>
      <c r="N22" s="4">
        <v>0</v>
      </c>
      <c r="O22" s="4">
        <v>281598.65000000002</v>
      </c>
      <c r="P22" s="4">
        <v>39215.760000000002</v>
      </c>
      <c r="Q22" s="4">
        <v>9095.5300000000007</v>
      </c>
      <c r="R22" s="4">
        <v>36877.370000000003</v>
      </c>
      <c r="S22" s="4">
        <v>56844.93</v>
      </c>
      <c r="T22" s="4">
        <v>52274.2</v>
      </c>
      <c r="U22" s="4">
        <v>5116.74</v>
      </c>
      <c r="V22" s="4">
        <v>54207.25</v>
      </c>
      <c r="W22" s="4">
        <v>194511.55</v>
      </c>
      <c r="X22" s="4">
        <v>1027</v>
      </c>
      <c r="Y22" s="4">
        <v>161777.70000000001</v>
      </c>
      <c r="Z22" s="4">
        <v>12098.93</v>
      </c>
      <c r="AA22" s="4">
        <v>4856</v>
      </c>
      <c r="AB22" s="4">
        <v>3291.6</v>
      </c>
      <c r="AC22" s="4">
        <v>30053.56</v>
      </c>
      <c r="AD22" s="4">
        <v>97145.66</v>
      </c>
      <c r="AE22" s="4">
        <v>38160.71</v>
      </c>
      <c r="AF22" s="4">
        <v>2733</v>
      </c>
      <c r="AG22" s="4">
        <v>88080.1</v>
      </c>
      <c r="AH22" s="4">
        <v>187345</v>
      </c>
      <c r="AI22" s="4">
        <v>14551.37</v>
      </c>
      <c r="AJ22" s="4">
        <v>4665.28</v>
      </c>
      <c r="AK22" s="4">
        <v>143147.37</v>
      </c>
      <c r="AL22" s="4">
        <v>114622</v>
      </c>
      <c r="AM22" s="4">
        <v>109327.4</v>
      </c>
      <c r="AN22" s="4">
        <v>0</v>
      </c>
      <c r="AO22" s="4">
        <v>71278.63</v>
      </c>
      <c r="AP22" s="4">
        <v>53670.15</v>
      </c>
      <c r="AQ22" s="4">
        <v>47702</v>
      </c>
      <c r="AR22" s="4">
        <v>89632.52</v>
      </c>
      <c r="AS22" s="4">
        <v>75220.63</v>
      </c>
      <c r="AT22" s="4">
        <v>121767.45</v>
      </c>
      <c r="AU22" s="4">
        <v>23204.25</v>
      </c>
      <c r="AV22" s="4">
        <v>200299.78</v>
      </c>
      <c r="AW22" s="4">
        <v>47265.91</v>
      </c>
      <c r="AX22" s="4">
        <v>7348.8</v>
      </c>
      <c r="AY22" s="4">
        <v>16514.060000000001</v>
      </c>
      <c r="AZ22" s="4">
        <v>317070.18</v>
      </c>
      <c r="BA22" s="4">
        <v>10122.76</v>
      </c>
      <c r="BB22" s="4">
        <v>91910.14</v>
      </c>
      <c r="BC22" s="4">
        <v>0</v>
      </c>
      <c r="BD22" s="4">
        <v>868835</v>
      </c>
      <c r="BE22" s="4">
        <v>47741.65</v>
      </c>
      <c r="BF22" s="4">
        <f t="shared" si="4"/>
        <v>5808716.3200000003</v>
      </c>
      <c r="BG22" s="4">
        <f t="shared" si="5"/>
        <v>2706249.73</v>
      </c>
      <c r="BH22" s="4">
        <f t="shared" si="6"/>
        <v>645785.91</v>
      </c>
      <c r="BI22" s="4">
        <f t="shared" si="7"/>
        <v>2456680.6799999997</v>
      </c>
    </row>
    <row r="23" spans="2:61" x14ac:dyDescent="0.3">
      <c r="C23">
        <v>344</v>
      </c>
      <c r="D23" t="s">
        <v>588</v>
      </c>
      <c r="E23" s="4">
        <v>0</v>
      </c>
      <c r="F23" s="4">
        <v>0</v>
      </c>
      <c r="G23" s="4">
        <v>0</v>
      </c>
      <c r="H23" s="4">
        <v>0</v>
      </c>
      <c r="I23" s="4">
        <v>0</v>
      </c>
      <c r="J23" s="4">
        <v>31600</v>
      </c>
      <c r="K23" s="4">
        <v>2471.9</v>
      </c>
      <c r="L23" s="72">
        <v>600</v>
      </c>
      <c r="M23" s="4">
        <v>0</v>
      </c>
      <c r="N23" s="4">
        <v>0</v>
      </c>
      <c r="O23" s="4">
        <v>4462.8999999999996</v>
      </c>
      <c r="P23" s="4">
        <v>0</v>
      </c>
      <c r="Q23" s="4">
        <v>40</v>
      </c>
      <c r="R23" s="4">
        <v>0</v>
      </c>
      <c r="S23" s="4">
        <v>4800</v>
      </c>
      <c r="T23" s="4">
        <v>12853.8</v>
      </c>
      <c r="U23" s="4">
        <v>0</v>
      </c>
      <c r="V23" s="4">
        <v>0</v>
      </c>
      <c r="W23" s="4">
        <v>0</v>
      </c>
      <c r="X23" s="4">
        <v>0</v>
      </c>
      <c r="Y23" s="4">
        <v>0</v>
      </c>
      <c r="Z23" s="4">
        <v>0</v>
      </c>
      <c r="AA23" s="4">
        <v>0</v>
      </c>
      <c r="AB23" s="4">
        <v>0</v>
      </c>
      <c r="AC23" s="4">
        <v>0</v>
      </c>
      <c r="AD23" s="4">
        <v>40</v>
      </c>
      <c r="AE23" s="4">
        <v>200</v>
      </c>
      <c r="AF23" s="4">
        <v>0</v>
      </c>
      <c r="AG23" s="4">
        <v>0</v>
      </c>
      <c r="AH23" s="4">
        <v>0</v>
      </c>
      <c r="AI23" s="4">
        <v>5130.8500000000004</v>
      </c>
      <c r="AJ23" s="4">
        <v>0</v>
      </c>
      <c r="AK23" s="4">
        <v>0</v>
      </c>
      <c r="AL23" s="4">
        <v>0</v>
      </c>
      <c r="AM23" s="4">
        <v>0</v>
      </c>
      <c r="AN23" s="4">
        <v>0</v>
      </c>
      <c r="AO23" s="4">
        <v>0</v>
      </c>
      <c r="AP23" s="4">
        <v>0</v>
      </c>
      <c r="AQ23" s="4">
        <v>0</v>
      </c>
      <c r="AR23" s="4">
        <v>0</v>
      </c>
      <c r="AS23" s="4">
        <v>22.15</v>
      </c>
      <c r="AT23" s="4">
        <v>0</v>
      </c>
      <c r="AU23" s="4">
        <v>0</v>
      </c>
      <c r="AV23" s="4">
        <v>4999</v>
      </c>
      <c r="AW23" s="4">
        <v>0</v>
      </c>
      <c r="AX23" s="4">
        <v>5300</v>
      </c>
      <c r="AY23" s="4">
        <v>0</v>
      </c>
      <c r="AZ23" s="4">
        <v>0</v>
      </c>
      <c r="BA23" s="4">
        <v>0</v>
      </c>
      <c r="BB23" s="4">
        <v>1080</v>
      </c>
      <c r="BC23" s="4">
        <v>15</v>
      </c>
      <c r="BD23" s="4">
        <v>0</v>
      </c>
      <c r="BE23" s="4">
        <v>0</v>
      </c>
      <c r="BF23" s="4">
        <f t="shared" si="4"/>
        <v>73615.600000000006</v>
      </c>
      <c r="BG23" s="4">
        <f t="shared" si="5"/>
        <v>56828.600000000006</v>
      </c>
      <c r="BH23" s="4">
        <f t="shared" si="6"/>
        <v>5370.85</v>
      </c>
      <c r="BI23" s="4">
        <f t="shared" si="7"/>
        <v>11416.15</v>
      </c>
    </row>
    <row r="24" spans="2:61" x14ac:dyDescent="0.3">
      <c r="C24">
        <v>35</v>
      </c>
      <c r="D24" t="s">
        <v>233</v>
      </c>
      <c r="E24" s="4">
        <v>21282.55</v>
      </c>
      <c r="F24" s="4">
        <v>5654.61</v>
      </c>
      <c r="G24" s="4">
        <v>0</v>
      </c>
      <c r="H24" s="4">
        <v>94934.75</v>
      </c>
      <c r="I24" s="4">
        <v>0</v>
      </c>
      <c r="J24" s="4">
        <v>8283.7999999999993</v>
      </c>
      <c r="K24" s="4">
        <v>42325.02</v>
      </c>
      <c r="L24" s="72">
        <v>0</v>
      </c>
      <c r="M24" s="4">
        <v>0</v>
      </c>
      <c r="N24" s="4">
        <v>0</v>
      </c>
      <c r="O24" s="4">
        <v>0</v>
      </c>
      <c r="P24" s="4">
        <v>43166.75</v>
      </c>
      <c r="Q24" s="4">
        <v>0</v>
      </c>
      <c r="R24" s="4">
        <v>125</v>
      </c>
      <c r="S24" s="4">
        <v>0</v>
      </c>
      <c r="T24" s="4">
        <v>0</v>
      </c>
      <c r="U24" s="4">
        <v>4815</v>
      </c>
      <c r="V24" s="4">
        <v>0</v>
      </c>
      <c r="W24" s="4">
        <v>0</v>
      </c>
      <c r="X24" s="4">
        <v>44370</v>
      </c>
      <c r="Y24" s="4">
        <v>304.89999999999998</v>
      </c>
      <c r="Z24" s="4">
        <v>14938.12</v>
      </c>
      <c r="AA24" s="4">
        <v>7247</v>
      </c>
      <c r="AB24" s="4">
        <v>0</v>
      </c>
      <c r="AC24" s="4">
        <v>978.98</v>
      </c>
      <c r="AD24" s="4">
        <v>4605.6499999999996</v>
      </c>
      <c r="AE24" s="4">
        <v>6363.23</v>
      </c>
      <c r="AF24" s="4">
        <v>88954</v>
      </c>
      <c r="AG24" s="4">
        <v>0</v>
      </c>
      <c r="AH24" s="4">
        <v>35175</v>
      </c>
      <c r="AI24" s="4">
        <v>10405</v>
      </c>
      <c r="AJ24" s="4">
        <v>3000</v>
      </c>
      <c r="AK24" s="4">
        <v>5000</v>
      </c>
      <c r="AL24" s="4">
        <v>0</v>
      </c>
      <c r="AM24" s="4">
        <v>0</v>
      </c>
      <c r="AN24" s="4">
        <v>668.62</v>
      </c>
      <c r="AO24" s="4">
        <v>747.6</v>
      </c>
      <c r="AP24" s="4">
        <v>0</v>
      </c>
      <c r="AQ24" s="4">
        <v>12042</v>
      </c>
      <c r="AR24" s="4">
        <v>88595.55</v>
      </c>
      <c r="AS24" s="4">
        <v>91611.82</v>
      </c>
      <c r="AT24" s="4">
        <v>1674.66</v>
      </c>
      <c r="AU24" s="4">
        <v>86982.5</v>
      </c>
      <c r="AV24" s="4">
        <v>357.23</v>
      </c>
      <c r="AW24" s="4">
        <v>15048</v>
      </c>
      <c r="AX24" s="4">
        <v>117.04</v>
      </c>
      <c r="AY24" s="4">
        <v>0</v>
      </c>
      <c r="AZ24" s="4">
        <v>0</v>
      </c>
      <c r="BA24" s="4">
        <v>0</v>
      </c>
      <c r="BB24" s="4">
        <v>38678.46</v>
      </c>
      <c r="BC24" s="4">
        <v>0</v>
      </c>
      <c r="BD24" s="4">
        <v>6315</v>
      </c>
      <c r="BE24" s="4">
        <v>12780.29</v>
      </c>
      <c r="BF24" s="4">
        <f t="shared" si="4"/>
        <v>797548.13</v>
      </c>
      <c r="BG24" s="4">
        <f t="shared" si="5"/>
        <v>220587.48</v>
      </c>
      <c r="BH24" s="4">
        <f t="shared" si="6"/>
        <v>216341.88</v>
      </c>
      <c r="BI24" s="4">
        <f t="shared" si="7"/>
        <v>360618.76999999996</v>
      </c>
    </row>
    <row r="25" spans="2:61" x14ac:dyDescent="0.3">
      <c r="C25">
        <v>36</v>
      </c>
      <c r="D25" t="s">
        <v>293</v>
      </c>
      <c r="E25" s="4">
        <v>1999065.78</v>
      </c>
      <c r="F25" s="4">
        <v>576026.65</v>
      </c>
      <c r="G25" s="4">
        <v>1159845.23</v>
      </c>
      <c r="H25" s="4">
        <v>843401.01</v>
      </c>
      <c r="I25" s="4">
        <v>6545591</v>
      </c>
      <c r="J25" s="4">
        <v>6377951.0800000001</v>
      </c>
      <c r="K25" s="4">
        <v>6076386.7599999998</v>
      </c>
      <c r="L25" s="72">
        <v>34426017.450000003</v>
      </c>
      <c r="M25" s="4">
        <v>2891860.82</v>
      </c>
      <c r="N25" s="4">
        <v>0</v>
      </c>
      <c r="O25" s="4">
        <v>15252198.060000001</v>
      </c>
      <c r="P25" s="4">
        <v>1094747.1000000001</v>
      </c>
      <c r="Q25" s="4">
        <v>239708.1</v>
      </c>
      <c r="R25" s="4">
        <v>862630.35</v>
      </c>
      <c r="S25" s="4">
        <v>719129.4</v>
      </c>
      <c r="T25" s="4">
        <v>1411870.5</v>
      </c>
      <c r="U25" s="4">
        <v>568635</v>
      </c>
      <c r="V25" s="4">
        <v>1206071.1299999999</v>
      </c>
      <c r="W25" s="4">
        <v>5823642.21</v>
      </c>
      <c r="X25" s="4">
        <v>637067</v>
      </c>
      <c r="Y25" s="4">
        <v>2728584.74</v>
      </c>
      <c r="Z25" s="4">
        <v>5878218.6100000003</v>
      </c>
      <c r="AA25" s="4">
        <v>197997</v>
      </c>
      <c r="AB25" s="4">
        <v>320531.08</v>
      </c>
      <c r="AC25" s="4">
        <v>1309529.98</v>
      </c>
      <c r="AD25" s="4">
        <v>1583761.05</v>
      </c>
      <c r="AE25" s="4">
        <v>1252974.6399999999</v>
      </c>
      <c r="AF25" s="4">
        <v>1188304.51</v>
      </c>
      <c r="AG25" s="4">
        <v>4829110.0199999996</v>
      </c>
      <c r="AH25" s="4">
        <v>5432323</v>
      </c>
      <c r="AI25" s="4">
        <v>475508</v>
      </c>
      <c r="AJ25" s="4">
        <v>258095.72</v>
      </c>
      <c r="AK25" s="4">
        <v>4576125.83</v>
      </c>
      <c r="AL25" s="4">
        <v>402529</v>
      </c>
      <c r="AM25" s="4">
        <v>2583987</v>
      </c>
      <c r="AN25" s="4">
        <v>312725.96999999997</v>
      </c>
      <c r="AO25" s="4">
        <v>4537846.6900000004</v>
      </c>
      <c r="AP25" s="4">
        <v>1679129.55</v>
      </c>
      <c r="AQ25" s="4">
        <v>1310051</v>
      </c>
      <c r="AR25" s="4">
        <v>2970777.7</v>
      </c>
      <c r="AS25" s="4">
        <v>1483835.4</v>
      </c>
      <c r="AT25" s="4">
        <v>2633624.35</v>
      </c>
      <c r="AU25" s="4">
        <v>770045</v>
      </c>
      <c r="AV25" s="4">
        <v>5209458.53</v>
      </c>
      <c r="AW25" s="4">
        <v>1586217.05</v>
      </c>
      <c r="AX25" s="4">
        <v>390124.75</v>
      </c>
      <c r="AY25" s="4">
        <v>671138.15</v>
      </c>
      <c r="AZ25" s="4">
        <v>3774199.92</v>
      </c>
      <c r="BA25" s="4">
        <v>841600.12</v>
      </c>
      <c r="BB25" s="4">
        <v>2700481.75</v>
      </c>
      <c r="BC25" s="4">
        <v>409932.67</v>
      </c>
      <c r="BD25" s="4">
        <v>17780151.140000001</v>
      </c>
      <c r="BE25" s="4">
        <v>1309702.2</v>
      </c>
      <c r="BF25" s="4">
        <f t="shared" si="4"/>
        <v>172100466.74999994</v>
      </c>
      <c r="BG25" s="4">
        <f t="shared" si="5"/>
        <v>88074777.62999998</v>
      </c>
      <c r="BH25" s="4">
        <f t="shared" si="6"/>
        <v>26092005.350000001</v>
      </c>
      <c r="BI25" s="4">
        <f t="shared" si="7"/>
        <v>57933683.770000003</v>
      </c>
    </row>
    <row r="26" spans="2:61" x14ac:dyDescent="0.3">
      <c r="C26">
        <v>36227</v>
      </c>
      <c r="D26" t="s">
        <v>278</v>
      </c>
      <c r="E26" s="4">
        <v>0</v>
      </c>
      <c r="F26" s="4">
        <v>0</v>
      </c>
      <c r="G26" s="4">
        <v>0</v>
      </c>
      <c r="H26" s="4">
        <v>0</v>
      </c>
      <c r="I26" s="4">
        <v>0</v>
      </c>
      <c r="J26" s="4">
        <v>137171</v>
      </c>
      <c r="K26" s="4">
        <v>182436</v>
      </c>
      <c r="L26" s="72">
        <v>901898</v>
      </c>
      <c r="M26" s="4">
        <v>0</v>
      </c>
      <c r="N26" s="4">
        <v>0</v>
      </c>
      <c r="O26" s="4">
        <v>0</v>
      </c>
      <c r="P26" s="4">
        <v>0</v>
      </c>
      <c r="Q26" s="4">
        <v>0</v>
      </c>
      <c r="R26" s="4">
        <v>0</v>
      </c>
      <c r="S26" s="4">
        <v>0</v>
      </c>
      <c r="T26" s="4">
        <v>41206</v>
      </c>
      <c r="U26" s="4">
        <v>4300</v>
      </c>
      <c r="V26" s="4">
        <v>0</v>
      </c>
      <c r="W26" s="4">
        <v>0</v>
      </c>
      <c r="X26" s="4">
        <v>0</v>
      </c>
      <c r="Y26" s="4">
        <v>0</v>
      </c>
      <c r="Z26" s="4">
        <v>2537577</v>
      </c>
      <c r="AA26" s="4">
        <v>0</v>
      </c>
      <c r="AB26" s="4">
        <v>0</v>
      </c>
      <c r="AC26" s="4">
        <v>31717</v>
      </c>
      <c r="AD26" s="4">
        <v>0</v>
      </c>
      <c r="AE26" s="4">
        <v>0</v>
      </c>
      <c r="AF26" s="4">
        <v>0</v>
      </c>
      <c r="AG26" s="4">
        <v>375788</v>
      </c>
      <c r="AH26" s="4">
        <v>0</v>
      </c>
      <c r="AI26" s="4">
        <v>0</v>
      </c>
      <c r="AJ26" s="4">
        <v>0</v>
      </c>
      <c r="AK26" s="4">
        <v>0</v>
      </c>
      <c r="AL26" s="4">
        <v>0</v>
      </c>
      <c r="AM26" s="4">
        <v>0</v>
      </c>
      <c r="AN26" s="4">
        <v>0</v>
      </c>
      <c r="AO26" s="4">
        <v>1752363</v>
      </c>
      <c r="AP26" s="4">
        <v>6367</v>
      </c>
      <c r="AQ26" s="4">
        <v>13147</v>
      </c>
      <c r="AR26" s="4">
        <v>0</v>
      </c>
      <c r="AS26" s="4">
        <v>0</v>
      </c>
      <c r="AT26" s="4">
        <v>0</v>
      </c>
      <c r="AU26" s="4">
        <v>115158</v>
      </c>
      <c r="AV26" s="4">
        <v>79015</v>
      </c>
      <c r="AW26" s="4">
        <v>0</v>
      </c>
      <c r="AX26" s="4">
        <v>0</v>
      </c>
      <c r="AY26" s="4">
        <v>0</v>
      </c>
      <c r="AZ26" s="4">
        <v>0</v>
      </c>
      <c r="BA26" s="4">
        <v>0</v>
      </c>
      <c r="BB26" s="4">
        <v>52605</v>
      </c>
      <c r="BC26" s="4">
        <v>0</v>
      </c>
      <c r="BD26" s="4">
        <v>272347</v>
      </c>
      <c r="BE26" s="4">
        <v>0</v>
      </c>
      <c r="BF26" s="4">
        <f t="shared" si="4"/>
        <v>6503095</v>
      </c>
      <c r="BG26" s="4">
        <f t="shared" si="5"/>
        <v>1267011</v>
      </c>
      <c r="BH26" s="4">
        <f t="shared" si="6"/>
        <v>2945082</v>
      </c>
      <c r="BI26" s="4">
        <f t="shared" si="7"/>
        <v>2291002</v>
      </c>
    </row>
    <row r="27" spans="2:61" x14ac:dyDescent="0.3">
      <c r="C27">
        <v>36228</v>
      </c>
      <c r="D27" t="s">
        <v>295</v>
      </c>
      <c r="E27" s="4">
        <v>0</v>
      </c>
      <c r="F27" s="4">
        <v>6500</v>
      </c>
      <c r="G27" s="4">
        <v>0</v>
      </c>
      <c r="H27" s="4">
        <v>0</v>
      </c>
      <c r="I27" s="4">
        <v>144368</v>
      </c>
      <c r="J27" s="4">
        <v>0</v>
      </c>
      <c r="K27" s="4">
        <v>0</v>
      </c>
      <c r="L27" s="72">
        <v>18532.5</v>
      </c>
      <c r="M27" s="4">
        <v>56291</v>
      </c>
      <c r="N27" s="4">
        <v>0</v>
      </c>
      <c r="O27" s="4">
        <v>230163</v>
      </c>
      <c r="P27" s="4">
        <v>0</v>
      </c>
      <c r="Q27" s="4">
        <v>3539</v>
      </c>
      <c r="R27" s="4">
        <v>0</v>
      </c>
      <c r="S27" s="4">
        <v>0</v>
      </c>
      <c r="T27" s="4">
        <v>7927.95</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62922</v>
      </c>
      <c r="AM27" s="4">
        <v>0</v>
      </c>
      <c r="AN27" s="4">
        <v>0</v>
      </c>
      <c r="AO27" s="4">
        <v>0</v>
      </c>
      <c r="AP27" s="4">
        <v>0</v>
      </c>
      <c r="AQ27" s="4">
        <v>0</v>
      </c>
      <c r="AR27" s="4">
        <v>0</v>
      </c>
      <c r="AS27" s="4">
        <v>0</v>
      </c>
      <c r="AT27" s="4">
        <v>0</v>
      </c>
      <c r="AU27" s="4">
        <v>0</v>
      </c>
      <c r="AV27" s="4">
        <v>46344</v>
      </c>
      <c r="AW27" s="4">
        <v>0</v>
      </c>
      <c r="AX27" s="4">
        <v>0</v>
      </c>
      <c r="AY27" s="4">
        <v>0</v>
      </c>
      <c r="AZ27" s="4">
        <v>33596</v>
      </c>
      <c r="BA27" s="4">
        <v>3776</v>
      </c>
      <c r="BB27" s="4">
        <v>0</v>
      </c>
      <c r="BC27" s="4">
        <v>0</v>
      </c>
      <c r="BD27" s="4">
        <v>0</v>
      </c>
      <c r="BE27" s="4">
        <v>0</v>
      </c>
      <c r="BF27" s="4">
        <f t="shared" si="4"/>
        <v>613959.44999999995</v>
      </c>
      <c r="BG27" s="4">
        <f t="shared" si="5"/>
        <v>467321.45</v>
      </c>
      <c r="BH27" s="4">
        <f t="shared" si="6"/>
        <v>0</v>
      </c>
      <c r="BI27" s="4">
        <f t="shared" si="7"/>
        <v>146638</v>
      </c>
    </row>
    <row r="28" spans="2:61" x14ac:dyDescent="0.3">
      <c r="C28">
        <v>364</v>
      </c>
      <c r="D28" t="s">
        <v>240</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3">
      <c r="C29">
        <v>365</v>
      </c>
      <c r="D29" t="s">
        <v>241</v>
      </c>
      <c r="E29" s="4">
        <v>0</v>
      </c>
      <c r="F29" s="4">
        <v>0</v>
      </c>
      <c r="G29" s="4">
        <v>0</v>
      </c>
      <c r="H29" s="4">
        <v>0</v>
      </c>
      <c r="I29" s="4">
        <v>0</v>
      </c>
      <c r="J29" s="4">
        <v>0</v>
      </c>
      <c r="K29" s="4">
        <v>0</v>
      </c>
      <c r="L29" s="72">
        <v>0</v>
      </c>
      <c r="M29" s="4">
        <v>0</v>
      </c>
      <c r="N29" s="4">
        <v>0</v>
      </c>
      <c r="O29" s="4">
        <v>0</v>
      </c>
      <c r="P29" s="4">
        <v>0</v>
      </c>
      <c r="Q29" s="4">
        <v>0</v>
      </c>
      <c r="R29" s="4">
        <v>0</v>
      </c>
      <c r="S29" s="4">
        <v>0</v>
      </c>
      <c r="T29" s="4">
        <v>0</v>
      </c>
      <c r="U29" s="4">
        <v>8100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f t="shared" si="4"/>
        <v>8100</v>
      </c>
      <c r="BG29" s="4">
        <f t="shared" si="5"/>
        <v>8100</v>
      </c>
      <c r="BH29" s="4">
        <f t="shared" si="6"/>
        <v>0</v>
      </c>
      <c r="BI29" s="4">
        <f t="shared" si="7"/>
        <v>0</v>
      </c>
    </row>
    <row r="30" spans="2:61" x14ac:dyDescent="0.3">
      <c r="C30">
        <v>366</v>
      </c>
      <c r="D30" t="s">
        <v>117</v>
      </c>
      <c r="E30" s="4">
        <v>0</v>
      </c>
      <c r="F30" s="4">
        <v>0</v>
      </c>
      <c r="G30" s="4">
        <v>0</v>
      </c>
      <c r="H30" s="4">
        <v>0</v>
      </c>
      <c r="I30" s="4">
        <v>0</v>
      </c>
      <c r="J30" s="4">
        <v>0</v>
      </c>
      <c r="K30" s="4">
        <v>0</v>
      </c>
      <c r="L30" s="72">
        <v>0</v>
      </c>
      <c r="M30" s="4">
        <v>0</v>
      </c>
      <c r="N30" s="4">
        <v>0</v>
      </c>
      <c r="O30" s="4">
        <v>15247.55</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15247.55</v>
      </c>
      <c r="BG30" s="4">
        <f t="shared" si="5"/>
        <v>15247.55</v>
      </c>
      <c r="BH30" s="4">
        <f t="shared" si="6"/>
        <v>0</v>
      </c>
      <c r="BI30" s="4">
        <f t="shared" si="7"/>
        <v>0</v>
      </c>
    </row>
    <row r="31" spans="2:61" x14ac:dyDescent="0.3">
      <c r="C31">
        <v>389</v>
      </c>
      <c r="D31" t="s">
        <v>297</v>
      </c>
      <c r="E31" s="4">
        <v>320000</v>
      </c>
      <c r="F31" s="4">
        <v>0</v>
      </c>
      <c r="G31" s="4">
        <v>0</v>
      </c>
      <c r="H31" s="4">
        <v>201.69</v>
      </c>
      <c r="I31" s="4">
        <v>0</v>
      </c>
      <c r="J31" s="4">
        <v>400000</v>
      </c>
      <c r="K31" s="4">
        <v>0</v>
      </c>
      <c r="L31" s="72">
        <v>0</v>
      </c>
      <c r="M31" s="4">
        <v>0</v>
      </c>
      <c r="N31" s="4">
        <v>0</v>
      </c>
      <c r="O31" s="4">
        <v>0</v>
      </c>
      <c r="P31" s="4">
        <v>8327.56</v>
      </c>
      <c r="Q31" s="4">
        <v>0</v>
      </c>
      <c r="R31" s="4">
        <v>0</v>
      </c>
      <c r="S31" s="4">
        <v>0</v>
      </c>
      <c r="T31" s="4">
        <v>0</v>
      </c>
      <c r="U31" s="4">
        <v>0</v>
      </c>
      <c r="V31" s="4">
        <v>0</v>
      </c>
      <c r="W31" s="4">
        <v>250000</v>
      </c>
      <c r="X31" s="4">
        <v>70000</v>
      </c>
      <c r="Y31" s="4">
        <v>0</v>
      </c>
      <c r="Z31" s="4">
        <v>0</v>
      </c>
      <c r="AA31" s="4">
        <v>0</v>
      </c>
      <c r="AB31" s="4">
        <v>0</v>
      </c>
      <c r="AC31" s="4">
        <v>0</v>
      </c>
      <c r="AD31" s="4">
        <v>0</v>
      </c>
      <c r="AE31" s="4">
        <v>0</v>
      </c>
      <c r="AF31" s="4">
        <v>400000</v>
      </c>
      <c r="AG31" s="4">
        <v>0</v>
      </c>
      <c r="AH31" s="4">
        <v>150000</v>
      </c>
      <c r="AI31" s="4">
        <v>140000</v>
      </c>
      <c r="AJ31" s="4">
        <v>0</v>
      </c>
      <c r="AK31" s="4">
        <v>0</v>
      </c>
      <c r="AL31" s="4">
        <v>148400</v>
      </c>
      <c r="AM31" s="4">
        <v>0</v>
      </c>
      <c r="AN31" s="4">
        <v>492.17</v>
      </c>
      <c r="AO31" s="4">
        <v>0</v>
      </c>
      <c r="AP31" s="4">
        <v>300000</v>
      </c>
      <c r="AQ31" s="4">
        <v>100000</v>
      </c>
      <c r="AR31" s="4">
        <v>520000</v>
      </c>
      <c r="AS31" s="4">
        <v>0</v>
      </c>
      <c r="AT31" s="4">
        <v>0</v>
      </c>
      <c r="AU31" s="4">
        <v>826972.2</v>
      </c>
      <c r="AV31" s="4">
        <v>0</v>
      </c>
      <c r="AW31" s="4">
        <v>0</v>
      </c>
      <c r="AX31" s="4">
        <v>0</v>
      </c>
      <c r="AY31" s="4">
        <v>58000</v>
      </c>
      <c r="AZ31" s="4">
        <v>150000</v>
      </c>
      <c r="BA31" s="4">
        <v>200000</v>
      </c>
      <c r="BB31" s="4">
        <v>454000</v>
      </c>
      <c r="BC31" s="4">
        <v>0</v>
      </c>
      <c r="BD31" s="4">
        <v>800000</v>
      </c>
      <c r="BE31" s="4">
        <v>0</v>
      </c>
      <c r="BF31" s="4">
        <f t="shared" si="4"/>
        <v>5296393.62</v>
      </c>
      <c r="BG31" s="4">
        <f t="shared" si="5"/>
        <v>978529.25</v>
      </c>
      <c r="BH31" s="4">
        <f t="shared" si="6"/>
        <v>760000</v>
      </c>
      <c r="BI31" s="4">
        <f t="shared" si="7"/>
        <v>3557864.37</v>
      </c>
    </row>
    <row r="32" spans="2:61" x14ac:dyDescent="0.3">
      <c r="C32">
        <v>3898</v>
      </c>
      <c r="D32" t="s">
        <v>299</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0</v>
      </c>
      <c r="BG32" s="4">
        <f t="shared" si="5"/>
        <v>0</v>
      </c>
      <c r="BH32" s="4">
        <f t="shared" si="6"/>
        <v>0</v>
      </c>
      <c r="BI32" s="4">
        <f t="shared" si="7"/>
        <v>0</v>
      </c>
    </row>
    <row r="33" spans="1:61" x14ac:dyDescent="0.3">
      <c r="C33">
        <v>90010</v>
      </c>
      <c r="D33" t="s">
        <v>300</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3">
      <c r="C34">
        <v>9031</v>
      </c>
      <c r="D34" t="s">
        <v>301</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3">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4">
      <c r="A36" s="135">
        <v>4</v>
      </c>
      <c r="B36" s="135"/>
      <c r="C36" s="135"/>
      <c r="D36" s="135" t="s">
        <v>589</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3">
      <c r="C37">
        <v>40</v>
      </c>
      <c r="D37" t="s">
        <v>79</v>
      </c>
      <c r="E37" s="4">
        <v>3316356.05</v>
      </c>
      <c r="F37" s="4">
        <v>739829.35</v>
      </c>
      <c r="G37" s="4">
        <v>1154064.7</v>
      </c>
      <c r="H37" s="4">
        <v>1062792.55</v>
      </c>
      <c r="I37" s="4">
        <v>8115298</v>
      </c>
      <c r="J37" s="4">
        <v>9445275.5500000007</v>
      </c>
      <c r="K37" s="4">
        <v>7112250.3600000003</v>
      </c>
      <c r="L37" s="4">
        <v>39079842.799999997</v>
      </c>
      <c r="M37" s="4">
        <v>3480267.04</v>
      </c>
      <c r="N37" s="4">
        <v>0</v>
      </c>
      <c r="O37" s="4">
        <v>16475938</v>
      </c>
      <c r="P37" s="4">
        <v>1259404.95</v>
      </c>
      <c r="Q37" s="4">
        <v>207655.7</v>
      </c>
      <c r="R37" s="4">
        <v>1011482.65</v>
      </c>
      <c r="S37" s="4">
        <v>722909.15</v>
      </c>
      <c r="T37" s="4">
        <v>2005442.1</v>
      </c>
      <c r="U37" s="4">
        <v>596548.80000000005</v>
      </c>
      <c r="V37" s="4">
        <v>1358899.35</v>
      </c>
      <c r="W37" s="4">
        <v>7646026.9000000004</v>
      </c>
      <c r="X37" s="4">
        <v>848811</v>
      </c>
      <c r="Y37" s="4">
        <v>3758598.17</v>
      </c>
      <c r="Z37" s="4">
        <v>9945240.5</v>
      </c>
      <c r="AA37" s="4">
        <v>235146</v>
      </c>
      <c r="AB37" s="4">
        <v>289463.2</v>
      </c>
      <c r="AC37" s="4">
        <v>1246815.8500000001</v>
      </c>
      <c r="AD37" s="4">
        <v>1439744.55</v>
      </c>
      <c r="AE37" s="4">
        <v>1317292.6000000001</v>
      </c>
      <c r="AF37" s="4">
        <v>1892861.9</v>
      </c>
      <c r="AG37" s="4">
        <v>6916532.8499999996</v>
      </c>
      <c r="AH37" s="4">
        <v>7704002</v>
      </c>
      <c r="AI37" s="4">
        <v>522916.35</v>
      </c>
      <c r="AJ37" s="4">
        <v>299937.8</v>
      </c>
      <c r="AK37" s="4">
        <v>5443392.9000000004</v>
      </c>
      <c r="AL37" s="4">
        <v>2482113.44</v>
      </c>
      <c r="AM37" s="4">
        <v>2964717.4</v>
      </c>
      <c r="AN37" s="4">
        <v>334540.34999999998</v>
      </c>
      <c r="AO37" s="4">
        <v>6870594.75</v>
      </c>
      <c r="AP37" s="4">
        <v>2024840.18</v>
      </c>
      <c r="AQ37" s="4">
        <v>1951760</v>
      </c>
      <c r="AR37" s="4">
        <v>3379801.6</v>
      </c>
      <c r="AS37" s="4">
        <v>1748640.05</v>
      </c>
      <c r="AT37" s="4">
        <v>2441707.9500000002</v>
      </c>
      <c r="AU37" s="4">
        <v>2265017.35</v>
      </c>
      <c r="AV37" s="4">
        <v>6073809.8300000001</v>
      </c>
      <c r="AW37" s="4">
        <v>2202056.9</v>
      </c>
      <c r="AX37" s="4">
        <v>406157.7</v>
      </c>
      <c r="AY37" s="4">
        <v>902646.45</v>
      </c>
      <c r="AZ37" s="4">
        <v>5009992.2</v>
      </c>
      <c r="BA37" s="4">
        <v>984706.9</v>
      </c>
      <c r="BB37" s="4">
        <v>3659638.59</v>
      </c>
      <c r="BC37" s="4">
        <v>341684.35</v>
      </c>
      <c r="BD37" s="4">
        <v>24686130.600000001</v>
      </c>
      <c r="BE37" s="4">
        <v>1073776.3500000001</v>
      </c>
      <c r="BF37" s="4">
        <f t="shared" ref="BF37:BF55" si="8">SUM(E37:BE37)</f>
        <v>218455372.60999998</v>
      </c>
      <c r="BG37" s="4">
        <f t="shared" ref="BG37:BG55" si="9">SUM(E37:W37)</f>
        <v>104790284.00000001</v>
      </c>
      <c r="BH37" s="4">
        <f t="shared" ref="BH37:BH55" si="10">SUM(X37:AJ37)</f>
        <v>36417362.769999996</v>
      </c>
      <c r="BI37" s="4">
        <f t="shared" ref="BI37:BI55" si="11">SUM(AK37:BE37)</f>
        <v>77247725.840000004</v>
      </c>
    </row>
    <row r="38" spans="1:61" x14ac:dyDescent="0.3">
      <c r="C38">
        <v>400</v>
      </c>
      <c r="D38" t="s">
        <v>285</v>
      </c>
      <c r="E38" s="4">
        <v>2399050.6</v>
      </c>
      <c r="F38" s="4">
        <v>537011.25</v>
      </c>
      <c r="G38" s="4">
        <v>955512.5</v>
      </c>
      <c r="H38" s="4">
        <v>877308.4</v>
      </c>
      <c r="I38" s="4">
        <v>6506383</v>
      </c>
      <c r="J38" s="4">
        <v>7933663.8499999996</v>
      </c>
      <c r="K38" s="4">
        <v>5544167.2999999998</v>
      </c>
      <c r="L38" s="4">
        <v>28553161.5</v>
      </c>
      <c r="M38" s="4">
        <v>2748752.09</v>
      </c>
      <c r="N38" s="4">
        <v>0</v>
      </c>
      <c r="O38" s="4">
        <v>13756608</v>
      </c>
      <c r="P38" s="4">
        <v>1011339.5</v>
      </c>
      <c r="Q38" s="4">
        <v>180720.2</v>
      </c>
      <c r="R38" s="4">
        <v>854184.35</v>
      </c>
      <c r="S38" s="4">
        <v>602762.5</v>
      </c>
      <c r="T38" s="4">
        <v>1797303.6</v>
      </c>
      <c r="U38" s="4">
        <v>494316.95</v>
      </c>
      <c r="V38" s="4">
        <v>1157764.6499999999</v>
      </c>
      <c r="W38" s="4">
        <v>6519291.7999999998</v>
      </c>
      <c r="X38" s="4">
        <v>722638</v>
      </c>
      <c r="Y38" s="4">
        <v>3318239.37</v>
      </c>
      <c r="Z38" s="4">
        <v>2784771.7</v>
      </c>
      <c r="AA38" s="4">
        <v>166231</v>
      </c>
      <c r="AB38" s="4">
        <v>246851.8</v>
      </c>
      <c r="AC38" s="4">
        <v>1347499.1</v>
      </c>
      <c r="AD38" s="4">
        <v>1163704.6499999999</v>
      </c>
      <c r="AE38" s="4">
        <v>1089524.5</v>
      </c>
      <c r="AF38" s="4">
        <v>980100.75</v>
      </c>
      <c r="AG38" s="4">
        <v>4420675.25</v>
      </c>
      <c r="AH38" s="4">
        <v>6191256.5</v>
      </c>
      <c r="AI38" s="4">
        <v>456991</v>
      </c>
      <c r="AJ38" s="4">
        <v>243519.25</v>
      </c>
      <c r="AK38" s="4">
        <v>4302044.3</v>
      </c>
      <c r="AL38" s="4">
        <v>1732264</v>
      </c>
      <c r="AM38" s="4">
        <v>2498137.9500000002</v>
      </c>
      <c r="AN38" s="4">
        <v>261580.65</v>
      </c>
      <c r="AO38" s="4">
        <v>3827633.75</v>
      </c>
      <c r="AP38" s="4">
        <v>1314195.3</v>
      </c>
      <c r="AQ38" s="4">
        <v>1533277</v>
      </c>
      <c r="AR38" s="4">
        <v>2280940.4</v>
      </c>
      <c r="AS38" s="4">
        <v>1444177.6</v>
      </c>
      <c r="AT38" s="4">
        <v>2102457.75</v>
      </c>
      <c r="AU38" s="4">
        <v>2205801.5499999998</v>
      </c>
      <c r="AV38" s="4">
        <v>5082414.08</v>
      </c>
      <c r="AW38" s="4">
        <v>1664323.5</v>
      </c>
      <c r="AX38" s="4">
        <v>335760.2</v>
      </c>
      <c r="AY38" s="4">
        <v>756659.25</v>
      </c>
      <c r="AZ38" s="4">
        <v>4231081.0999999996</v>
      </c>
      <c r="BA38" s="4">
        <v>807108.35</v>
      </c>
      <c r="BB38" s="4">
        <v>2596328.9500000002</v>
      </c>
      <c r="BC38" s="4">
        <v>306282.3</v>
      </c>
      <c r="BD38" s="4">
        <v>19029351.100000001</v>
      </c>
      <c r="BE38" s="4">
        <v>1073776.3500000001</v>
      </c>
      <c r="BF38" s="4">
        <f t="shared" si="8"/>
        <v>164946900.33999997</v>
      </c>
      <c r="BG38" s="4">
        <f t="shared" si="9"/>
        <v>82429302.040000007</v>
      </c>
      <c r="BH38" s="4">
        <f t="shared" si="10"/>
        <v>23132002.870000001</v>
      </c>
      <c r="BI38" s="4">
        <f t="shared" si="11"/>
        <v>59385595.430000007</v>
      </c>
    </row>
    <row r="39" spans="1:61" x14ac:dyDescent="0.3">
      <c r="C39">
        <v>401</v>
      </c>
      <c r="D39" t="s">
        <v>287</v>
      </c>
      <c r="E39" s="4">
        <v>186863.75</v>
      </c>
      <c r="F39" s="4">
        <v>12530.3</v>
      </c>
      <c r="G39" s="4">
        <v>72576.7</v>
      </c>
      <c r="H39" s="4">
        <v>82257.149999999994</v>
      </c>
      <c r="I39" s="4">
        <v>402270</v>
      </c>
      <c r="J39" s="4">
        <v>637302.1</v>
      </c>
      <c r="K39" s="4">
        <v>948116.15</v>
      </c>
      <c r="L39" s="4">
        <v>5630325.2000000002</v>
      </c>
      <c r="M39" s="4">
        <v>440551.95</v>
      </c>
      <c r="N39" s="4">
        <v>0</v>
      </c>
      <c r="O39" s="4">
        <v>648784.6</v>
      </c>
      <c r="P39" s="4">
        <v>43209.25</v>
      </c>
      <c r="Q39" s="4">
        <v>-2994.7</v>
      </c>
      <c r="R39" s="4">
        <v>11294.05</v>
      </c>
      <c r="S39" s="4">
        <v>-4335.8</v>
      </c>
      <c r="T39" s="4">
        <v>39931.449999999997</v>
      </c>
      <c r="U39" s="4">
        <v>21951.7</v>
      </c>
      <c r="V39" s="4">
        <v>91657.95</v>
      </c>
      <c r="W39" s="4">
        <v>154646.65</v>
      </c>
      <c r="X39" s="4">
        <v>5100</v>
      </c>
      <c r="Y39" s="4">
        <v>115383.25</v>
      </c>
      <c r="Z39" s="4">
        <v>6765508.1500000004</v>
      </c>
      <c r="AA39" s="4">
        <v>927</v>
      </c>
      <c r="AB39" s="4">
        <v>8935.7999999999993</v>
      </c>
      <c r="AC39" s="4">
        <v>-224747.75</v>
      </c>
      <c r="AD39" s="4">
        <v>70136.850000000006</v>
      </c>
      <c r="AE39" s="4">
        <v>33283.550000000003</v>
      </c>
      <c r="AF39" s="4">
        <v>728213.45</v>
      </c>
      <c r="AG39" s="4">
        <v>1712675.4</v>
      </c>
      <c r="AH39" s="4">
        <v>682151.5</v>
      </c>
      <c r="AI39" s="4">
        <v>7959</v>
      </c>
      <c r="AJ39" s="4">
        <v>7036.8</v>
      </c>
      <c r="AK39" s="4">
        <v>543718.55000000005</v>
      </c>
      <c r="AL39" s="4">
        <v>-65142</v>
      </c>
      <c r="AM39" s="4">
        <v>44564.75</v>
      </c>
      <c r="AN39" s="4">
        <v>1227.2</v>
      </c>
      <c r="AO39" s="4">
        <v>2557137.35</v>
      </c>
      <c r="AP39" s="4">
        <v>504468</v>
      </c>
      <c r="AQ39" s="4">
        <v>144303</v>
      </c>
      <c r="AR39" s="4">
        <v>234509.05</v>
      </c>
      <c r="AS39" s="4">
        <v>17997.349999999999</v>
      </c>
      <c r="AT39" s="4">
        <v>5799</v>
      </c>
      <c r="AU39" s="4">
        <v>-66532.05</v>
      </c>
      <c r="AV39" s="4">
        <v>121676.35</v>
      </c>
      <c r="AW39" s="4">
        <v>271631.65000000002</v>
      </c>
      <c r="AX39" s="4">
        <v>10577.2</v>
      </c>
      <c r="AY39" s="4">
        <v>20567.45</v>
      </c>
      <c r="AZ39" s="4">
        <v>333389.45</v>
      </c>
      <c r="BA39" s="4">
        <v>13071.35</v>
      </c>
      <c r="BB39" s="4">
        <v>590684</v>
      </c>
      <c r="BC39" s="4">
        <v>1833.95</v>
      </c>
      <c r="BD39" s="4">
        <v>3114215.25</v>
      </c>
      <c r="BE39" s="4">
        <v>54685.45</v>
      </c>
      <c r="BF39" s="4">
        <f t="shared" si="8"/>
        <v>27783883.75</v>
      </c>
      <c r="BG39" s="4">
        <f t="shared" si="9"/>
        <v>9416938.4499999974</v>
      </c>
      <c r="BH39" s="4">
        <f t="shared" si="10"/>
        <v>9912563</v>
      </c>
      <c r="BI39" s="4">
        <f t="shared" si="11"/>
        <v>8454382.3000000007</v>
      </c>
    </row>
    <row r="40" spans="1:61" x14ac:dyDescent="0.3">
      <c r="C40">
        <v>402</v>
      </c>
      <c r="D40" t="s">
        <v>140</v>
      </c>
      <c r="E40" s="4">
        <v>731404.75</v>
      </c>
      <c r="F40" s="4">
        <v>185389.8</v>
      </c>
      <c r="G40" s="4">
        <v>121243.5</v>
      </c>
      <c r="H40" s="4">
        <v>100067</v>
      </c>
      <c r="I40" s="4">
        <v>1206720</v>
      </c>
      <c r="J40" s="4">
        <v>858889.8</v>
      </c>
      <c r="K40" s="4">
        <v>569577.16</v>
      </c>
      <c r="L40" s="4">
        <v>4805039.6500000004</v>
      </c>
      <c r="M40" s="4">
        <v>285438.09999999998</v>
      </c>
      <c r="N40" s="4">
        <v>0</v>
      </c>
      <c r="O40" s="4">
        <v>2018940.6</v>
      </c>
      <c r="P40" s="4">
        <v>201596.2</v>
      </c>
      <c r="Q40" s="4">
        <v>25861.599999999999</v>
      </c>
      <c r="R40" s="4">
        <v>129743.5</v>
      </c>
      <c r="S40" s="4">
        <v>112995.25</v>
      </c>
      <c r="T40" s="4">
        <v>165077.04999999999</v>
      </c>
      <c r="U40" s="4">
        <v>68771.95</v>
      </c>
      <c r="V40" s="4">
        <v>100820.15</v>
      </c>
      <c r="W40" s="4">
        <v>929582.2</v>
      </c>
      <c r="X40" s="4">
        <v>88712</v>
      </c>
      <c r="Y40" s="4">
        <v>309706.15000000002</v>
      </c>
      <c r="Z40" s="4">
        <v>384754.9</v>
      </c>
      <c r="AA40" s="4">
        <v>57724</v>
      </c>
      <c r="AB40" s="4">
        <v>30357.599999999999</v>
      </c>
      <c r="AC40" s="4">
        <v>115397.1</v>
      </c>
      <c r="AD40" s="4">
        <v>189921.65</v>
      </c>
      <c r="AE40" s="4">
        <v>163073.15</v>
      </c>
      <c r="AF40" s="4">
        <v>175788.1</v>
      </c>
      <c r="AG40" s="4">
        <v>760741.25</v>
      </c>
      <c r="AH40" s="4">
        <v>709266.15</v>
      </c>
      <c r="AI40" s="4">
        <v>49796.55</v>
      </c>
      <c r="AJ40" s="4">
        <v>47831.75</v>
      </c>
      <c r="AK40" s="4">
        <v>588045.05000000005</v>
      </c>
      <c r="AL40" s="4">
        <v>379495</v>
      </c>
      <c r="AM40" s="4">
        <v>399385.15</v>
      </c>
      <c r="AN40" s="4">
        <v>60708.15</v>
      </c>
      <c r="AO40" s="4">
        <v>483487.25</v>
      </c>
      <c r="AP40" s="4">
        <v>194160.08</v>
      </c>
      <c r="AQ40" s="4">
        <v>248238.75</v>
      </c>
      <c r="AR40" s="4">
        <v>746276.6</v>
      </c>
      <c r="AS40" s="4">
        <v>279977.3</v>
      </c>
      <c r="AT40" s="4">
        <v>325815.2</v>
      </c>
      <c r="AU40" s="4">
        <v>121529.85</v>
      </c>
      <c r="AV40" s="4">
        <v>863280.8</v>
      </c>
      <c r="AW40" s="4">
        <v>262032.55</v>
      </c>
      <c r="AX40" s="4">
        <v>59010</v>
      </c>
      <c r="AY40" s="4">
        <v>118839.75</v>
      </c>
      <c r="AZ40" s="4">
        <v>422436.6</v>
      </c>
      <c r="BA40" s="4">
        <v>150432.65</v>
      </c>
      <c r="BB40" s="4">
        <v>412332.79</v>
      </c>
      <c r="BC40" s="4">
        <v>31918.1</v>
      </c>
      <c r="BD40" s="4">
        <v>2493852.5499999998</v>
      </c>
      <c r="BE40" s="4">
        <v>257679.8</v>
      </c>
      <c r="BF40" s="4">
        <f t="shared" si="8"/>
        <v>24599162.580000002</v>
      </c>
      <c r="BG40" s="4">
        <f t="shared" si="9"/>
        <v>12617158.259999998</v>
      </c>
      <c r="BH40" s="4">
        <f t="shared" si="10"/>
        <v>3083070.3499999996</v>
      </c>
      <c r="BI40" s="4">
        <f t="shared" si="11"/>
        <v>8898933.9700000007</v>
      </c>
    </row>
    <row r="41" spans="1:61" x14ac:dyDescent="0.3">
      <c r="C41">
        <v>440</v>
      </c>
      <c r="D41" t="s">
        <v>288</v>
      </c>
      <c r="E41" s="4">
        <v>23418.3</v>
      </c>
      <c r="F41" s="4">
        <v>14462.33</v>
      </c>
      <c r="G41" s="4">
        <v>8419.7000000000007</v>
      </c>
      <c r="H41" s="4">
        <v>8186.86</v>
      </c>
      <c r="I41" s="4">
        <v>153171</v>
      </c>
      <c r="J41" s="4">
        <v>129767.64</v>
      </c>
      <c r="K41" s="4">
        <v>41256.25</v>
      </c>
      <c r="L41" s="4">
        <v>889346.59</v>
      </c>
      <c r="M41" s="4">
        <v>40171.1</v>
      </c>
      <c r="N41" s="4">
        <v>0</v>
      </c>
      <c r="O41" s="4">
        <v>135941.74</v>
      </c>
      <c r="P41" s="4">
        <v>9076.1</v>
      </c>
      <c r="Q41" s="4">
        <v>4220.45</v>
      </c>
      <c r="R41" s="4">
        <v>158.27000000000001</v>
      </c>
      <c r="S41" s="4">
        <v>6042.65</v>
      </c>
      <c r="T41" s="4">
        <v>18851.05</v>
      </c>
      <c r="U41" s="4">
        <v>6215.75</v>
      </c>
      <c r="V41" s="4">
        <v>10386.93</v>
      </c>
      <c r="W41" s="4">
        <v>79792.3</v>
      </c>
      <c r="X41" s="4">
        <v>3271</v>
      </c>
      <c r="Y41" s="4">
        <v>41377.25</v>
      </c>
      <c r="Z41" s="4">
        <v>36248.74</v>
      </c>
      <c r="AA41" s="4">
        <v>562</v>
      </c>
      <c r="AB41" s="4">
        <v>2678</v>
      </c>
      <c r="AC41" s="4">
        <v>8518.5499999999993</v>
      </c>
      <c r="AD41" s="4">
        <v>115681.05</v>
      </c>
      <c r="AE41" s="4">
        <v>10361.08</v>
      </c>
      <c r="AF41" s="4">
        <v>296.7</v>
      </c>
      <c r="AG41" s="4">
        <v>29889.65</v>
      </c>
      <c r="AH41" s="4">
        <v>41227.97</v>
      </c>
      <c r="AI41" s="4">
        <v>12342.43</v>
      </c>
      <c r="AJ41" s="4">
        <v>4175.1000000000004</v>
      </c>
      <c r="AK41" s="4">
        <v>105842.76</v>
      </c>
      <c r="AL41" s="4">
        <v>26934</v>
      </c>
      <c r="AM41" s="4">
        <v>42752.800000000003</v>
      </c>
      <c r="AN41" s="4">
        <v>6870.04</v>
      </c>
      <c r="AO41" s="4">
        <v>28354.12</v>
      </c>
      <c r="AP41" s="4">
        <v>25847.45</v>
      </c>
      <c r="AQ41" s="4">
        <v>16980.400000000001</v>
      </c>
      <c r="AR41" s="4">
        <v>31166.18</v>
      </c>
      <c r="AS41" s="4">
        <v>43080.91</v>
      </c>
      <c r="AT41" s="4">
        <v>66001.039999999994</v>
      </c>
      <c r="AU41" s="4">
        <v>4916.3500000000004</v>
      </c>
      <c r="AV41" s="4">
        <v>51808.72</v>
      </c>
      <c r="AW41" s="4">
        <v>15471.29</v>
      </c>
      <c r="AX41" s="4">
        <v>3549.64</v>
      </c>
      <c r="AY41" s="4">
        <v>8404.1</v>
      </c>
      <c r="AZ41" s="4">
        <v>52198.84</v>
      </c>
      <c r="BA41" s="4">
        <v>12193.98</v>
      </c>
      <c r="BB41" s="4">
        <v>38820</v>
      </c>
      <c r="BC41" s="4">
        <v>3699.85</v>
      </c>
      <c r="BD41" s="4">
        <v>268547.32</v>
      </c>
      <c r="BE41" s="4">
        <v>23228.99</v>
      </c>
      <c r="BF41" s="4">
        <f t="shared" si="8"/>
        <v>2762183.310000001</v>
      </c>
      <c r="BG41" s="4">
        <f t="shared" si="9"/>
        <v>1578885.01</v>
      </c>
      <c r="BH41" s="4">
        <f t="shared" si="10"/>
        <v>306629.51999999996</v>
      </c>
      <c r="BI41" s="4">
        <f t="shared" si="11"/>
        <v>876668.78</v>
      </c>
    </row>
    <row r="42" spans="1:61" x14ac:dyDescent="0.3">
      <c r="C42">
        <v>441</v>
      </c>
      <c r="D42" t="s">
        <v>290</v>
      </c>
      <c r="E42" s="4">
        <v>0</v>
      </c>
      <c r="F42" s="4">
        <v>0</v>
      </c>
      <c r="G42" s="4">
        <v>0</v>
      </c>
      <c r="H42" s="4">
        <v>0</v>
      </c>
      <c r="I42" s="4">
        <v>0</v>
      </c>
      <c r="J42" s="4">
        <v>0</v>
      </c>
      <c r="K42" s="4">
        <v>0</v>
      </c>
      <c r="L42" s="4">
        <v>0</v>
      </c>
      <c r="M42" s="4">
        <v>0</v>
      </c>
      <c r="N42" s="4">
        <v>0</v>
      </c>
      <c r="O42" s="4">
        <v>5580</v>
      </c>
      <c r="P42" s="4">
        <v>0</v>
      </c>
      <c r="Q42" s="4">
        <v>0</v>
      </c>
      <c r="R42" s="4">
        <v>0</v>
      </c>
      <c r="S42" s="4">
        <v>0</v>
      </c>
      <c r="T42" s="4">
        <v>0</v>
      </c>
      <c r="U42" s="4">
        <v>0</v>
      </c>
      <c r="V42" s="4">
        <v>0</v>
      </c>
      <c r="W42" s="4">
        <v>86244.2</v>
      </c>
      <c r="X42" s="4">
        <v>0</v>
      </c>
      <c r="Y42" s="4">
        <v>0</v>
      </c>
      <c r="Z42" s="4">
        <v>0</v>
      </c>
      <c r="AA42" s="4">
        <v>0</v>
      </c>
      <c r="AB42" s="4">
        <v>740</v>
      </c>
      <c r="AC42" s="4">
        <v>0</v>
      </c>
      <c r="AD42" s="4">
        <v>0</v>
      </c>
      <c r="AE42" s="4">
        <v>46655</v>
      </c>
      <c r="AF42" s="4">
        <v>0</v>
      </c>
      <c r="AG42" s="4">
        <v>3210</v>
      </c>
      <c r="AH42" s="4">
        <v>152600.54999999999</v>
      </c>
      <c r="AI42" s="4">
        <v>0</v>
      </c>
      <c r="AJ42" s="4">
        <v>0</v>
      </c>
      <c r="AK42" s="4">
        <v>0</v>
      </c>
      <c r="AL42" s="4">
        <v>0</v>
      </c>
      <c r="AM42" s="4">
        <v>1400</v>
      </c>
      <c r="AN42" s="4">
        <v>0</v>
      </c>
      <c r="AO42" s="4">
        <v>75390</v>
      </c>
      <c r="AP42" s="4">
        <v>0</v>
      </c>
      <c r="AQ42" s="4">
        <v>0</v>
      </c>
      <c r="AR42" s="4">
        <v>43060</v>
      </c>
      <c r="AS42" s="4">
        <v>0</v>
      </c>
      <c r="AT42" s="4">
        <v>0</v>
      </c>
      <c r="AU42" s="4">
        <v>0</v>
      </c>
      <c r="AV42" s="4">
        <v>0</v>
      </c>
      <c r="AW42" s="4">
        <v>0</v>
      </c>
      <c r="AX42" s="4">
        <v>0</v>
      </c>
      <c r="AY42" s="4">
        <v>4030</v>
      </c>
      <c r="AZ42" s="4">
        <v>0</v>
      </c>
      <c r="BA42" s="4">
        <v>0</v>
      </c>
      <c r="BB42" s="4">
        <v>24672.5</v>
      </c>
      <c r="BC42" s="4">
        <v>0</v>
      </c>
      <c r="BD42" s="4">
        <v>0</v>
      </c>
      <c r="BE42" s="4">
        <v>0</v>
      </c>
      <c r="BF42" s="4">
        <f t="shared" si="8"/>
        <v>443582.25</v>
      </c>
      <c r="BG42" s="4">
        <f t="shared" si="9"/>
        <v>91824.2</v>
      </c>
      <c r="BH42" s="4">
        <f t="shared" si="10"/>
        <v>203205.55</v>
      </c>
      <c r="BI42" s="4">
        <f t="shared" si="11"/>
        <v>148552.5</v>
      </c>
    </row>
    <row r="43" spans="1:61" x14ac:dyDescent="0.3">
      <c r="C43">
        <v>442</v>
      </c>
      <c r="D43" t="s">
        <v>291</v>
      </c>
      <c r="E43" s="4">
        <v>60.1</v>
      </c>
      <c r="F43" s="4">
        <v>0</v>
      </c>
      <c r="G43" s="4">
        <v>0</v>
      </c>
      <c r="H43" s="4">
        <v>0</v>
      </c>
      <c r="I43" s="4">
        <v>6026</v>
      </c>
      <c r="J43" s="4">
        <v>37</v>
      </c>
      <c r="K43" s="4">
        <v>0</v>
      </c>
      <c r="L43" s="4">
        <v>56657.5</v>
      </c>
      <c r="M43" s="4">
        <v>0</v>
      </c>
      <c r="N43" s="4">
        <v>0</v>
      </c>
      <c r="O43" s="4">
        <v>3677.5</v>
      </c>
      <c r="P43" s="4">
        <v>0</v>
      </c>
      <c r="Q43" s="4">
        <v>34.67</v>
      </c>
      <c r="R43" s="4">
        <v>0</v>
      </c>
      <c r="S43" s="4">
        <v>0</v>
      </c>
      <c r="T43" s="4">
        <v>325</v>
      </c>
      <c r="U43" s="4">
        <v>0</v>
      </c>
      <c r="V43" s="4">
        <v>0</v>
      </c>
      <c r="W43" s="4">
        <v>219.42</v>
      </c>
      <c r="X43" s="4">
        <v>5</v>
      </c>
      <c r="Y43" s="4">
        <v>0</v>
      </c>
      <c r="Z43" s="4">
        <v>0</v>
      </c>
      <c r="AA43" s="4">
        <v>0</v>
      </c>
      <c r="AB43" s="4">
        <v>0</v>
      </c>
      <c r="AC43" s="4">
        <v>880</v>
      </c>
      <c r="AD43" s="4">
        <v>0</v>
      </c>
      <c r="AE43" s="4">
        <v>0</v>
      </c>
      <c r="AF43" s="4">
        <v>11004.9</v>
      </c>
      <c r="AG43" s="4">
        <v>7415</v>
      </c>
      <c r="AH43" s="4">
        <v>0</v>
      </c>
      <c r="AI43" s="4">
        <v>0</v>
      </c>
      <c r="AJ43" s="4">
        <v>0</v>
      </c>
      <c r="AK43" s="4">
        <v>0</v>
      </c>
      <c r="AL43" s="4">
        <v>1618</v>
      </c>
      <c r="AM43" s="4">
        <v>0</v>
      </c>
      <c r="AN43" s="4">
        <v>0</v>
      </c>
      <c r="AO43" s="4">
        <v>0</v>
      </c>
      <c r="AP43" s="4">
        <v>20</v>
      </c>
      <c r="AQ43" s="4">
        <v>0</v>
      </c>
      <c r="AR43" s="4">
        <v>6957</v>
      </c>
      <c r="AS43" s="4">
        <v>0</v>
      </c>
      <c r="AT43" s="4">
        <v>380</v>
      </c>
      <c r="AU43" s="4">
        <v>0</v>
      </c>
      <c r="AV43" s="4">
        <v>1657.5</v>
      </c>
      <c r="AW43" s="4">
        <v>1926.33</v>
      </c>
      <c r="AX43" s="4">
        <v>0</v>
      </c>
      <c r="AY43" s="4">
        <v>0</v>
      </c>
      <c r="AZ43" s="4">
        <v>0</v>
      </c>
      <c r="BA43" s="4">
        <v>0</v>
      </c>
      <c r="BB43" s="4">
        <v>302.25</v>
      </c>
      <c r="BC43" s="4">
        <v>0</v>
      </c>
      <c r="BD43" s="4">
        <v>22531.75</v>
      </c>
      <c r="BE43" s="4">
        <v>20</v>
      </c>
      <c r="BF43" s="4">
        <f t="shared" si="8"/>
        <v>121754.92</v>
      </c>
      <c r="BG43" s="4">
        <f t="shared" si="9"/>
        <v>67037.19</v>
      </c>
      <c r="BH43" s="4">
        <f t="shared" si="10"/>
        <v>19304.900000000001</v>
      </c>
      <c r="BI43" s="4">
        <f t="shared" si="11"/>
        <v>35412.83</v>
      </c>
    </row>
    <row r="44" spans="1:61" x14ac:dyDescent="0.3">
      <c r="C44">
        <v>443</v>
      </c>
      <c r="D44" t="s">
        <v>292</v>
      </c>
      <c r="E44" s="4">
        <v>22991.5</v>
      </c>
      <c r="F44" s="4">
        <v>19700</v>
      </c>
      <c r="G44" s="4">
        <v>106274.55</v>
      </c>
      <c r="H44" s="4">
        <v>75065</v>
      </c>
      <c r="I44" s="4">
        <v>385439</v>
      </c>
      <c r="J44" s="4">
        <v>130480</v>
      </c>
      <c r="K44" s="4">
        <v>130147</v>
      </c>
      <c r="L44" s="4">
        <v>515299.8</v>
      </c>
      <c r="M44" s="4">
        <v>20756.900000000001</v>
      </c>
      <c r="N44" s="4">
        <v>0</v>
      </c>
      <c r="O44" s="4">
        <v>128634.95</v>
      </c>
      <c r="P44" s="4">
        <v>27510</v>
      </c>
      <c r="Q44" s="4">
        <v>10140</v>
      </c>
      <c r="R44" s="4">
        <v>28680</v>
      </c>
      <c r="S44" s="4">
        <v>11400</v>
      </c>
      <c r="T44" s="4">
        <v>55367</v>
      </c>
      <c r="U44" s="4">
        <v>0</v>
      </c>
      <c r="V44" s="4">
        <v>23605</v>
      </c>
      <c r="W44" s="4">
        <v>126933.5</v>
      </c>
      <c r="X44" s="4">
        <v>14330</v>
      </c>
      <c r="Y44" s="4">
        <v>42715</v>
      </c>
      <c r="Z44" s="4">
        <v>9605</v>
      </c>
      <c r="AA44" s="4">
        <v>13934</v>
      </c>
      <c r="AB44" s="4">
        <v>23780</v>
      </c>
      <c r="AC44" s="4">
        <v>12404.1</v>
      </c>
      <c r="AD44" s="4">
        <v>80000.5</v>
      </c>
      <c r="AE44" s="4">
        <v>2110</v>
      </c>
      <c r="AF44" s="4">
        <v>87195</v>
      </c>
      <c r="AG44" s="4">
        <v>93783.45</v>
      </c>
      <c r="AH44" s="4">
        <v>46144</v>
      </c>
      <c r="AI44" s="4">
        <v>0</v>
      </c>
      <c r="AJ44" s="4">
        <v>41705</v>
      </c>
      <c r="AK44" s="4">
        <v>0</v>
      </c>
      <c r="AL44" s="4">
        <v>124060</v>
      </c>
      <c r="AM44" s="4">
        <v>75767</v>
      </c>
      <c r="AN44" s="4">
        <v>10735.7</v>
      </c>
      <c r="AO44" s="4">
        <v>204430.2</v>
      </c>
      <c r="AP44" s="4">
        <v>25952.2</v>
      </c>
      <c r="AQ44" s="4">
        <v>4193.55</v>
      </c>
      <c r="AR44" s="4">
        <v>437887.87</v>
      </c>
      <c r="AS44" s="4">
        <v>10542.4</v>
      </c>
      <c r="AT44" s="4">
        <v>82790</v>
      </c>
      <c r="AU44" s="4">
        <v>25640</v>
      </c>
      <c r="AV44" s="4">
        <v>0</v>
      </c>
      <c r="AW44" s="4">
        <v>11017.35</v>
      </c>
      <c r="AX44" s="4">
        <v>13505.9</v>
      </c>
      <c r="AY44" s="4">
        <v>39303.699999999997</v>
      </c>
      <c r="AZ44" s="4">
        <v>66998.3</v>
      </c>
      <c r="BA44" s="4">
        <v>32771</v>
      </c>
      <c r="BB44" s="4">
        <v>113307.5</v>
      </c>
      <c r="BC44" s="4">
        <v>3000</v>
      </c>
      <c r="BD44" s="4">
        <v>261552.3</v>
      </c>
      <c r="BE44" s="4">
        <v>49874.6</v>
      </c>
      <c r="BF44" s="4">
        <f t="shared" si="8"/>
        <v>3879459.8200000003</v>
      </c>
      <c r="BG44" s="4">
        <f t="shared" si="9"/>
        <v>1818424.2</v>
      </c>
      <c r="BH44" s="4">
        <f t="shared" si="10"/>
        <v>467706.05</v>
      </c>
      <c r="BI44" s="4">
        <f t="shared" si="11"/>
        <v>1593329.5700000003</v>
      </c>
    </row>
    <row r="45" spans="1:61" x14ac:dyDescent="0.3">
      <c r="C45">
        <v>444</v>
      </c>
      <c r="D45" t="s">
        <v>590</v>
      </c>
      <c r="E45" s="4">
        <v>0</v>
      </c>
      <c r="F45" s="4">
        <v>0</v>
      </c>
      <c r="G45" s="4">
        <v>0</v>
      </c>
      <c r="H45" s="4">
        <v>0</v>
      </c>
      <c r="I45" s="4">
        <v>61160</v>
      </c>
      <c r="J45" s="4">
        <v>0</v>
      </c>
      <c r="K45" s="4">
        <v>0</v>
      </c>
      <c r="L45" s="4">
        <v>0</v>
      </c>
      <c r="M45" s="4">
        <v>140</v>
      </c>
      <c r="N45" s="4">
        <v>0</v>
      </c>
      <c r="O45" s="4">
        <v>22240</v>
      </c>
      <c r="P45" s="4">
        <v>0</v>
      </c>
      <c r="Q45" s="4">
        <v>0</v>
      </c>
      <c r="R45" s="4">
        <v>0</v>
      </c>
      <c r="S45" s="4">
        <v>0</v>
      </c>
      <c r="T45" s="4">
        <v>0</v>
      </c>
      <c r="U45" s="4">
        <v>14800</v>
      </c>
      <c r="V45" s="4">
        <v>0</v>
      </c>
      <c r="W45" s="4">
        <v>0</v>
      </c>
      <c r="X45" s="4">
        <v>0</v>
      </c>
      <c r="Y45" s="4">
        <v>0</v>
      </c>
      <c r="Z45" s="4">
        <v>0</v>
      </c>
      <c r="AA45" s="4">
        <v>200</v>
      </c>
      <c r="AB45" s="4">
        <v>0</v>
      </c>
      <c r="AC45" s="4">
        <v>11120</v>
      </c>
      <c r="AD45" s="4">
        <v>0</v>
      </c>
      <c r="AE45" s="4">
        <v>0</v>
      </c>
      <c r="AF45" s="4">
        <v>0</v>
      </c>
      <c r="AG45" s="4">
        <v>0</v>
      </c>
      <c r="AH45" s="4">
        <v>26480</v>
      </c>
      <c r="AI45" s="4">
        <v>0</v>
      </c>
      <c r="AJ45" s="4">
        <v>0</v>
      </c>
      <c r="AK45" s="4">
        <v>0</v>
      </c>
      <c r="AL45" s="4">
        <v>0</v>
      </c>
      <c r="AM45" s="4">
        <v>0</v>
      </c>
      <c r="AN45" s="4">
        <v>0</v>
      </c>
      <c r="AO45" s="4">
        <v>0</v>
      </c>
      <c r="AP45" s="4">
        <v>0</v>
      </c>
      <c r="AQ45" s="4">
        <v>0</v>
      </c>
      <c r="AR45" s="4">
        <v>0</v>
      </c>
      <c r="AS45" s="4">
        <v>140026</v>
      </c>
      <c r="AT45" s="4">
        <v>0</v>
      </c>
      <c r="AU45" s="4">
        <v>0</v>
      </c>
      <c r="AV45" s="4">
        <v>0</v>
      </c>
      <c r="AW45" s="4">
        <v>22240</v>
      </c>
      <c r="AX45" s="4">
        <v>0</v>
      </c>
      <c r="AY45" s="4">
        <v>0</v>
      </c>
      <c r="AZ45" s="4">
        <v>26800</v>
      </c>
      <c r="BA45" s="4">
        <v>40</v>
      </c>
      <c r="BB45" s="4">
        <v>11120</v>
      </c>
      <c r="BC45" s="4">
        <v>0</v>
      </c>
      <c r="BD45" s="4">
        <v>813614.4</v>
      </c>
      <c r="BE45" s="4">
        <v>0</v>
      </c>
      <c r="BF45" s="4">
        <f t="shared" si="8"/>
        <v>1149980.3999999999</v>
      </c>
      <c r="BG45" s="4">
        <f t="shared" si="9"/>
        <v>98340</v>
      </c>
      <c r="BH45" s="4">
        <f t="shared" si="10"/>
        <v>37800</v>
      </c>
      <c r="BI45" s="4">
        <f t="shared" si="11"/>
        <v>1013840.4</v>
      </c>
    </row>
    <row r="46" spans="1:61" x14ac:dyDescent="0.3">
      <c r="C46">
        <v>4490</v>
      </c>
      <c r="D46" t="s">
        <v>591</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299999</v>
      </c>
      <c r="AW46" s="4">
        <v>0</v>
      </c>
      <c r="AX46" s="4">
        <v>0</v>
      </c>
      <c r="AY46" s="4">
        <v>0</v>
      </c>
      <c r="AZ46" s="4">
        <v>0</v>
      </c>
      <c r="BA46" s="4">
        <v>0</v>
      </c>
      <c r="BB46" s="4">
        <v>0</v>
      </c>
      <c r="BC46" s="4">
        <v>0</v>
      </c>
      <c r="BD46" s="4">
        <v>0</v>
      </c>
      <c r="BE46" s="4">
        <v>0</v>
      </c>
      <c r="BF46" s="4">
        <f t="shared" si="8"/>
        <v>299999</v>
      </c>
      <c r="BG46" s="4">
        <f t="shared" si="9"/>
        <v>0</v>
      </c>
      <c r="BH46" s="4">
        <f t="shared" si="10"/>
        <v>0</v>
      </c>
      <c r="BI46" s="4">
        <f t="shared" si="11"/>
        <v>299999</v>
      </c>
    </row>
    <row r="47" spans="1:61" x14ac:dyDescent="0.3">
      <c r="C47">
        <v>45</v>
      </c>
      <c r="D47" t="s">
        <v>296</v>
      </c>
      <c r="E47" s="4">
        <v>2612.4499999999998</v>
      </c>
      <c r="F47" s="4">
        <v>0</v>
      </c>
      <c r="G47" s="4">
        <v>52538.2</v>
      </c>
      <c r="H47" s="4">
        <v>21235</v>
      </c>
      <c r="I47" s="4">
        <v>0</v>
      </c>
      <c r="J47" s="4">
        <v>9247.6</v>
      </c>
      <c r="K47" s="4">
        <v>25559.85</v>
      </c>
      <c r="L47" s="4">
        <v>41211.35</v>
      </c>
      <c r="M47" s="4">
        <v>3896.35</v>
      </c>
      <c r="N47" s="4">
        <v>0</v>
      </c>
      <c r="O47" s="4">
        <v>19882.5</v>
      </c>
      <c r="P47" s="4">
        <v>28838.6</v>
      </c>
      <c r="Q47" s="4">
        <v>37386</v>
      </c>
      <c r="R47" s="4">
        <v>0</v>
      </c>
      <c r="S47" s="4">
        <v>0</v>
      </c>
      <c r="T47" s="4">
        <v>1908.7</v>
      </c>
      <c r="U47" s="4">
        <v>760.75</v>
      </c>
      <c r="V47" s="4">
        <v>1216</v>
      </c>
      <c r="W47" s="4">
        <v>9045.5</v>
      </c>
      <c r="X47" s="4">
        <v>41224</v>
      </c>
      <c r="Y47" s="4">
        <v>3475.3</v>
      </c>
      <c r="Z47" s="4">
        <v>4342.8900000000003</v>
      </c>
      <c r="AA47" s="4">
        <v>0</v>
      </c>
      <c r="AB47" s="4">
        <v>1826.7</v>
      </c>
      <c r="AC47" s="4">
        <v>17757.55</v>
      </c>
      <c r="AD47" s="4">
        <v>1896.3</v>
      </c>
      <c r="AE47" s="4">
        <v>1622.9</v>
      </c>
      <c r="AF47" s="4">
        <v>101694.38</v>
      </c>
      <c r="AG47" s="4">
        <v>15235.5</v>
      </c>
      <c r="AH47" s="4">
        <v>18816</v>
      </c>
      <c r="AI47" s="4">
        <v>2</v>
      </c>
      <c r="AJ47" s="4">
        <v>13682</v>
      </c>
      <c r="AK47" s="4">
        <v>19457.7</v>
      </c>
      <c r="AL47" s="4">
        <v>1404</v>
      </c>
      <c r="AM47" s="4">
        <v>0</v>
      </c>
      <c r="AN47" s="4">
        <v>329.1</v>
      </c>
      <c r="AO47" s="4">
        <v>30380.65</v>
      </c>
      <c r="AP47" s="4">
        <v>0</v>
      </c>
      <c r="AQ47" s="4">
        <v>1827</v>
      </c>
      <c r="AR47" s="4">
        <v>414185.15</v>
      </c>
      <c r="AS47" s="4">
        <v>15731.1</v>
      </c>
      <c r="AT47" s="4">
        <v>20060.32</v>
      </c>
      <c r="AU47" s="4">
        <v>70569.3</v>
      </c>
      <c r="AV47" s="4">
        <v>6699.85</v>
      </c>
      <c r="AW47" s="4">
        <v>2179.9499999999998</v>
      </c>
      <c r="AX47" s="4">
        <v>529.95000000000005</v>
      </c>
      <c r="AY47" s="4">
        <v>0</v>
      </c>
      <c r="AZ47" s="4">
        <v>9743.15</v>
      </c>
      <c r="BA47" s="4">
        <v>0</v>
      </c>
      <c r="BB47" s="4">
        <v>0</v>
      </c>
      <c r="BC47" s="4">
        <v>0</v>
      </c>
      <c r="BD47" s="4">
        <v>820.95</v>
      </c>
      <c r="BE47" s="4">
        <v>96</v>
      </c>
      <c r="BF47" s="4">
        <f t="shared" si="8"/>
        <v>1070928.5399999998</v>
      </c>
      <c r="BG47" s="4">
        <f t="shared" si="9"/>
        <v>255338.85000000003</v>
      </c>
      <c r="BH47" s="4">
        <f t="shared" si="10"/>
        <v>221575.52000000002</v>
      </c>
      <c r="BI47" s="4">
        <f t="shared" si="11"/>
        <v>594014.16999999993</v>
      </c>
    </row>
    <row r="48" spans="1:61" x14ac:dyDescent="0.3">
      <c r="C48">
        <v>46227</v>
      </c>
      <c r="D48" t="s">
        <v>294</v>
      </c>
      <c r="E48" s="4">
        <v>93242</v>
      </c>
      <c r="F48" s="4">
        <v>211892</v>
      </c>
      <c r="G48" s="4">
        <v>81088</v>
      </c>
      <c r="H48" s="4">
        <v>159252</v>
      </c>
      <c r="I48" s="4">
        <v>1174020</v>
      </c>
      <c r="J48" s="4">
        <v>534289</v>
      </c>
      <c r="K48" s="4">
        <v>0</v>
      </c>
      <c r="L48" s="4">
        <v>0</v>
      </c>
      <c r="M48" s="4">
        <v>0</v>
      </c>
      <c r="N48" s="4">
        <v>0</v>
      </c>
      <c r="O48" s="4">
        <v>1414183</v>
      </c>
      <c r="P48" s="4">
        <v>283212</v>
      </c>
      <c r="Q48" s="4">
        <v>28845</v>
      </c>
      <c r="R48" s="4">
        <v>157798</v>
      </c>
      <c r="S48" s="4">
        <v>175314</v>
      </c>
      <c r="T48" s="4">
        <v>0</v>
      </c>
      <c r="U48" s="4">
        <v>132202</v>
      </c>
      <c r="V48" s="4">
        <v>0</v>
      </c>
      <c r="W48" s="4">
        <v>1341516</v>
      </c>
      <c r="X48" s="4">
        <v>31284</v>
      </c>
      <c r="Y48" s="4">
        <v>74686</v>
      </c>
      <c r="Z48" s="4">
        <v>28100</v>
      </c>
      <c r="AA48" s="4">
        <v>83038</v>
      </c>
      <c r="AB48" s="4">
        <v>61512</v>
      </c>
      <c r="AC48" s="4">
        <v>0</v>
      </c>
      <c r="AD48" s="4">
        <v>188290</v>
      </c>
      <c r="AE48" s="4">
        <v>189290</v>
      </c>
      <c r="AF48" s="4">
        <v>28448</v>
      </c>
      <c r="AG48" s="4">
        <v>0</v>
      </c>
      <c r="AH48" s="4">
        <v>96532</v>
      </c>
      <c r="AI48" s="4">
        <v>218340</v>
      </c>
      <c r="AJ48" s="4">
        <v>52532</v>
      </c>
      <c r="AK48" s="4">
        <v>218212</v>
      </c>
      <c r="AL48" s="4">
        <v>662458</v>
      </c>
      <c r="AM48" s="4">
        <v>482860</v>
      </c>
      <c r="AN48" s="4">
        <v>66682</v>
      </c>
      <c r="AO48" s="4">
        <v>0</v>
      </c>
      <c r="AP48" s="4">
        <v>523</v>
      </c>
      <c r="AQ48" s="4">
        <v>81733</v>
      </c>
      <c r="AR48" s="4">
        <v>684808</v>
      </c>
      <c r="AS48" s="4">
        <v>192432</v>
      </c>
      <c r="AT48" s="4">
        <v>249338</v>
      </c>
      <c r="AU48" s="4">
        <v>0</v>
      </c>
      <c r="AV48" s="4">
        <v>0</v>
      </c>
      <c r="AW48" s="4">
        <v>0</v>
      </c>
      <c r="AX48" s="4">
        <v>140996</v>
      </c>
      <c r="AY48" s="4">
        <v>276102</v>
      </c>
      <c r="AZ48" s="4">
        <v>408224</v>
      </c>
      <c r="BA48" s="4">
        <v>295366</v>
      </c>
      <c r="BB48" s="4">
        <v>0</v>
      </c>
      <c r="BC48" s="4">
        <v>92938</v>
      </c>
      <c r="BD48" s="4">
        <v>0</v>
      </c>
      <c r="BE48" s="4">
        <v>182616</v>
      </c>
      <c r="BF48" s="4">
        <f t="shared" si="8"/>
        <v>10874193</v>
      </c>
      <c r="BG48" s="4">
        <f t="shared" si="9"/>
        <v>5786853</v>
      </c>
      <c r="BH48" s="4">
        <f t="shared" si="10"/>
        <v>1052052</v>
      </c>
      <c r="BI48" s="4">
        <f t="shared" si="11"/>
        <v>4035288</v>
      </c>
    </row>
    <row r="49" spans="1:61" x14ac:dyDescent="0.3">
      <c r="C49">
        <v>46228</v>
      </c>
      <c r="D49" t="s">
        <v>279</v>
      </c>
      <c r="E49" s="4">
        <v>0</v>
      </c>
      <c r="F49" s="4">
        <v>0</v>
      </c>
      <c r="G49" s="4">
        <v>0</v>
      </c>
      <c r="H49" s="4">
        <v>0</v>
      </c>
      <c r="I49" s="4">
        <v>0</v>
      </c>
      <c r="J49" s="4">
        <v>0</v>
      </c>
      <c r="K49" s="4">
        <v>0</v>
      </c>
      <c r="L49" s="4">
        <v>962414.35</v>
      </c>
      <c r="M49" s="4">
        <v>0</v>
      </c>
      <c r="N49" s="4">
        <v>0</v>
      </c>
      <c r="O49" s="4">
        <v>0</v>
      </c>
      <c r="P49" s="4">
        <v>0</v>
      </c>
      <c r="Q49" s="4">
        <v>0</v>
      </c>
      <c r="R49" s="4">
        <v>0</v>
      </c>
      <c r="S49" s="4">
        <v>0</v>
      </c>
      <c r="T49" s="4">
        <v>0</v>
      </c>
      <c r="U49" s="4">
        <v>4300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332198</v>
      </c>
      <c r="BE49" s="4">
        <v>0</v>
      </c>
      <c r="BF49" s="4">
        <f t="shared" si="8"/>
        <v>1298912.3500000001</v>
      </c>
      <c r="BG49" s="4">
        <f t="shared" si="9"/>
        <v>966714.35</v>
      </c>
      <c r="BH49" s="4">
        <f t="shared" si="10"/>
        <v>0</v>
      </c>
      <c r="BI49" s="4">
        <f t="shared" si="11"/>
        <v>332198</v>
      </c>
    </row>
    <row r="50" spans="1:61" x14ac:dyDescent="0.3">
      <c r="C50">
        <v>47</v>
      </c>
      <c r="D50" t="s">
        <v>119</v>
      </c>
      <c r="E50" s="4">
        <v>0</v>
      </c>
      <c r="F50" s="4">
        <v>0</v>
      </c>
      <c r="G50" s="4">
        <v>0</v>
      </c>
      <c r="H50" s="4">
        <v>0</v>
      </c>
      <c r="I50" s="4">
        <v>0</v>
      </c>
      <c r="J50" s="4">
        <v>0</v>
      </c>
      <c r="K50" s="4">
        <v>0</v>
      </c>
      <c r="L50" s="4">
        <v>0</v>
      </c>
      <c r="M50" s="4">
        <v>1665</v>
      </c>
      <c r="N50" s="4">
        <v>0</v>
      </c>
      <c r="O50" s="4">
        <v>0</v>
      </c>
      <c r="P50" s="4">
        <v>0</v>
      </c>
      <c r="Q50" s="4">
        <v>0</v>
      </c>
      <c r="R50" s="4">
        <v>0</v>
      </c>
      <c r="S50" s="4">
        <v>0</v>
      </c>
      <c r="T50" s="4">
        <v>0</v>
      </c>
      <c r="U50" s="4">
        <v>0</v>
      </c>
      <c r="V50" s="4">
        <v>0</v>
      </c>
      <c r="W50" s="4">
        <v>0</v>
      </c>
      <c r="X50" s="4">
        <v>0</v>
      </c>
      <c r="Y50" s="4">
        <v>0</v>
      </c>
      <c r="Z50" s="4">
        <v>428675.8</v>
      </c>
      <c r="AA50" s="4">
        <v>159491</v>
      </c>
      <c r="AB50" s="4">
        <v>0</v>
      </c>
      <c r="AC50" s="4">
        <v>155601.79999999999</v>
      </c>
      <c r="AD50" s="4">
        <v>0</v>
      </c>
      <c r="AE50" s="4">
        <v>0</v>
      </c>
      <c r="AF50" s="4">
        <v>570898.30000000005</v>
      </c>
      <c r="AG50" s="4">
        <v>0</v>
      </c>
      <c r="AH50" s="4">
        <v>0</v>
      </c>
      <c r="AI50" s="4">
        <v>1500</v>
      </c>
      <c r="AJ50" s="4">
        <v>0</v>
      </c>
      <c r="AK50" s="4">
        <v>0</v>
      </c>
      <c r="AL50" s="4">
        <v>0</v>
      </c>
      <c r="AM50" s="4">
        <v>0</v>
      </c>
      <c r="AN50" s="4">
        <v>0</v>
      </c>
      <c r="AO50" s="4">
        <v>0</v>
      </c>
      <c r="AP50" s="4">
        <v>0</v>
      </c>
      <c r="AQ50" s="4">
        <v>0</v>
      </c>
      <c r="AR50" s="4">
        <v>57050</v>
      </c>
      <c r="AS50" s="4">
        <v>0</v>
      </c>
      <c r="AT50" s="4">
        <v>0</v>
      </c>
      <c r="AU50" s="4">
        <v>0</v>
      </c>
      <c r="AV50" s="4">
        <v>79548.3</v>
      </c>
      <c r="AW50" s="4">
        <v>0</v>
      </c>
      <c r="AX50" s="4">
        <v>0</v>
      </c>
      <c r="AY50" s="4">
        <v>0</v>
      </c>
      <c r="AZ50" s="4">
        <v>0</v>
      </c>
      <c r="BA50" s="4">
        <v>0</v>
      </c>
      <c r="BB50" s="4">
        <v>0</v>
      </c>
      <c r="BC50" s="4">
        <v>0</v>
      </c>
      <c r="BD50" s="4">
        <v>0</v>
      </c>
      <c r="BE50" s="4">
        <v>0</v>
      </c>
      <c r="BF50" s="4">
        <f t="shared" si="8"/>
        <v>1454430.2000000002</v>
      </c>
      <c r="BG50" s="4">
        <f t="shared" si="9"/>
        <v>1665</v>
      </c>
      <c r="BH50" s="4">
        <f t="shared" si="10"/>
        <v>1316166.9000000001</v>
      </c>
      <c r="BI50" s="4">
        <f t="shared" si="11"/>
        <v>136598.29999999999</v>
      </c>
    </row>
    <row r="51" spans="1:61" x14ac:dyDescent="0.3">
      <c r="C51">
        <v>489</v>
      </c>
      <c r="D51" t="s">
        <v>298</v>
      </c>
      <c r="E51" s="4">
        <v>0</v>
      </c>
      <c r="F51" s="4">
        <v>0</v>
      </c>
      <c r="G51" s="4">
        <v>0</v>
      </c>
      <c r="H51" s="4">
        <v>0</v>
      </c>
      <c r="I51" s="4">
        <v>300000</v>
      </c>
      <c r="J51" s="4">
        <v>0</v>
      </c>
      <c r="K51" s="4">
        <v>0</v>
      </c>
      <c r="L51" s="4">
        <v>1100000</v>
      </c>
      <c r="M51" s="4">
        <v>0</v>
      </c>
      <c r="N51" s="4">
        <v>0</v>
      </c>
      <c r="O51" s="4">
        <v>2478.3000000000002</v>
      </c>
      <c r="P51" s="4">
        <v>0</v>
      </c>
      <c r="Q51" s="4">
        <v>20000</v>
      </c>
      <c r="R51" s="4">
        <v>0</v>
      </c>
      <c r="S51" s="4">
        <v>0</v>
      </c>
      <c r="T51" s="4">
        <v>0</v>
      </c>
      <c r="U51" s="4">
        <v>0</v>
      </c>
      <c r="V51" s="4">
        <v>0</v>
      </c>
      <c r="W51" s="4">
        <v>0</v>
      </c>
      <c r="X51" s="4">
        <v>0</v>
      </c>
      <c r="Y51" s="4">
        <v>0</v>
      </c>
      <c r="Z51" s="4">
        <v>0</v>
      </c>
      <c r="AA51" s="4">
        <v>0</v>
      </c>
      <c r="AB51" s="4">
        <v>0</v>
      </c>
      <c r="AC51" s="4">
        <v>206471.32</v>
      </c>
      <c r="AD51" s="4">
        <v>151113.5</v>
      </c>
      <c r="AE51" s="4">
        <v>0</v>
      </c>
      <c r="AF51" s="4">
        <v>0</v>
      </c>
      <c r="AG51" s="4">
        <v>0</v>
      </c>
      <c r="AH51" s="4">
        <v>0</v>
      </c>
      <c r="AI51" s="4">
        <v>0</v>
      </c>
      <c r="AJ51" s="4">
        <v>0</v>
      </c>
      <c r="AK51" s="4">
        <v>0</v>
      </c>
      <c r="AL51" s="4">
        <v>0</v>
      </c>
      <c r="AM51" s="4">
        <v>0</v>
      </c>
      <c r="AN51" s="4">
        <v>0</v>
      </c>
      <c r="AO51" s="4">
        <v>0</v>
      </c>
      <c r="AP51" s="4">
        <v>0</v>
      </c>
      <c r="AQ51" s="4">
        <v>0</v>
      </c>
      <c r="AR51" s="4">
        <v>0</v>
      </c>
      <c r="AS51" s="4">
        <v>0</v>
      </c>
      <c r="AT51" s="4">
        <v>50000</v>
      </c>
      <c r="AU51" s="4">
        <v>0</v>
      </c>
      <c r="AV51" s="4">
        <v>425359</v>
      </c>
      <c r="AW51" s="4">
        <v>0</v>
      </c>
      <c r="AX51" s="4">
        <v>20000</v>
      </c>
      <c r="AY51" s="4">
        <v>0</v>
      </c>
      <c r="AZ51" s="4">
        <v>0</v>
      </c>
      <c r="BA51" s="4">
        <v>0</v>
      </c>
      <c r="BB51" s="4">
        <v>0</v>
      </c>
      <c r="BC51" s="4">
        <v>1</v>
      </c>
      <c r="BD51" s="4">
        <v>0</v>
      </c>
      <c r="BE51" s="4">
        <v>0</v>
      </c>
      <c r="BF51" s="4">
        <f t="shared" si="8"/>
        <v>2275423.12</v>
      </c>
      <c r="BG51" s="4">
        <f t="shared" si="9"/>
        <v>1422478.3</v>
      </c>
      <c r="BH51" s="4">
        <f t="shared" si="10"/>
        <v>357584.82</v>
      </c>
      <c r="BI51" s="4">
        <f t="shared" si="11"/>
        <v>495360</v>
      </c>
    </row>
    <row r="52" spans="1:61" x14ac:dyDescent="0.3">
      <c r="C52">
        <v>4896</v>
      </c>
      <c r="D52" t="s">
        <v>592</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3">
      <c r="C53">
        <v>49</v>
      </c>
      <c r="D53" t="s">
        <v>128</v>
      </c>
      <c r="E53" s="4">
        <v>0</v>
      </c>
      <c r="F53" s="4">
        <v>31349.99</v>
      </c>
      <c r="G53" s="4">
        <v>2814.4</v>
      </c>
      <c r="H53" s="4">
        <v>31545.85</v>
      </c>
      <c r="I53" s="4">
        <v>309300</v>
      </c>
      <c r="J53" s="4">
        <v>59158</v>
      </c>
      <c r="K53" s="4">
        <v>37587.75</v>
      </c>
      <c r="L53" s="4">
        <v>1802641</v>
      </c>
      <c r="M53" s="4">
        <v>99719.41</v>
      </c>
      <c r="N53" s="4">
        <v>0</v>
      </c>
      <c r="O53" s="4">
        <v>64560</v>
      </c>
      <c r="P53" s="4">
        <v>35547.949999999997</v>
      </c>
      <c r="Q53" s="4">
        <v>0</v>
      </c>
      <c r="R53" s="4">
        <v>22300</v>
      </c>
      <c r="S53" s="4">
        <v>0</v>
      </c>
      <c r="T53" s="4">
        <v>6500</v>
      </c>
      <c r="U53" s="4">
        <v>0</v>
      </c>
      <c r="V53" s="4">
        <v>60358.1</v>
      </c>
      <c r="W53" s="4">
        <v>286000.15000000002</v>
      </c>
      <c r="X53" s="4">
        <v>0</v>
      </c>
      <c r="Y53" s="4">
        <v>0</v>
      </c>
      <c r="Z53" s="4">
        <v>0</v>
      </c>
      <c r="AA53" s="4">
        <v>24713</v>
      </c>
      <c r="AB53" s="4">
        <v>3256</v>
      </c>
      <c r="AC53" s="4">
        <v>26841.7</v>
      </c>
      <c r="AD53" s="4">
        <v>120062.5</v>
      </c>
      <c r="AE53" s="4">
        <v>87127.35</v>
      </c>
      <c r="AF53" s="4">
        <v>69667.45</v>
      </c>
      <c r="AG53" s="4">
        <v>1500</v>
      </c>
      <c r="AH53" s="4">
        <v>28100</v>
      </c>
      <c r="AI53" s="4">
        <v>0</v>
      </c>
      <c r="AJ53" s="4">
        <v>1051.1500000000001</v>
      </c>
      <c r="AK53" s="4">
        <v>16350</v>
      </c>
      <c r="AL53" s="4">
        <v>0</v>
      </c>
      <c r="AM53" s="4">
        <v>3700</v>
      </c>
      <c r="AN53" s="4">
        <v>0</v>
      </c>
      <c r="AO53" s="4">
        <v>41758.800000000003</v>
      </c>
      <c r="AP53" s="4">
        <v>93043.1</v>
      </c>
      <c r="AQ53" s="4">
        <v>0</v>
      </c>
      <c r="AR53" s="4">
        <v>0</v>
      </c>
      <c r="AS53" s="4">
        <v>59398.05</v>
      </c>
      <c r="AT53" s="4">
        <v>0</v>
      </c>
      <c r="AU53" s="4">
        <v>10800</v>
      </c>
      <c r="AV53" s="4">
        <v>15863</v>
      </c>
      <c r="AW53" s="4">
        <v>0</v>
      </c>
      <c r="AX53" s="4">
        <v>7348.8</v>
      </c>
      <c r="AY53" s="4">
        <v>0</v>
      </c>
      <c r="AZ53" s="4">
        <v>152452.6</v>
      </c>
      <c r="BA53" s="4">
        <v>0</v>
      </c>
      <c r="BB53" s="4">
        <v>46154.879999999997</v>
      </c>
      <c r="BC53" s="4">
        <v>0</v>
      </c>
      <c r="BD53" s="4">
        <v>0</v>
      </c>
      <c r="BE53" s="4">
        <v>15500</v>
      </c>
      <c r="BF53" s="4">
        <f t="shared" si="8"/>
        <v>3674070.9800000004</v>
      </c>
      <c r="BG53" s="4">
        <f t="shared" si="9"/>
        <v>2849382.6000000006</v>
      </c>
      <c r="BH53" s="4">
        <f t="shared" si="10"/>
        <v>362319.15</v>
      </c>
      <c r="BI53" s="4">
        <f t="shared" si="11"/>
        <v>462369.23</v>
      </c>
    </row>
    <row r="54" spans="1:61" x14ac:dyDescent="0.3">
      <c r="C54">
        <v>9000</v>
      </c>
      <c r="D54" t="s">
        <v>277</v>
      </c>
      <c r="E54" s="4">
        <v>6015.15</v>
      </c>
      <c r="F54" s="4">
        <v>149441.67000000001</v>
      </c>
      <c r="G54" s="4">
        <v>-35747.06</v>
      </c>
      <c r="H54" s="4">
        <v>21653.66</v>
      </c>
      <c r="I54" s="4">
        <v>-197032.69</v>
      </c>
      <c r="J54" s="4">
        <v>643336.21</v>
      </c>
      <c r="K54" s="4">
        <v>33519.97</v>
      </c>
      <c r="L54" s="4">
        <v>-574635</v>
      </c>
      <c r="M54" s="4">
        <v>-144001.48000000001</v>
      </c>
      <c r="N54" s="4">
        <v>0</v>
      </c>
      <c r="O54" s="4">
        <v>-1449255.52</v>
      </c>
      <c r="P54" s="4">
        <v>-93731.8</v>
      </c>
      <c r="Q54" s="4">
        <v>-28876.52</v>
      </c>
      <c r="R54" s="4">
        <v>-16853.580000000002</v>
      </c>
      <c r="S54" s="4">
        <v>-13071.37</v>
      </c>
      <c r="T54" s="4">
        <v>81234.89</v>
      </c>
      <c r="U54" s="4">
        <v>-1983</v>
      </c>
      <c r="V54" s="4">
        <v>-152377.16</v>
      </c>
      <c r="W54" s="4">
        <v>8997.4500000000007</v>
      </c>
      <c r="X54" s="4">
        <v>26286</v>
      </c>
      <c r="Y54" s="4">
        <v>94732.18</v>
      </c>
      <c r="Z54" s="4">
        <v>3333844.9</v>
      </c>
      <c r="AA54" s="4">
        <v>-2729.75</v>
      </c>
      <c r="AB54" s="4">
        <v>-8071.54</v>
      </c>
      <c r="AC54" s="4">
        <v>-115009</v>
      </c>
      <c r="AD54" s="4">
        <v>-169604.71</v>
      </c>
      <c r="AE54" s="4">
        <v>-167058.57</v>
      </c>
      <c r="AF54" s="4">
        <v>27072.7</v>
      </c>
      <c r="AG54" s="4">
        <v>902636.72</v>
      </c>
      <c r="AH54" s="4">
        <v>21605</v>
      </c>
      <c r="AI54" s="4">
        <v>2281</v>
      </c>
      <c r="AJ54" s="4">
        <v>-28280.9</v>
      </c>
      <c r="AK54" s="4">
        <v>92720</v>
      </c>
      <c r="AL54" s="4">
        <v>-32824</v>
      </c>
      <c r="AM54" s="4">
        <v>-97730</v>
      </c>
      <c r="AN54" s="4">
        <v>14511.05</v>
      </c>
      <c r="AO54" s="4">
        <v>313035.14</v>
      </c>
      <c r="AP54" s="4">
        <v>197653.74</v>
      </c>
      <c r="AQ54" s="4">
        <v>39059</v>
      </c>
      <c r="AR54" s="4">
        <v>50671.79</v>
      </c>
      <c r="AS54" s="4">
        <v>8666</v>
      </c>
      <c r="AT54" s="4">
        <v>-30052.95</v>
      </c>
      <c r="AU54" s="4">
        <v>81088.7</v>
      </c>
      <c r="AV54" s="4">
        <v>-430556.03</v>
      </c>
      <c r="AW54" s="4">
        <v>-41819.89</v>
      </c>
      <c r="AX54" s="4">
        <v>10076.969999999999</v>
      </c>
      <c r="AY54" s="4">
        <v>26132.85</v>
      </c>
      <c r="AZ54" s="4">
        <v>79042.83</v>
      </c>
      <c r="BA54" s="4">
        <v>24133.4</v>
      </c>
      <c r="BB54" s="4">
        <v>-104585.94</v>
      </c>
      <c r="BC54" s="4">
        <v>-2276.58</v>
      </c>
      <c r="BD54" s="4">
        <v>189954.45</v>
      </c>
      <c r="BE54" s="4">
        <v>7796.33</v>
      </c>
      <c r="BF54" s="4">
        <f t="shared" si="8"/>
        <v>2549034.7099999995</v>
      </c>
      <c r="BG54" s="4">
        <f t="shared" si="9"/>
        <v>-1763366.1800000004</v>
      </c>
      <c r="BH54" s="4">
        <f t="shared" si="10"/>
        <v>3917704.0300000007</v>
      </c>
      <c r="BI54" s="4">
        <f t="shared" si="11"/>
        <v>394696.86000000004</v>
      </c>
    </row>
    <row r="55" spans="1:61" x14ac:dyDescent="0.3">
      <c r="C55">
        <v>9029</v>
      </c>
      <c r="D55" t="s">
        <v>281</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0</v>
      </c>
      <c r="BG55" s="4">
        <f t="shared" si="9"/>
        <v>0</v>
      </c>
      <c r="BH55" s="4">
        <f t="shared" si="10"/>
        <v>0</v>
      </c>
      <c r="BI55" s="4">
        <f t="shared" si="11"/>
        <v>0</v>
      </c>
    </row>
    <row r="56" spans="1:61" x14ac:dyDescent="0.3">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4">
      <c r="A57" s="137">
        <v>5</v>
      </c>
      <c r="B57" s="137"/>
      <c r="C57" s="137"/>
      <c r="D57" s="137" t="s">
        <v>302</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3">
      <c r="C58">
        <v>690</v>
      </c>
      <c r="D58" t="s">
        <v>647</v>
      </c>
      <c r="E58" s="4">
        <v>593862.55000000005</v>
      </c>
      <c r="F58" s="4">
        <v>5186.8500000000004</v>
      </c>
      <c r="G58" s="4">
        <v>2700857.55</v>
      </c>
      <c r="H58" s="4">
        <v>225335</v>
      </c>
      <c r="I58" s="4">
        <v>2251481</v>
      </c>
      <c r="J58" s="4">
        <v>2280577.79</v>
      </c>
      <c r="K58" s="4">
        <v>1266529.24</v>
      </c>
      <c r="L58" s="4">
        <v>10477858.529999999</v>
      </c>
      <c r="M58" s="4">
        <v>184436.45</v>
      </c>
      <c r="N58" s="4">
        <v>41267.75</v>
      </c>
      <c r="O58" s="4">
        <v>2081646.1</v>
      </c>
      <c r="P58" s="4">
        <v>175184.23</v>
      </c>
      <c r="Q58" s="4">
        <v>0</v>
      </c>
      <c r="R58" s="4">
        <v>15814</v>
      </c>
      <c r="S58" s="4">
        <v>171236.7</v>
      </c>
      <c r="T58" s="4">
        <v>217977.15</v>
      </c>
      <c r="U58" s="4">
        <v>82785</v>
      </c>
      <c r="V58" s="4">
        <v>312999.09999999998</v>
      </c>
      <c r="W58" s="4">
        <v>1022304.45</v>
      </c>
      <c r="X58" s="4">
        <v>65578.350000000006</v>
      </c>
      <c r="Y58" s="4">
        <v>128183.25</v>
      </c>
      <c r="Z58" s="4">
        <v>503623.38</v>
      </c>
      <c r="AA58" s="4">
        <v>0</v>
      </c>
      <c r="AB58" s="4">
        <v>64645.15</v>
      </c>
      <c r="AC58" s="4">
        <v>100268.8</v>
      </c>
      <c r="AD58" s="4">
        <v>144435.91</v>
      </c>
      <c r="AE58" s="4">
        <v>40403.800000000003</v>
      </c>
      <c r="AF58" s="4">
        <v>727420.4</v>
      </c>
      <c r="AG58" s="4">
        <v>678259.1</v>
      </c>
      <c r="AH58" s="4">
        <v>347396.95</v>
      </c>
      <c r="AI58" s="4">
        <v>0</v>
      </c>
      <c r="AJ58" s="4">
        <v>0</v>
      </c>
      <c r="AK58" s="4">
        <v>1969762.48</v>
      </c>
      <c r="AL58" s="4">
        <v>373870</v>
      </c>
      <c r="AM58" s="4">
        <v>293387.90000000002</v>
      </c>
      <c r="AN58" s="4">
        <v>612014</v>
      </c>
      <c r="AO58" s="4">
        <v>858933.3</v>
      </c>
      <c r="AP58" s="4">
        <v>387302.1</v>
      </c>
      <c r="AQ58" s="4">
        <v>49042.1</v>
      </c>
      <c r="AR58" s="4">
        <v>449074.2</v>
      </c>
      <c r="AS58" s="4">
        <v>71436</v>
      </c>
      <c r="AT58" s="4">
        <v>236030.35</v>
      </c>
      <c r="AU58" s="4">
        <v>290607.3</v>
      </c>
      <c r="AV58" s="4">
        <v>617598.75</v>
      </c>
      <c r="AW58" s="4">
        <v>57242.400000000001</v>
      </c>
      <c r="AX58" s="4">
        <v>0</v>
      </c>
      <c r="AY58" s="4">
        <v>0</v>
      </c>
      <c r="AZ58" s="4">
        <v>0</v>
      </c>
      <c r="BA58" s="4">
        <v>176794.95</v>
      </c>
      <c r="BB58" s="4">
        <v>374230.1</v>
      </c>
      <c r="BC58" s="4">
        <v>0</v>
      </c>
      <c r="BD58" s="4">
        <v>2976255.58</v>
      </c>
      <c r="BE58" s="4">
        <v>6219.65</v>
      </c>
      <c r="BF58" s="4">
        <f t="shared" ref="BF58" si="12">SUM(E58:BE58)</f>
        <v>36707355.689999998</v>
      </c>
      <c r="BG58" s="4">
        <f t="shared" ref="BG58" si="13">SUM(E58:W58)</f>
        <v>24107339.439999998</v>
      </c>
      <c r="BH58" s="4">
        <f t="shared" ref="BH58" si="14">SUM(X58:AJ58)</f>
        <v>2800215.0900000003</v>
      </c>
      <c r="BI58" s="4">
        <f t="shared" ref="BI58" si="15">SUM(AK58:BE58)</f>
        <v>9799801.1599999983</v>
      </c>
    </row>
    <row r="59" spans="1:61" x14ac:dyDescent="0.3">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4">
      <c r="A60" s="139">
        <v>6</v>
      </c>
      <c r="B60" s="139"/>
      <c r="C60" s="139"/>
      <c r="D60" s="139" t="s">
        <v>303</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3">
      <c r="C61">
        <v>590</v>
      </c>
      <c r="D61" t="s">
        <v>646</v>
      </c>
      <c r="E61" s="4">
        <v>0</v>
      </c>
      <c r="F61" s="4">
        <v>219058.75</v>
      </c>
      <c r="G61" s="4">
        <v>1004384.3</v>
      </c>
      <c r="H61" s="4">
        <v>299151.65000000002</v>
      </c>
      <c r="I61" s="4">
        <v>125435</v>
      </c>
      <c r="J61" s="4">
        <v>751645.2</v>
      </c>
      <c r="K61" s="4">
        <v>0</v>
      </c>
      <c r="L61" s="4">
        <v>551165</v>
      </c>
      <c r="M61" s="4">
        <v>0</v>
      </c>
      <c r="N61" s="4">
        <v>0</v>
      </c>
      <c r="O61" s="4">
        <v>301809.8</v>
      </c>
      <c r="P61" s="4">
        <v>144165</v>
      </c>
      <c r="Q61" s="4">
        <v>0</v>
      </c>
      <c r="R61" s="4">
        <v>0</v>
      </c>
      <c r="S61" s="4">
        <v>0</v>
      </c>
      <c r="T61" s="4">
        <v>0</v>
      </c>
      <c r="U61" s="4">
        <v>16988</v>
      </c>
      <c r="V61" s="4">
        <v>217980.51</v>
      </c>
      <c r="W61" s="4">
        <v>698023</v>
      </c>
      <c r="X61" s="4">
        <v>0</v>
      </c>
      <c r="Y61" s="4">
        <v>1165367.05</v>
      </c>
      <c r="Z61" s="4">
        <v>0</v>
      </c>
      <c r="AA61" s="4">
        <v>0</v>
      </c>
      <c r="AB61" s="4">
        <v>154625</v>
      </c>
      <c r="AC61" s="4">
        <v>7475</v>
      </c>
      <c r="AD61" s="4">
        <v>27972.93</v>
      </c>
      <c r="AE61" s="4">
        <v>0</v>
      </c>
      <c r="AF61" s="4">
        <v>471042</v>
      </c>
      <c r="AG61" s="4">
        <v>275505.7</v>
      </c>
      <c r="AH61" s="4">
        <v>514990.01</v>
      </c>
      <c r="AI61" s="4">
        <v>0</v>
      </c>
      <c r="AJ61" s="4">
        <v>0</v>
      </c>
      <c r="AK61" s="4">
        <v>0</v>
      </c>
      <c r="AL61" s="4">
        <v>0</v>
      </c>
      <c r="AM61" s="4">
        <v>58854.55</v>
      </c>
      <c r="AN61" s="4">
        <v>49260</v>
      </c>
      <c r="AO61" s="4">
        <v>5797</v>
      </c>
      <c r="AP61" s="4">
        <v>200300</v>
      </c>
      <c r="AQ61" s="4">
        <v>9656</v>
      </c>
      <c r="AR61" s="4">
        <v>76707.75</v>
      </c>
      <c r="AS61" s="4">
        <v>53516</v>
      </c>
      <c r="AT61" s="4">
        <v>141767.04999999999</v>
      </c>
      <c r="AU61" s="4">
        <v>98690</v>
      </c>
      <c r="AV61" s="4">
        <v>4462.55</v>
      </c>
      <c r="AW61" s="4">
        <v>8708</v>
      </c>
      <c r="AX61" s="4">
        <v>0</v>
      </c>
      <c r="AY61" s="4">
        <v>0</v>
      </c>
      <c r="AZ61" s="4">
        <v>0</v>
      </c>
      <c r="BA61" s="4">
        <v>65550</v>
      </c>
      <c r="BB61" s="4">
        <v>24304.35</v>
      </c>
      <c r="BC61" s="4">
        <v>0</v>
      </c>
      <c r="BD61" s="4">
        <v>3253507.1</v>
      </c>
      <c r="BE61" s="4">
        <v>0</v>
      </c>
      <c r="BF61" s="4">
        <f t="shared" ref="BF61" si="16">SUM(E61:BE61)</f>
        <v>10997864.249999998</v>
      </c>
      <c r="BG61" s="4">
        <f t="shared" ref="BG61" si="17">SUM(E61:W61)</f>
        <v>4329806.21</v>
      </c>
      <c r="BH61" s="4">
        <f t="shared" ref="BH61" si="18">SUM(X61:AJ61)</f>
        <v>2616977.6900000004</v>
      </c>
      <c r="BI61" s="4">
        <f t="shared" ref="BI61" si="19">SUM(AK61:BE61)</f>
        <v>4051080.35</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E12"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8" spans="1:60" ht="18" x14ac:dyDescent="0.35">
      <c r="A8" s="220" t="s">
        <v>505</v>
      </c>
      <c r="B8" s="220"/>
      <c r="C8" s="220"/>
      <c r="D8" s="220"/>
    </row>
    <row r="10" spans="1:60" x14ac:dyDescent="0.3">
      <c r="A10" s="7" t="s">
        <v>506</v>
      </c>
      <c r="B10" s="110"/>
      <c r="C10" s="65" t="s">
        <v>507</v>
      </c>
      <c r="D10" s="65" t="s">
        <v>508</v>
      </c>
      <c r="E10" s="57">
        <f>'4.1 Comptes 2020 natures'!E2</f>
        <v>923</v>
      </c>
      <c r="F10" s="57">
        <f>'4.1 Comptes 2020 natures'!F2</f>
        <v>270</v>
      </c>
      <c r="G10" s="57">
        <f>'4.1 Comptes 2020 natures'!G2</f>
        <v>485</v>
      </c>
      <c r="H10" s="57">
        <f>'4.1 Comptes 2020 natures'!H2</f>
        <v>446</v>
      </c>
      <c r="I10" s="57">
        <f>'4.1 Comptes 2020 natures'!I2</f>
        <v>3631</v>
      </c>
      <c r="J10" s="57">
        <f>'4.1 Comptes 2020 natures'!J2</f>
        <v>3313</v>
      </c>
      <c r="K10" s="57">
        <f>'4.1 Comptes 2020 natures'!K2</f>
        <v>2644</v>
      </c>
      <c r="L10" s="57">
        <f>'4.1 Comptes 2020 natures'!L2</f>
        <v>12618</v>
      </c>
      <c r="M10" s="57">
        <f>'4.1 Comptes 2020 natures'!M2</f>
        <v>1371</v>
      </c>
      <c r="N10" s="57">
        <f>'4.1 Comptes 2020 natures'!N2</f>
        <v>118</v>
      </c>
      <c r="O10" s="57">
        <f>'4.1 Comptes 2020 natures'!O2</f>
        <v>7167</v>
      </c>
      <c r="P10" s="57">
        <f>'4.1 Comptes 2020 natures'!P2</f>
        <v>528</v>
      </c>
      <c r="Q10" s="57">
        <f>'4.1 Comptes 2020 natures'!Q2</f>
        <v>108</v>
      </c>
      <c r="R10" s="57">
        <f>'4.1 Comptes 2020 natures'!R2</f>
        <v>415</v>
      </c>
      <c r="S10" s="57">
        <f>'4.1 Comptes 2020 natures'!S2</f>
        <v>349</v>
      </c>
      <c r="T10" s="57">
        <f>'4.1 Comptes 2020 natures'!T2</f>
        <v>687</v>
      </c>
      <c r="U10" s="57">
        <f>'4.1 Comptes 2020 natures'!U2</f>
        <v>255</v>
      </c>
      <c r="V10" s="57">
        <f>'4.1 Comptes 2020 natures'!V2</f>
        <v>436</v>
      </c>
      <c r="W10" s="57">
        <f>'4.1 Comptes 2020 natures'!W2</f>
        <v>3190</v>
      </c>
      <c r="X10" s="57">
        <f>'4.1 Comptes 2020 natures'!X2</f>
        <v>324</v>
      </c>
      <c r="Y10" s="57">
        <f>'4.1 Comptes 2020 natures'!Y2</f>
        <v>1246</v>
      </c>
      <c r="Z10" s="57">
        <f>'4.1 Comptes 2020 natures'!Z2</f>
        <v>1528</v>
      </c>
      <c r="AA10" s="57">
        <f>'4.1 Comptes 2020 natures'!AA2</f>
        <v>96</v>
      </c>
      <c r="AB10" s="57">
        <f>'4.1 Comptes 2020 natures'!AB2</f>
        <v>149</v>
      </c>
      <c r="AC10" s="57">
        <f>'4.1 Comptes 2020 natures'!AC2</f>
        <v>516</v>
      </c>
      <c r="AD10" s="57">
        <f>'4.1 Comptes 2020 natures'!AD2</f>
        <v>671</v>
      </c>
      <c r="AE10" s="57">
        <f>'4.1 Comptes 2020 natures'!AE2</f>
        <v>572</v>
      </c>
      <c r="AF10" s="57">
        <f>'4.1 Comptes 2020 natures'!AF2</f>
        <v>490</v>
      </c>
      <c r="AG10" s="57">
        <f>'4.1 Comptes 2020 natures'!AG2</f>
        <v>1914</v>
      </c>
      <c r="AH10" s="57">
        <f>'4.1 Comptes 2020 natures'!AH2</f>
        <v>2615</v>
      </c>
      <c r="AI10" s="57">
        <f>'4.1 Comptes 2020 natures'!AI2</f>
        <v>227</v>
      </c>
      <c r="AJ10" s="57">
        <f>'4.1 Comptes 2020 natures'!AJ2</f>
        <v>131</v>
      </c>
      <c r="AK10" s="57">
        <f>'4.1 Comptes 2020 natures'!AK2</f>
        <v>1895</v>
      </c>
      <c r="AL10" s="57">
        <f>'4.1 Comptes 2020 natures'!AL2</f>
        <v>1135</v>
      </c>
      <c r="AM10" s="57">
        <f>'4.1 Comptes 2020 natures'!AM2</f>
        <v>1241</v>
      </c>
      <c r="AN10" s="57">
        <f>'4.1 Comptes 2020 natures'!AN2</f>
        <v>119</v>
      </c>
      <c r="AO10" s="57">
        <f>'4.1 Comptes 2020 natures'!AO2</f>
        <v>1195</v>
      </c>
      <c r="AP10" s="57">
        <f>'4.1 Comptes 2020 natures'!AP2</f>
        <v>663</v>
      </c>
      <c r="AQ10" s="57">
        <f>'4.1 Comptes 2020 natures'!AQ2</f>
        <v>645</v>
      </c>
      <c r="AR10" s="57">
        <f>'4.1 Comptes 2020 natures'!AR2</f>
        <v>1263</v>
      </c>
      <c r="AS10" s="57">
        <f>'4.1 Comptes 2020 natures'!AS2</f>
        <v>740</v>
      </c>
      <c r="AT10" s="57">
        <f>'4.1 Comptes 2020 natures'!AT2</f>
        <v>1028</v>
      </c>
      <c r="AU10" s="57">
        <f>'4.1 Comptes 2020 natures'!AU2</f>
        <v>314</v>
      </c>
      <c r="AV10" s="57">
        <f>'4.1 Comptes 2020 natures'!AV2</f>
        <v>2400</v>
      </c>
      <c r="AW10" s="57">
        <f>'4.1 Comptes 2020 natures'!AW2</f>
        <v>755</v>
      </c>
      <c r="AX10" s="57">
        <f>'4.1 Comptes 2020 natures'!AX2</f>
        <v>181</v>
      </c>
      <c r="AY10" s="57">
        <f>'4.1 Comptes 2020 natures'!AY2</f>
        <v>347</v>
      </c>
      <c r="AZ10" s="57">
        <f>'4.1 Comptes 2020 natures'!AZ2</f>
        <v>1690</v>
      </c>
      <c r="BA10" s="57">
        <f>'4.1 Comptes 2020 natures'!BA2</f>
        <v>387</v>
      </c>
      <c r="BB10" s="57">
        <f>'4.1 Comptes 2020 natures'!BB2</f>
        <v>1096</v>
      </c>
      <c r="BC10" s="57">
        <f>'4.1 Comptes 2020 natures'!BC2</f>
        <v>188</v>
      </c>
      <c r="BD10" s="57">
        <f>'4.1 Comptes 2020 natures'!BD2</f>
        <v>6434</v>
      </c>
      <c r="BE10" s="57">
        <f>'4.1 Comptes 2020 natures'!BE2</f>
        <v>560</v>
      </c>
      <c r="BF10" s="57">
        <f>'4.1 Comptes 2020 natures'!BG2</f>
        <v>38954</v>
      </c>
      <c r="BG10" s="57">
        <f>'4.1 Comptes 2020 natures'!BH2</f>
        <v>10479</v>
      </c>
      <c r="BH10" s="57">
        <f>'4.1 Comptes 2020 natures'!BI2</f>
        <v>24276</v>
      </c>
    </row>
    <row r="11" spans="1:60" x14ac:dyDescent="0.3">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3">
      <c r="A12" s="111" t="s">
        <v>259</v>
      </c>
      <c r="B12" s="112" t="s">
        <v>231</v>
      </c>
      <c r="C12" s="111">
        <v>20</v>
      </c>
      <c r="D12" s="113">
        <f>'Base de données indicateurs1'!BF8</f>
        <v>571106199.83999968</v>
      </c>
      <c r="E12" s="4">
        <f>'Base de données indicateurs1'!E8</f>
        <v>7710885.7000000002</v>
      </c>
      <c r="F12" s="4">
        <f>'Base de données indicateurs1'!F8</f>
        <v>1661251.45</v>
      </c>
      <c r="G12" s="4">
        <f>'Base de données indicateurs1'!G8</f>
        <v>6404558.5199999996</v>
      </c>
      <c r="H12" s="4">
        <f>'Base de données indicateurs1'!H8</f>
        <v>4613400.9400000004</v>
      </c>
      <c r="I12" s="4">
        <f>'Base de données indicateurs1'!I8</f>
        <v>26343468</v>
      </c>
      <c r="J12" s="4">
        <f>'Base de données indicateurs1'!J8</f>
        <v>21137174.780000001</v>
      </c>
      <c r="K12" s="4">
        <f>'Base de données indicateurs1'!K8</f>
        <v>11484688.109999999</v>
      </c>
      <c r="L12" s="4">
        <f>'Base de données indicateurs1'!L8</f>
        <v>125557688.95</v>
      </c>
      <c r="M12" s="4">
        <f>'Base de données indicateurs1'!M8</f>
        <v>5868070.6299999999</v>
      </c>
      <c r="N12" s="4">
        <f>'Base de données indicateurs1'!N8</f>
        <v>0</v>
      </c>
      <c r="O12" s="4">
        <f>'Base de données indicateurs1'!O8</f>
        <v>39464606.920000002</v>
      </c>
      <c r="P12" s="4">
        <f>'Base de données indicateurs1'!P8</f>
        <v>3674228.88</v>
      </c>
      <c r="Q12" s="4">
        <f>'Base de données indicateurs1'!Q8</f>
        <v>585366.75</v>
      </c>
      <c r="R12" s="4">
        <f>'Base de données indicateurs1'!R8</f>
        <v>3329882.66</v>
      </c>
      <c r="S12" s="4">
        <f>'Base de données indicateurs1'!S8</f>
        <v>4328768.28</v>
      </c>
      <c r="T12" s="4">
        <f>'Base de données indicateurs1'!T8</f>
        <v>5790676.8899999997</v>
      </c>
      <c r="U12" s="4">
        <f>'Base de données indicateurs1'!U8</f>
        <v>1064577.6299999999</v>
      </c>
      <c r="V12" s="4">
        <f>'Base de données indicateurs1'!V8</f>
        <v>2952271.95</v>
      </c>
      <c r="W12" s="4">
        <f>'Base de données indicateurs1'!W8</f>
        <v>16108731.58</v>
      </c>
      <c r="X12" s="4">
        <f>'Base de données indicateurs1'!X8</f>
        <v>701824</v>
      </c>
      <c r="Y12" s="4">
        <f>'Base de données indicateurs1'!Y8</f>
        <v>12393883.23</v>
      </c>
      <c r="Z12" s="4">
        <f>'Base de données indicateurs1'!Z8</f>
        <v>13352559.84</v>
      </c>
      <c r="AA12" s="4">
        <f>'Base de données indicateurs1'!AA8</f>
        <v>650530</v>
      </c>
      <c r="AB12" s="4">
        <f>'Base de données indicateurs1'!AB8</f>
        <v>1324155.57</v>
      </c>
      <c r="AC12" s="4">
        <f>'Base de données indicateurs1'!AC8</f>
        <v>3262180.61</v>
      </c>
      <c r="AD12" s="4">
        <f>'Base de données indicateurs1'!AD8</f>
        <v>7901506.1299999999</v>
      </c>
      <c r="AE12" s="4">
        <f>'Base de données indicateurs1'!AE8</f>
        <v>4184157.13</v>
      </c>
      <c r="AF12" s="4">
        <f>'Base de données indicateurs1'!AF8</f>
        <v>1835141.4</v>
      </c>
      <c r="AG12" s="4">
        <f>'Base de données indicateurs1'!AG8</f>
        <v>7913147.3899999997</v>
      </c>
      <c r="AH12" s="4">
        <f>'Base de données indicateurs1'!AH8</f>
        <v>21041584</v>
      </c>
      <c r="AI12" s="4">
        <f>'Base de données indicateurs1'!AI8</f>
        <v>1029453</v>
      </c>
      <c r="AJ12" s="4">
        <f>'Base de données indicateurs1'!AJ8</f>
        <v>737274</v>
      </c>
      <c r="AK12" s="4">
        <f>'Base de données indicateurs1'!AK8</f>
        <v>17215810.02</v>
      </c>
      <c r="AL12" s="4">
        <f>'Base de données indicateurs1'!AL8</f>
        <v>16414</v>
      </c>
      <c r="AM12" s="4">
        <f>'Base de données indicateurs1'!AM8</f>
        <v>11723916.060000001</v>
      </c>
      <c r="AN12" s="4">
        <f>'Base de données indicateurs1'!AN8</f>
        <v>11500</v>
      </c>
      <c r="AO12" s="4">
        <f>'Base de données indicateurs1'!AO8</f>
        <v>11108782.970000001</v>
      </c>
      <c r="AP12" s="4">
        <f>'Base de données indicateurs1'!AP8</f>
        <v>5180403.1399999997</v>
      </c>
      <c r="AQ12" s="4">
        <f>'Base de données indicateurs1'!AQ8</f>
        <v>4581586</v>
      </c>
      <c r="AR12" s="4">
        <f>'Base de données indicateurs1'!AR8</f>
        <v>9798705.8300000001</v>
      </c>
      <c r="AS12" s="4">
        <f>'Base de données indicateurs1'!AS8</f>
        <v>5672676.1900000004</v>
      </c>
      <c r="AT12" s="4">
        <f>'Base de données indicateurs1'!AT8</f>
        <v>8438512.1400000006</v>
      </c>
      <c r="AU12" s="4">
        <f>'Base de données indicateurs1'!AU8</f>
        <v>2009618.65</v>
      </c>
      <c r="AV12" s="4">
        <f>'Base de données indicateurs1'!AV8</f>
        <v>14597972.57</v>
      </c>
      <c r="AW12" s="4">
        <f>'Base de données indicateurs1'!AW8</f>
        <v>6019600.25</v>
      </c>
      <c r="AX12" s="4">
        <f>'Base de données indicateurs1'!AX8</f>
        <v>982153.85</v>
      </c>
      <c r="AY12" s="4">
        <f>'Base de données indicateurs1'!AY8</f>
        <v>2091959</v>
      </c>
      <c r="AZ12" s="4">
        <f>'Base de données indicateurs1'!AZ8</f>
        <v>21006891.079999998</v>
      </c>
      <c r="BA12" s="4">
        <f>'Base de données indicateurs1'!BA8</f>
        <v>1270560.3899999999</v>
      </c>
      <c r="BB12" s="4">
        <f>'Base de données indicateurs1'!BB8</f>
        <v>10609246.140000001</v>
      </c>
      <c r="BC12" s="4">
        <f>'Base de données indicateurs1'!BC8</f>
        <v>295678.96000000002</v>
      </c>
      <c r="BD12" s="4">
        <f>'Base de données indicateurs1'!BD8</f>
        <v>69341997.879999995</v>
      </c>
      <c r="BE12" s="4">
        <f>'Base de données indicateurs1'!BE8</f>
        <v>4724519.8</v>
      </c>
      <c r="BF12" s="4">
        <f>SUM(E12:W12)</f>
        <v>288080298.61999995</v>
      </c>
      <c r="BG12" s="4">
        <f>SUM(X12:AJ12)</f>
        <v>76327396.300000012</v>
      </c>
      <c r="BH12" s="4">
        <f>SUM(AK12:BE12)</f>
        <v>206698504.91999999</v>
      </c>
    </row>
    <row r="13" spans="1:60" x14ac:dyDescent="0.3">
      <c r="A13" s="114" t="s">
        <v>247</v>
      </c>
      <c r="B13" s="115" t="s">
        <v>232</v>
      </c>
      <c r="C13" s="114">
        <v>10</v>
      </c>
      <c r="D13" s="116">
        <f>'Base de données indicateurs1'!BF5</f>
        <v>323165740.7100001</v>
      </c>
      <c r="E13" s="4">
        <f>'Base de données indicateurs1'!E5</f>
        <v>5729343.4000000004</v>
      </c>
      <c r="F13" s="4">
        <f>'Base de données indicateurs1'!F5</f>
        <v>1313751.3999999999</v>
      </c>
      <c r="G13" s="4">
        <f>'Base de données indicateurs1'!G5</f>
        <v>4291473.13</v>
      </c>
      <c r="H13" s="4">
        <f>'Base de données indicateurs1'!H5</f>
        <v>4279580.0599999996</v>
      </c>
      <c r="I13" s="4">
        <f>'Base de données indicateurs1'!I5</f>
        <v>15173301</v>
      </c>
      <c r="J13" s="4">
        <f>'Base de données indicateurs1'!J5</f>
        <v>8024691.8499999996</v>
      </c>
      <c r="K13" s="4">
        <f>'Base de données indicateurs1'!K5</f>
        <v>10459838.140000001</v>
      </c>
      <c r="L13" s="4">
        <f>'Base de données indicateurs1'!L5</f>
        <v>55034877.579999998</v>
      </c>
      <c r="M13" s="4">
        <f>'Base de données indicateurs1'!M5</f>
        <v>3743166.68</v>
      </c>
      <c r="N13" s="4">
        <f>'Base de données indicateurs1'!N5</f>
        <v>0</v>
      </c>
      <c r="O13" s="4">
        <f>'Base de données indicateurs1'!O5</f>
        <v>17870825.219999999</v>
      </c>
      <c r="P13" s="4">
        <f>'Base de données indicateurs1'!P5</f>
        <v>2306934.9900000002</v>
      </c>
      <c r="Q13" s="4">
        <f>'Base de données indicateurs1'!Q5</f>
        <v>340332.25</v>
      </c>
      <c r="R13" s="4">
        <f>'Base de données indicateurs1'!R5</f>
        <v>1454384.04</v>
      </c>
      <c r="S13" s="4">
        <f>'Base de données indicateurs1'!S5</f>
        <v>2174540.65</v>
      </c>
      <c r="T13" s="4">
        <f>'Base de données indicateurs1'!T5</f>
        <v>5578034.3600000003</v>
      </c>
      <c r="U13" s="4">
        <f>'Base de données indicateurs1'!U5</f>
        <v>771790.42</v>
      </c>
      <c r="V13" s="4">
        <f>'Base de données indicateurs1'!V5</f>
        <v>2513060.25</v>
      </c>
      <c r="W13" s="4">
        <f>'Base de données indicateurs1'!W5</f>
        <v>5690503.7400000002</v>
      </c>
      <c r="X13" s="4">
        <f>'Base de données indicateurs1'!X5</f>
        <v>1782334</v>
      </c>
      <c r="Y13" s="4">
        <f>'Base de données indicateurs1'!Y5</f>
        <v>4607305.3099999996</v>
      </c>
      <c r="Z13" s="4">
        <f>'Base de données indicateurs1'!Z5</f>
        <v>22337836.73</v>
      </c>
      <c r="AA13" s="4">
        <f>'Base de données indicateurs1'!AA5</f>
        <v>514539</v>
      </c>
      <c r="AB13" s="4">
        <f>'Base de données indicateurs1'!AB5</f>
        <v>1164911.31</v>
      </c>
      <c r="AC13" s="4">
        <f>'Base de données indicateurs1'!AC5</f>
        <v>3000469.46</v>
      </c>
      <c r="AD13" s="4">
        <f>'Base de données indicateurs1'!AD5</f>
        <v>1298160.8999999999</v>
      </c>
      <c r="AE13" s="4">
        <f>'Base de données indicateurs1'!AE5</f>
        <v>2898436.1</v>
      </c>
      <c r="AF13" s="4">
        <f>'Base de données indicateurs1'!AF5</f>
        <v>4936104.3499999996</v>
      </c>
      <c r="AG13" s="4">
        <f>'Base de données indicateurs1'!AG5</f>
        <v>8990815.1799999997</v>
      </c>
      <c r="AH13" s="4">
        <f>'Base de données indicateurs1'!AH5</f>
        <v>10854437</v>
      </c>
      <c r="AI13" s="4">
        <f>'Base de données indicateurs1'!AI5</f>
        <v>907440</v>
      </c>
      <c r="AJ13" s="4">
        <f>'Base de données indicateurs1'!AJ5</f>
        <v>1868313.05</v>
      </c>
      <c r="AK13" s="4">
        <f>'Base de données indicateurs1'!AK5</f>
        <v>5849957.46</v>
      </c>
      <c r="AL13" s="4">
        <f>'Base de données indicateurs1'!AL5</f>
        <v>3398783</v>
      </c>
      <c r="AM13" s="4">
        <f>'Base de données indicateurs1'!AM5</f>
        <v>4876876.1100000003</v>
      </c>
      <c r="AN13" s="4">
        <f>'Base de données indicateurs1'!AN5</f>
        <v>529407.81999999995</v>
      </c>
      <c r="AO13" s="4">
        <f>'Base de données indicateurs1'!AO5</f>
        <v>14951876</v>
      </c>
      <c r="AP13" s="4">
        <f>'Base de données indicateurs1'!AP5</f>
        <v>3720554.4</v>
      </c>
      <c r="AQ13" s="4">
        <f>'Base de données indicateurs1'!AQ5</f>
        <v>3653484</v>
      </c>
      <c r="AR13" s="4">
        <f>'Base de données indicateurs1'!AR5</f>
        <v>11819557.02</v>
      </c>
      <c r="AS13" s="4">
        <f>'Base de données indicateurs1'!AS5</f>
        <v>2533324.2999999998</v>
      </c>
      <c r="AT13" s="4">
        <f>'Base de données indicateurs1'!AT5</f>
        <v>3348405.97</v>
      </c>
      <c r="AU13" s="4">
        <f>'Base de données indicateurs1'!AU5</f>
        <v>3818782.68</v>
      </c>
      <c r="AV13" s="4">
        <f>'Base de données indicateurs1'!AV5</f>
        <v>4797496.66</v>
      </c>
      <c r="AW13" s="4">
        <f>'Base de données indicateurs1'!AW5</f>
        <v>3077294.98</v>
      </c>
      <c r="AX13" s="4">
        <f>'Base de données indicateurs1'!AX5</f>
        <v>678851.45</v>
      </c>
      <c r="AY13" s="4">
        <f>'Base de données indicateurs1'!AY5</f>
        <v>2029594.24</v>
      </c>
      <c r="AZ13" s="4">
        <f>'Base de données indicateurs1'!AZ5</f>
        <v>4272308.3099999996</v>
      </c>
      <c r="BA13" s="4">
        <f>'Base de données indicateurs1'!BA5</f>
        <v>1690939.23</v>
      </c>
      <c r="BB13" s="4">
        <f>'Base de données indicateurs1'!BB5</f>
        <v>4279723.32</v>
      </c>
      <c r="BC13" s="4">
        <f>'Base de données indicateurs1'!BC5</f>
        <v>866229.02</v>
      </c>
      <c r="BD13" s="4">
        <f>'Base de données indicateurs1'!BD5</f>
        <v>28478770</v>
      </c>
      <c r="BE13" s="4">
        <f>'Base de données indicateurs1'!BE5</f>
        <v>2581993.19</v>
      </c>
      <c r="BF13" s="4">
        <f t="shared" ref="BF13:BF46" si="0">SUM(E13:W13)</f>
        <v>146750429.16000003</v>
      </c>
      <c r="BG13" s="4">
        <f t="shared" ref="BG13:BG46" si="1">SUM(X13:AJ13)</f>
        <v>65161102.390000001</v>
      </c>
      <c r="BH13" s="4">
        <f t="shared" ref="BH13:BH46" si="2">SUM(AK13:BE13)</f>
        <v>111254209.16000001</v>
      </c>
    </row>
    <row r="14" spans="1:60" ht="15" thickBot="1" x14ac:dyDescent="0.35">
      <c r="A14" s="117"/>
      <c r="B14" s="118"/>
      <c r="C14" s="117"/>
      <c r="D14" s="119"/>
      <c r="BF14" s="4"/>
      <c r="BG14" s="4"/>
      <c r="BH14" s="4"/>
    </row>
    <row r="15" spans="1:60" ht="15" thickBot="1" x14ac:dyDescent="0.35">
      <c r="A15" s="7" t="s">
        <v>509</v>
      </c>
      <c r="B15" s="64"/>
      <c r="C15" s="7"/>
      <c r="D15" s="120">
        <f>D12-D13</f>
        <v>247940459.12999958</v>
      </c>
      <c r="E15" s="4">
        <f>E12-E13</f>
        <v>1981542.2999999998</v>
      </c>
      <c r="F15" s="4">
        <f t="shared" ref="F15:BE15" si="3">F12-F13</f>
        <v>347500.05000000005</v>
      </c>
      <c r="G15" s="4">
        <f t="shared" si="3"/>
        <v>2113085.3899999997</v>
      </c>
      <c r="H15" s="4">
        <f t="shared" si="3"/>
        <v>333820.88000000082</v>
      </c>
      <c r="I15" s="4">
        <f t="shared" si="3"/>
        <v>11170167</v>
      </c>
      <c r="J15" s="4">
        <f t="shared" si="3"/>
        <v>13112482.930000002</v>
      </c>
      <c r="K15" s="4">
        <f t="shared" si="3"/>
        <v>1024849.9699999988</v>
      </c>
      <c r="L15" s="4">
        <f t="shared" si="3"/>
        <v>70522811.370000005</v>
      </c>
      <c r="M15" s="4">
        <f t="shared" si="3"/>
        <v>2124903.9499999997</v>
      </c>
      <c r="N15" s="4">
        <f t="shared" si="3"/>
        <v>0</v>
      </c>
      <c r="O15" s="4">
        <f t="shared" si="3"/>
        <v>21593781.700000003</v>
      </c>
      <c r="P15" s="4">
        <f t="shared" si="3"/>
        <v>1367293.8899999997</v>
      </c>
      <c r="Q15" s="4">
        <f t="shared" si="3"/>
        <v>245034.5</v>
      </c>
      <c r="R15" s="4">
        <f t="shared" si="3"/>
        <v>1875498.62</v>
      </c>
      <c r="S15" s="4">
        <f t="shared" si="3"/>
        <v>2154227.6300000004</v>
      </c>
      <c r="T15" s="4">
        <f t="shared" si="3"/>
        <v>212642.52999999933</v>
      </c>
      <c r="U15" s="4">
        <f t="shared" si="3"/>
        <v>292787.20999999985</v>
      </c>
      <c r="V15" s="4">
        <f t="shared" si="3"/>
        <v>439211.70000000019</v>
      </c>
      <c r="W15" s="4">
        <f t="shared" si="3"/>
        <v>10418227.84</v>
      </c>
      <c r="X15" s="4">
        <f t="shared" si="3"/>
        <v>-1080510</v>
      </c>
      <c r="Y15" s="4">
        <f t="shared" si="3"/>
        <v>7786577.9200000009</v>
      </c>
      <c r="Z15" s="4">
        <f t="shared" si="3"/>
        <v>-8985276.8900000006</v>
      </c>
      <c r="AA15" s="4">
        <f t="shared" si="3"/>
        <v>135991</v>
      </c>
      <c r="AB15" s="4">
        <f t="shared" si="3"/>
        <v>159244.26</v>
      </c>
      <c r="AC15" s="4">
        <f t="shared" si="3"/>
        <v>261711.14999999991</v>
      </c>
      <c r="AD15" s="4">
        <f t="shared" si="3"/>
        <v>6603345.2300000004</v>
      </c>
      <c r="AE15" s="4">
        <f t="shared" si="3"/>
        <v>1285721.0299999998</v>
      </c>
      <c r="AF15" s="4">
        <f t="shared" si="3"/>
        <v>-3100962.9499999997</v>
      </c>
      <c r="AG15" s="4">
        <f t="shared" si="3"/>
        <v>-1077667.79</v>
      </c>
      <c r="AH15" s="4">
        <f t="shared" si="3"/>
        <v>10187147</v>
      </c>
      <c r="AI15" s="4">
        <f t="shared" si="3"/>
        <v>122013</v>
      </c>
      <c r="AJ15" s="4">
        <f t="shared" si="3"/>
        <v>-1131039.05</v>
      </c>
      <c r="AK15" s="4">
        <f t="shared" si="3"/>
        <v>11365852.559999999</v>
      </c>
      <c r="AL15" s="4">
        <f t="shared" si="3"/>
        <v>-3382369</v>
      </c>
      <c r="AM15" s="4">
        <f t="shared" si="3"/>
        <v>6847039.9500000002</v>
      </c>
      <c r="AN15" s="4">
        <f t="shared" si="3"/>
        <v>-517907.81999999995</v>
      </c>
      <c r="AO15" s="4">
        <f t="shared" si="3"/>
        <v>-3843093.0299999993</v>
      </c>
      <c r="AP15" s="4">
        <f t="shared" si="3"/>
        <v>1459848.7399999998</v>
      </c>
      <c r="AQ15" s="4">
        <f t="shared" si="3"/>
        <v>928102</v>
      </c>
      <c r="AR15" s="4">
        <f t="shared" si="3"/>
        <v>-2020851.1899999995</v>
      </c>
      <c r="AS15" s="4">
        <f t="shared" si="3"/>
        <v>3139351.8900000006</v>
      </c>
      <c r="AT15" s="4">
        <f t="shared" si="3"/>
        <v>5090106.17</v>
      </c>
      <c r="AU15" s="4">
        <f t="shared" si="3"/>
        <v>-1809164.0300000003</v>
      </c>
      <c r="AV15" s="4">
        <f t="shared" si="3"/>
        <v>9800475.9100000001</v>
      </c>
      <c r="AW15" s="4">
        <f t="shared" si="3"/>
        <v>2942305.27</v>
      </c>
      <c r="AX15" s="4">
        <f t="shared" si="3"/>
        <v>303302.40000000002</v>
      </c>
      <c r="AY15" s="4">
        <f t="shared" si="3"/>
        <v>62364.760000000009</v>
      </c>
      <c r="AZ15" s="4">
        <f t="shared" si="3"/>
        <v>16734582.77</v>
      </c>
      <c r="BA15" s="4">
        <f t="shared" si="3"/>
        <v>-420378.84000000008</v>
      </c>
      <c r="BB15" s="4">
        <f t="shared" si="3"/>
        <v>6329522.8200000003</v>
      </c>
      <c r="BC15" s="4">
        <f t="shared" si="3"/>
        <v>-570550.06000000006</v>
      </c>
      <c r="BD15" s="4">
        <f t="shared" si="3"/>
        <v>40863227.879999995</v>
      </c>
      <c r="BE15" s="4">
        <f t="shared" si="3"/>
        <v>2142526.61</v>
      </c>
      <c r="BF15" s="4">
        <f t="shared" si="0"/>
        <v>141329869.46000001</v>
      </c>
      <c r="BG15" s="4">
        <f t="shared" si="1"/>
        <v>11166293.91</v>
      </c>
      <c r="BH15" s="4">
        <f t="shared" si="2"/>
        <v>95444295.759999976</v>
      </c>
    </row>
    <row r="16" spans="1:60" x14ac:dyDescent="0.3">
      <c r="B16" s="121"/>
      <c r="D16" s="4"/>
      <c r="BF16" s="4"/>
      <c r="BG16" s="4"/>
      <c r="BH16" s="4"/>
    </row>
    <row r="17" spans="1:60" x14ac:dyDescent="0.3">
      <c r="A17" s="111" t="s">
        <v>285</v>
      </c>
      <c r="B17" s="112" t="s">
        <v>231</v>
      </c>
      <c r="C17" s="111">
        <v>400</v>
      </c>
      <c r="D17" s="113">
        <f>'Base de données indicateurs1'!BF38</f>
        <v>164946900.33999997</v>
      </c>
      <c r="E17" s="4">
        <f>'Base de données indicateurs1'!E38</f>
        <v>2399050.6</v>
      </c>
      <c r="F17" s="4">
        <f>'Base de données indicateurs1'!F38</f>
        <v>537011.25</v>
      </c>
      <c r="G17" s="4">
        <f>'Base de données indicateurs1'!G38</f>
        <v>955512.5</v>
      </c>
      <c r="H17" s="4">
        <f>'Base de données indicateurs1'!H38</f>
        <v>877308.4</v>
      </c>
      <c r="I17" s="4">
        <f>'Base de données indicateurs1'!I38</f>
        <v>6506383</v>
      </c>
      <c r="J17" s="4">
        <f>'Base de données indicateurs1'!J38</f>
        <v>7933663.8499999996</v>
      </c>
      <c r="K17" s="4">
        <f>'Base de données indicateurs1'!K38</f>
        <v>5544167.2999999998</v>
      </c>
      <c r="L17" s="4">
        <f>'Base de données indicateurs1'!L38</f>
        <v>28553161.5</v>
      </c>
      <c r="M17" s="4">
        <f>'Base de données indicateurs1'!M38</f>
        <v>2748752.09</v>
      </c>
      <c r="N17" s="4">
        <f>'Base de données indicateurs1'!N38</f>
        <v>0</v>
      </c>
      <c r="O17" s="4">
        <f>'Base de données indicateurs1'!O38</f>
        <v>13756608</v>
      </c>
      <c r="P17" s="4">
        <f>'Base de données indicateurs1'!P38</f>
        <v>1011339.5</v>
      </c>
      <c r="Q17" s="4">
        <f>'Base de données indicateurs1'!Q38</f>
        <v>180720.2</v>
      </c>
      <c r="R17" s="4">
        <f>'Base de données indicateurs1'!R38</f>
        <v>854184.35</v>
      </c>
      <c r="S17" s="4">
        <f>'Base de données indicateurs1'!S38</f>
        <v>602762.5</v>
      </c>
      <c r="T17" s="4">
        <f>'Base de données indicateurs1'!T38</f>
        <v>1797303.6</v>
      </c>
      <c r="U17" s="4">
        <f>'Base de données indicateurs1'!U38</f>
        <v>494316.95</v>
      </c>
      <c r="V17" s="4">
        <f>'Base de données indicateurs1'!V38</f>
        <v>1157764.6499999999</v>
      </c>
      <c r="W17" s="4">
        <f>'Base de données indicateurs1'!W38</f>
        <v>6519291.7999999998</v>
      </c>
      <c r="X17" s="4">
        <f>'Base de données indicateurs1'!X38</f>
        <v>722638</v>
      </c>
      <c r="Y17" s="4">
        <f>'Base de données indicateurs1'!Y38</f>
        <v>3318239.37</v>
      </c>
      <c r="Z17" s="4">
        <f>'Base de données indicateurs1'!Z38</f>
        <v>2784771.7</v>
      </c>
      <c r="AA17" s="4">
        <f>'Base de données indicateurs1'!AA38</f>
        <v>166231</v>
      </c>
      <c r="AB17" s="4">
        <f>'Base de données indicateurs1'!AB38</f>
        <v>246851.8</v>
      </c>
      <c r="AC17" s="4">
        <f>'Base de données indicateurs1'!AC38</f>
        <v>1347499.1</v>
      </c>
      <c r="AD17" s="4">
        <f>'Base de données indicateurs1'!AD38</f>
        <v>1163704.6499999999</v>
      </c>
      <c r="AE17" s="4">
        <f>'Base de données indicateurs1'!AE38</f>
        <v>1089524.5</v>
      </c>
      <c r="AF17" s="4">
        <f>'Base de données indicateurs1'!AF38</f>
        <v>980100.75</v>
      </c>
      <c r="AG17" s="4">
        <f>'Base de données indicateurs1'!AG38</f>
        <v>4420675.25</v>
      </c>
      <c r="AH17" s="4">
        <f>'Base de données indicateurs1'!AH38</f>
        <v>6191256.5</v>
      </c>
      <c r="AI17" s="4">
        <f>'Base de données indicateurs1'!AI38</f>
        <v>456991</v>
      </c>
      <c r="AJ17" s="4">
        <f>'Base de données indicateurs1'!AJ38</f>
        <v>243519.25</v>
      </c>
      <c r="AK17" s="4">
        <f>'Base de données indicateurs1'!AK38</f>
        <v>4302044.3</v>
      </c>
      <c r="AL17" s="4">
        <f>'Base de données indicateurs1'!AL38</f>
        <v>1732264</v>
      </c>
      <c r="AM17" s="4">
        <f>'Base de données indicateurs1'!AM38</f>
        <v>2498137.9500000002</v>
      </c>
      <c r="AN17" s="4">
        <f>'Base de données indicateurs1'!AN38</f>
        <v>261580.65</v>
      </c>
      <c r="AO17" s="4">
        <f>'Base de données indicateurs1'!AO38</f>
        <v>3827633.75</v>
      </c>
      <c r="AP17" s="4">
        <f>'Base de données indicateurs1'!AP38</f>
        <v>1314195.3</v>
      </c>
      <c r="AQ17" s="4">
        <f>'Base de données indicateurs1'!AQ38</f>
        <v>1533277</v>
      </c>
      <c r="AR17" s="4">
        <f>'Base de données indicateurs1'!AR38</f>
        <v>2280940.4</v>
      </c>
      <c r="AS17" s="4">
        <f>'Base de données indicateurs1'!AS38</f>
        <v>1444177.6</v>
      </c>
      <c r="AT17" s="4">
        <f>'Base de données indicateurs1'!AT38</f>
        <v>2102457.75</v>
      </c>
      <c r="AU17" s="4">
        <f>'Base de données indicateurs1'!AU38</f>
        <v>2205801.5499999998</v>
      </c>
      <c r="AV17" s="4">
        <f>'Base de données indicateurs1'!AV38</f>
        <v>5082414.08</v>
      </c>
      <c r="AW17" s="4">
        <f>'Base de données indicateurs1'!AW38</f>
        <v>1664323.5</v>
      </c>
      <c r="AX17" s="4">
        <f>'Base de données indicateurs1'!AX38</f>
        <v>335760.2</v>
      </c>
      <c r="AY17" s="4">
        <f>'Base de données indicateurs1'!AY38</f>
        <v>756659.25</v>
      </c>
      <c r="AZ17" s="4">
        <f>'Base de données indicateurs1'!AZ38</f>
        <v>4231081.0999999996</v>
      </c>
      <c r="BA17" s="4">
        <f>'Base de données indicateurs1'!BA38</f>
        <v>807108.35</v>
      </c>
      <c r="BB17" s="4">
        <f>'Base de données indicateurs1'!BB38</f>
        <v>2596328.9500000002</v>
      </c>
      <c r="BC17" s="4">
        <f>'Base de données indicateurs1'!BC38</f>
        <v>306282.3</v>
      </c>
      <c r="BD17" s="4">
        <f>'Base de données indicateurs1'!BD38</f>
        <v>19029351.100000001</v>
      </c>
      <c r="BE17" s="4">
        <f>'Base de données indicateurs1'!BE38</f>
        <v>1073776.3500000001</v>
      </c>
      <c r="BF17" s="4">
        <f t="shared" si="0"/>
        <v>82429302.040000007</v>
      </c>
      <c r="BG17" s="4">
        <f t="shared" si="1"/>
        <v>23132002.870000001</v>
      </c>
      <c r="BH17" s="4">
        <f t="shared" si="2"/>
        <v>59385595.430000007</v>
      </c>
    </row>
    <row r="18" spans="1:60" x14ac:dyDescent="0.3">
      <c r="A18" s="114" t="s">
        <v>287</v>
      </c>
      <c r="B18" s="115" t="s">
        <v>231</v>
      </c>
      <c r="C18" s="114">
        <v>401</v>
      </c>
      <c r="D18" s="116">
        <f>'Base de données indicateurs1'!BF39</f>
        <v>27783883.75</v>
      </c>
      <c r="E18" s="4">
        <f>'Base de données indicateurs1'!E39</f>
        <v>186863.75</v>
      </c>
      <c r="F18" s="4">
        <f>'Base de données indicateurs1'!F39</f>
        <v>12530.3</v>
      </c>
      <c r="G18" s="4">
        <f>'Base de données indicateurs1'!G39</f>
        <v>72576.7</v>
      </c>
      <c r="H18" s="4">
        <f>'Base de données indicateurs1'!H39</f>
        <v>82257.149999999994</v>
      </c>
      <c r="I18" s="4">
        <f>'Base de données indicateurs1'!I39</f>
        <v>402270</v>
      </c>
      <c r="J18" s="4">
        <f>'Base de données indicateurs1'!J39</f>
        <v>637302.1</v>
      </c>
      <c r="K18" s="4">
        <f>'Base de données indicateurs1'!K39</f>
        <v>948116.15</v>
      </c>
      <c r="L18" s="4">
        <f>'Base de données indicateurs1'!L39</f>
        <v>5630325.2000000002</v>
      </c>
      <c r="M18" s="4">
        <f>'Base de données indicateurs1'!M39</f>
        <v>440551.95</v>
      </c>
      <c r="N18" s="4">
        <f>'Base de données indicateurs1'!N39</f>
        <v>0</v>
      </c>
      <c r="O18" s="4">
        <f>'Base de données indicateurs1'!O39</f>
        <v>648784.6</v>
      </c>
      <c r="P18" s="4">
        <f>'Base de données indicateurs1'!P39</f>
        <v>43209.25</v>
      </c>
      <c r="Q18" s="4">
        <f>'Base de données indicateurs1'!Q39</f>
        <v>-2994.7</v>
      </c>
      <c r="R18" s="4">
        <f>'Base de données indicateurs1'!R39</f>
        <v>11294.05</v>
      </c>
      <c r="S18" s="4">
        <f>'Base de données indicateurs1'!S39</f>
        <v>-4335.8</v>
      </c>
      <c r="T18" s="4">
        <f>'Base de données indicateurs1'!T39</f>
        <v>39931.449999999997</v>
      </c>
      <c r="U18" s="4">
        <f>'Base de données indicateurs1'!U39</f>
        <v>21951.7</v>
      </c>
      <c r="V18" s="4">
        <f>'Base de données indicateurs1'!V39</f>
        <v>91657.95</v>
      </c>
      <c r="W18" s="4">
        <f>'Base de données indicateurs1'!W39</f>
        <v>154646.65</v>
      </c>
      <c r="X18" s="4">
        <f>'Base de données indicateurs1'!X39</f>
        <v>5100</v>
      </c>
      <c r="Y18" s="4">
        <f>'Base de données indicateurs1'!Y39</f>
        <v>115383.25</v>
      </c>
      <c r="Z18" s="4">
        <f>'Base de données indicateurs1'!Z39</f>
        <v>6765508.1500000004</v>
      </c>
      <c r="AA18" s="4">
        <f>'Base de données indicateurs1'!AA39</f>
        <v>927</v>
      </c>
      <c r="AB18" s="4">
        <f>'Base de données indicateurs1'!AB39</f>
        <v>8935.7999999999993</v>
      </c>
      <c r="AC18" s="4">
        <f>'Base de données indicateurs1'!AC39</f>
        <v>-224747.75</v>
      </c>
      <c r="AD18" s="4">
        <f>'Base de données indicateurs1'!AD39</f>
        <v>70136.850000000006</v>
      </c>
      <c r="AE18" s="4">
        <f>'Base de données indicateurs1'!AE39</f>
        <v>33283.550000000003</v>
      </c>
      <c r="AF18" s="4">
        <f>'Base de données indicateurs1'!AF39</f>
        <v>728213.45</v>
      </c>
      <c r="AG18" s="4">
        <f>'Base de données indicateurs1'!AG39</f>
        <v>1712675.4</v>
      </c>
      <c r="AH18" s="4">
        <f>'Base de données indicateurs1'!AH39</f>
        <v>682151.5</v>
      </c>
      <c r="AI18" s="4">
        <f>'Base de données indicateurs1'!AI39</f>
        <v>7959</v>
      </c>
      <c r="AJ18" s="4">
        <f>'Base de données indicateurs1'!AJ39</f>
        <v>7036.8</v>
      </c>
      <c r="AK18" s="4">
        <f>'Base de données indicateurs1'!AK39</f>
        <v>543718.55000000005</v>
      </c>
      <c r="AL18" s="4">
        <f>'Base de données indicateurs1'!AL39</f>
        <v>-65142</v>
      </c>
      <c r="AM18" s="4">
        <f>'Base de données indicateurs1'!AM39</f>
        <v>44564.75</v>
      </c>
      <c r="AN18" s="4">
        <f>'Base de données indicateurs1'!AN39</f>
        <v>1227.2</v>
      </c>
      <c r="AO18" s="4">
        <f>'Base de données indicateurs1'!AO39</f>
        <v>2557137.35</v>
      </c>
      <c r="AP18" s="4">
        <f>'Base de données indicateurs1'!AP39</f>
        <v>504468</v>
      </c>
      <c r="AQ18" s="4">
        <f>'Base de données indicateurs1'!AQ39</f>
        <v>144303</v>
      </c>
      <c r="AR18" s="4">
        <f>'Base de données indicateurs1'!AR39</f>
        <v>234509.05</v>
      </c>
      <c r="AS18" s="4">
        <f>'Base de données indicateurs1'!AS39</f>
        <v>17997.349999999999</v>
      </c>
      <c r="AT18" s="4">
        <f>'Base de données indicateurs1'!AT39</f>
        <v>5799</v>
      </c>
      <c r="AU18" s="4">
        <f>'Base de données indicateurs1'!AU39</f>
        <v>-66532.05</v>
      </c>
      <c r="AV18" s="4">
        <f>'Base de données indicateurs1'!AV39</f>
        <v>121676.35</v>
      </c>
      <c r="AW18" s="4">
        <f>'Base de données indicateurs1'!AW39</f>
        <v>271631.65000000002</v>
      </c>
      <c r="AX18" s="4">
        <f>'Base de données indicateurs1'!AX39</f>
        <v>10577.2</v>
      </c>
      <c r="AY18" s="4">
        <f>'Base de données indicateurs1'!AY39</f>
        <v>20567.45</v>
      </c>
      <c r="AZ18" s="4">
        <f>'Base de données indicateurs1'!AZ39</f>
        <v>333389.45</v>
      </c>
      <c r="BA18" s="4">
        <f>'Base de données indicateurs1'!BA39</f>
        <v>13071.35</v>
      </c>
      <c r="BB18" s="4">
        <f>'Base de données indicateurs1'!BB39</f>
        <v>590684</v>
      </c>
      <c r="BC18" s="4">
        <f>'Base de données indicateurs1'!BC39</f>
        <v>1833.95</v>
      </c>
      <c r="BD18" s="4">
        <f>'Base de données indicateurs1'!BD39</f>
        <v>3114215.25</v>
      </c>
      <c r="BE18" s="4">
        <f>'Base de données indicateurs1'!BE39</f>
        <v>54685.45</v>
      </c>
      <c r="BF18" s="4">
        <f t="shared" si="0"/>
        <v>9416938.4499999974</v>
      </c>
      <c r="BG18" s="4">
        <f t="shared" si="1"/>
        <v>9912563</v>
      </c>
      <c r="BH18" s="4">
        <f t="shared" si="2"/>
        <v>8454382.3000000007</v>
      </c>
    </row>
    <row r="19" spans="1:60" x14ac:dyDescent="0.3">
      <c r="A19" s="114" t="s">
        <v>510</v>
      </c>
      <c r="B19" s="115" t="s">
        <v>511</v>
      </c>
      <c r="C19" s="122" t="s">
        <v>512</v>
      </c>
      <c r="D19" s="116">
        <f>'Base de données indicateurs1'!BF48+'Base de données indicateurs1'!BF26</f>
        <v>17377288</v>
      </c>
      <c r="E19" s="4">
        <f>'Base de données indicateurs1'!E48-'Base de données indicateurs1'!E26</f>
        <v>93242</v>
      </c>
      <c r="F19" s="4">
        <f>'Base de données indicateurs1'!F48-'Base de données indicateurs1'!F26</f>
        <v>211892</v>
      </c>
      <c r="G19" s="4">
        <f>'Base de données indicateurs1'!G48-'Base de données indicateurs1'!G26</f>
        <v>81088</v>
      </c>
      <c r="H19" s="4">
        <f>'Base de données indicateurs1'!H48-'Base de données indicateurs1'!H26</f>
        <v>159252</v>
      </c>
      <c r="I19" s="4">
        <f>'Base de données indicateurs1'!I48-'Base de données indicateurs1'!I26</f>
        <v>1174020</v>
      </c>
      <c r="J19" s="4">
        <f>'Base de données indicateurs1'!J48-'Base de données indicateurs1'!J26</f>
        <v>397118</v>
      </c>
      <c r="K19" s="4">
        <f>'Base de données indicateurs1'!K48-'Base de données indicateurs1'!K26</f>
        <v>-182436</v>
      </c>
      <c r="L19" s="4">
        <f>'Base de données indicateurs1'!L48-'Base de données indicateurs1'!L26</f>
        <v>-901898</v>
      </c>
      <c r="M19" s="4">
        <f>'Base de données indicateurs1'!M48-'Base de données indicateurs1'!M26</f>
        <v>0</v>
      </c>
      <c r="N19" s="4">
        <f>'Base de données indicateurs1'!N48-'Base de données indicateurs1'!N26</f>
        <v>0</v>
      </c>
      <c r="O19" s="4">
        <f>'Base de données indicateurs1'!O48-'Base de données indicateurs1'!O26</f>
        <v>1414183</v>
      </c>
      <c r="P19" s="4">
        <f>'Base de données indicateurs1'!P48-'Base de données indicateurs1'!P26</f>
        <v>283212</v>
      </c>
      <c r="Q19" s="4">
        <f>'Base de données indicateurs1'!Q48-'Base de données indicateurs1'!Q26</f>
        <v>28845</v>
      </c>
      <c r="R19" s="4">
        <f>'Base de données indicateurs1'!R48-'Base de données indicateurs1'!R26</f>
        <v>157798</v>
      </c>
      <c r="S19" s="4">
        <f>'Base de données indicateurs1'!S48-'Base de données indicateurs1'!S26</f>
        <v>175314</v>
      </c>
      <c r="T19" s="4">
        <f>'Base de données indicateurs1'!T48-'Base de données indicateurs1'!T26</f>
        <v>-41206</v>
      </c>
      <c r="U19" s="4">
        <f>'Base de données indicateurs1'!U48-'Base de données indicateurs1'!U26</f>
        <v>127902</v>
      </c>
      <c r="V19" s="4">
        <f>'Base de données indicateurs1'!V48-'Base de données indicateurs1'!V26</f>
        <v>0</v>
      </c>
      <c r="W19" s="4">
        <f>'Base de données indicateurs1'!W48-'Base de données indicateurs1'!W26</f>
        <v>1341516</v>
      </c>
      <c r="X19" s="4">
        <f>'Base de données indicateurs1'!X48-'Base de données indicateurs1'!X26</f>
        <v>31284</v>
      </c>
      <c r="Y19" s="4">
        <f>'Base de données indicateurs1'!Y48-'Base de données indicateurs1'!Y26</f>
        <v>74686</v>
      </c>
      <c r="Z19" s="4">
        <f>'Base de données indicateurs1'!Z48-'Base de données indicateurs1'!Z26</f>
        <v>-2509477</v>
      </c>
      <c r="AA19" s="4">
        <f>'Base de données indicateurs1'!AA48-'Base de données indicateurs1'!AA26</f>
        <v>83038</v>
      </c>
      <c r="AB19" s="4">
        <f>'Base de données indicateurs1'!AB48-'Base de données indicateurs1'!AB26</f>
        <v>61512</v>
      </c>
      <c r="AC19" s="4">
        <f>'Base de données indicateurs1'!AC48-'Base de données indicateurs1'!AC26</f>
        <v>-31717</v>
      </c>
      <c r="AD19" s="4">
        <f>'Base de données indicateurs1'!AD48-'Base de données indicateurs1'!AD26</f>
        <v>188290</v>
      </c>
      <c r="AE19" s="4">
        <f>'Base de données indicateurs1'!AE48-'Base de données indicateurs1'!AE26</f>
        <v>189290</v>
      </c>
      <c r="AF19" s="4">
        <f>'Base de données indicateurs1'!AF48-'Base de données indicateurs1'!AF26</f>
        <v>28448</v>
      </c>
      <c r="AG19" s="4">
        <f>'Base de données indicateurs1'!AG48-'Base de données indicateurs1'!AG26</f>
        <v>-375788</v>
      </c>
      <c r="AH19" s="4">
        <f>'Base de données indicateurs1'!AH48-'Base de données indicateurs1'!AH26</f>
        <v>96532</v>
      </c>
      <c r="AI19" s="4">
        <f>'Base de données indicateurs1'!AI48-'Base de données indicateurs1'!AI26</f>
        <v>218340</v>
      </c>
      <c r="AJ19" s="4">
        <f>'Base de données indicateurs1'!AJ48-'Base de données indicateurs1'!AJ26</f>
        <v>52532</v>
      </c>
      <c r="AK19" s="4">
        <f>'Base de données indicateurs1'!AK48-'Base de données indicateurs1'!AK26</f>
        <v>218212</v>
      </c>
      <c r="AL19" s="4">
        <f>'Base de données indicateurs1'!AL48-'Base de données indicateurs1'!AL26</f>
        <v>662458</v>
      </c>
      <c r="AM19" s="4">
        <f>'Base de données indicateurs1'!AM48-'Base de données indicateurs1'!AM26</f>
        <v>482860</v>
      </c>
      <c r="AN19" s="4">
        <f>'Base de données indicateurs1'!AN48-'Base de données indicateurs1'!AN26</f>
        <v>66682</v>
      </c>
      <c r="AO19" s="4">
        <f>'Base de données indicateurs1'!AO48-'Base de données indicateurs1'!AO26</f>
        <v>-1752363</v>
      </c>
      <c r="AP19" s="4">
        <f>'Base de données indicateurs1'!AP48-'Base de données indicateurs1'!AP26</f>
        <v>-5844</v>
      </c>
      <c r="AQ19" s="4">
        <f>'Base de données indicateurs1'!AQ48-'Base de données indicateurs1'!AQ26</f>
        <v>68586</v>
      </c>
      <c r="AR19" s="4">
        <f>'Base de données indicateurs1'!AR48-'Base de données indicateurs1'!AR26</f>
        <v>684808</v>
      </c>
      <c r="AS19" s="4">
        <f>'Base de données indicateurs1'!AS48-'Base de données indicateurs1'!AS26</f>
        <v>192432</v>
      </c>
      <c r="AT19" s="4">
        <f>'Base de données indicateurs1'!AT48-'Base de données indicateurs1'!AT26</f>
        <v>249338</v>
      </c>
      <c r="AU19" s="4">
        <f>'Base de données indicateurs1'!AU48-'Base de données indicateurs1'!AU26</f>
        <v>-115158</v>
      </c>
      <c r="AV19" s="4">
        <f>'Base de données indicateurs1'!AV48-'Base de données indicateurs1'!AV26</f>
        <v>-79015</v>
      </c>
      <c r="AW19" s="4">
        <f>'Base de données indicateurs1'!AW48-'Base de données indicateurs1'!AW26</f>
        <v>0</v>
      </c>
      <c r="AX19" s="4">
        <f>'Base de données indicateurs1'!AX48-'Base de données indicateurs1'!AX26</f>
        <v>140996</v>
      </c>
      <c r="AY19" s="4">
        <f>'Base de données indicateurs1'!AY48-'Base de données indicateurs1'!AY26</f>
        <v>276102</v>
      </c>
      <c r="AZ19" s="4">
        <f>'Base de données indicateurs1'!AZ48-'Base de données indicateurs1'!AZ26</f>
        <v>408224</v>
      </c>
      <c r="BA19" s="4">
        <f>'Base de données indicateurs1'!BA48-'Base de données indicateurs1'!BA26</f>
        <v>295366</v>
      </c>
      <c r="BB19" s="4">
        <f>'Base de données indicateurs1'!BB48-'Base de données indicateurs1'!BB26</f>
        <v>-52605</v>
      </c>
      <c r="BC19" s="4">
        <f>'Base de données indicateurs1'!BC48-'Base de données indicateurs1'!BC26</f>
        <v>92938</v>
      </c>
      <c r="BD19" s="4">
        <f>'Base de données indicateurs1'!BD48-'Base de données indicateurs1'!BD26</f>
        <v>-272347</v>
      </c>
      <c r="BE19" s="4">
        <f>'Base de données indicateurs1'!BE48-'Base de données indicateurs1'!BE26</f>
        <v>182616</v>
      </c>
      <c r="BF19" s="4">
        <f t="shared" si="0"/>
        <v>4519842</v>
      </c>
      <c r="BG19" s="4">
        <f t="shared" si="1"/>
        <v>-1893030</v>
      </c>
      <c r="BH19" s="4">
        <f t="shared" si="2"/>
        <v>1744286</v>
      </c>
    </row>
    <row r="20" spans="1:60" x14ac:dyDescent="0.3">
      <c r="A20" s="114" t="s">
        <v>513</v>
      </c>
      <c r="B20" s="115" t="s">
        <v>231</v>
      </c>
      <c r="C20" s="114">
        <v>46228</v>
      </c>
      <c r="D20" s="116">
        <f>'Base de données indicateurs1'!BF49</f>
        <v>1298912.3500000001</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962414.35</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4300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0</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332198</v>
      </c>
      <c r="BE20" s="4">
        <f>'Base de données indicateurs1'!BE49</f>
        <v>0</v>
      </c>
      <c r="BF20" s="4">
        <f t="shared" si="0"/>
        <v>966714.35</v>
      </c>
      <c r="BG20" s="4">
        <f t="shared" si="1"/>
        <v>0</v>
      </c>
      <c r="BH20" s="4">
        <f t="shared" si="2"/>
        <v>332198</v>
      </c>
    </row>
    <row r="21" spans="1:60" ht="15" thickBot="1" x14ac:dyDescent="0.35">
      <c r="A21" s="117"/>
      <c r="B21" s="118"/>
      <c r="C21" s="117"/>
      <c r="D21" s="119"/>
      <c r="BF21" s="4"/>
      <c r="BG21" s="4"/>
      <c r="BH21" s="4"/>
    </row>
    <row r="22" spans="1:60" ht="15" thickBot="1" x14ac:dyDescent="0.35">
      <c r="A22" s="7" t="s">
        <v>514</v>
      </c>
      <c r="B22" s="64"/>
      <c r="C22" s="7"/>
      <c r="D22" s="120">
        <f>D17+D18+D19+D20</f>
        <v>211406984.43999997</v>
      </c>
      <c r="E22" s="4">
        <f>E17+E18+E19+E20</f>
        <v>2679156.35</v>
      </c>
      <c r="F22" s="4">
        <f t="shared" ref="F22:BE22" si="4">F17+F18+F19+F20</f>
        <v>761433.55</v>
      </c>
      <c r="G22" s="4">
        <f t="shared" si="4"/>
        <v>1109177.2</v>
      </c>
      <c r="H22" s="4">
        <f t="shared" si="4"/>
        <v>1118817.55</v>
      </c>
      <c r="I22" s="4">
        <f t="shared" si="4"/>
        <v>8082673</v>
      </c>
      <c r="J22" s="4">
        <f t="shared" si="4"/>
        <v>8968083.9499999993</v>
      </c>
      <c r="K22" s="4">
        <f t="shared" si="4"/>
        <v>6309847.4500000002</v>
      </c>
      <c r="L22" s="4">
        <f t="shared" si="4"/>
        <v>34244003.050000004</v>
      </c>
      <c r="M22" s="4">
        <f t="shared" si="4"/>
        <v>3189304.04</v>
      </c>
      <c r="N22" s="4">
        <f t="shared" si="4"/>
        <v>0</v>
      </c>
      <c r="O22" s="4">
        <f t="shared" si="4"/>
        <v>15819575.6</v>
      </c>
      <c r="P22" s="4">
        <f t="shared" si="4"/>
        <v>1337760.75</v>
      </c>
      <c r="Q22" s="4">
        <f t="shared" si="4"/>
        <v>206570.5</v>
      </c>
      <c r="R22" s="4">
        <f t="shared" si="4"/>
        <v>1023276.4</v>
      </c>
      <c r="S22" s="4">
        <f t="shared" si="4"/>
        <v>773740.7</v>
      </c>
      <c r="T22" s="4">
        <f t="shared" si="4"/>
        <v>1796029.05</v>
      </c>
      <c r="U22" s="4">
        <f t="shared" si="4"/>
        <v>648470.65</v>
      </c>
      <c r="V22" s="4">
        <f t="shared" si="4"/>
        <v>1249422.5999999999</v>
      </c>
      <c r="W22" s="4">
        <f t="shared" si="4"/>
        <v>8015454.4500000002</v>
      </c>
      <c r="X22" s="4">
        <f t="shared" si="4"/>
        <v>759022</v>
      </c>
      <c r="Y22" s="4">
        <f t="shared" si="4"/>
        <v>3508308.62</v>
      </c>
      <c r="Z22" s="4">
        <f t="shared" si="4"/>
        <v>7040802.8500000015</v>
      </c>
      <c r="AA22" s="4">
        <f t="shared" si="4"/>
        <v>250196</v>
      </c>
      <c r="AB22" s="4">
        <f t="shared" si="4"/>
        <v>317299.59999999998</v>
      </c>
      <c r="AC22" s="4">
        <f t="shared" si="4"/>
        <v>1091034.3500000001</v>
      </c>
      <c r="AD22" s="4">
        <f t="shared" si="4"/>
        <v>1422131.5</v>
      </c>
      <c r="AE22" s="4">
        <f t="shared" si="4"/>
        <v>1312098.05</v>
      </c>
      <c r="AF22" s="4">
        <f t="shared" si="4"/>
        <v>1736762.2</v>
      </c>
      <c r="AG22" s="4">
        <f t="shared" si="4"/>
        <v>5757562.6500000004</v>
      </c>
      <c r="AH22" s="4">
        <f t="shared" si="4"/>
        <v>6969940</v>
      </c>
      <c r="AI22" s="4">
        <f t="shared" si="4"/>
        <v>683290</v>
      </c>
      <c r="AJ22" s="4">
        <f t="shared" si="4"/>
        <v>303088.05</v>
      </c>
      <c r="AK22" s="4">
        <f t="shared" si="4"/>
        <v>5063974.8499999996</v>
      </c>
      <c r="AL22" s="4">
        <f t="shared" si="4"/>
        <v>2329580</v>
      </c>
      <c r="AM22" s="4">
        <f t="shared" si="4"/>
        <v>3025562.7</v>
      </c>
      <c r="AN22" s="4">
        <f t="shared" si="4"/>
        <v>329489.84999999998</v>
      </c>
      <c r="AO22" s="4">
        <f t="shared" si="4"/>
        <v>4632408.0999999996</v>
      </c>
      <c r="AP22" s="4">
        <f t="shared" si="4"/>
        <v>1812819.3</v>
      </c>
      <c r="AQ22" s="4">
        <f t="shared" si="4"/>
        <v>1746166</v>
      </c>
      <c r="AR22" s="4">
        <f t="shared" si="4"/>
        <v>3200257.4499999997</v>
      </c>
      <c r="AS22" s="4">
        <f t="shared" si="4"/>
        <v>1654606.9500000002</v>
      </c>
      <c r="AT22" s="4">
        <f t="shared" si="4"/>
        <v>2357594.75</v>
      </c>
      <c r="AU22" s="4">
        <f t="shared" si="4"/>
        <v>2024111.5</v>
      </c>
      <c r="AV22" s="4">
        <f t="shared" si="4"/>
        <v>5125075.43</v>
      </c>
      <c r="AW22" s="4">
        <f t="shared" si="4"/>
        <v>1935955.15</v>
      </c>
      <c r="AX22" s="4">
        <f t="shared" si="4"/>
        <v>487333.4</v>
      </c>
      <c r="AY22" s="4">
        <f t="shared" si="4"/>
        <v>1053328.7</v>
      </c>
      <c r="AZ22" s="4">
        <f t="shared" si="4"/>
        <v>4972694.55</v>
      </c>
      <c r="BA22" s="4">
        <f t="shared" si="4"/>
        <v>1115545.7</v>
      </c>
      <c r="BB22" s="4">
        <f t="shared" si="4"/>
        <v>3134407.95</v>
      </c>
      <c r="BC22" s="4">
        <f t="shared" si="4"/>
        <v>401054.25</v>
      </c>
      <c r="BD22" s="4">
        <f t="shared" si="4"/>
        <v>22203417.350000001</v>
      </c>
      <c r="BE22" s="4">
        <f t="shared" si="4"/>
        <v>1311077.8</v>
      </c>
      <c r="BF22" s="4">
        <f t="shared" si="0"/>
        <v>97332796.840000018</v>
      </c>
      <c r="BG22" s="4">
        <f t="shared" si="1"/>
        <v>31151535.870000001</v>
      </c>
      <c r="BH22" s="4">
        <f t="shared" si="2"/>
        <v>69916461.730000004</v>
      </c>
    </row>
    <row r="23" spans="1:60" ht="15" thickBot="1" x14ac:dyDescent="0.35">
      <c r="B23" s="121"/>
      <c r="D23" s="4"/>
      <c r="BF23" s="4"/>
      <c r="BG23" s="4"/>
      <c r="BH23" s="4"/>
    </row>
    <row r="24" spans="1:60" ht="15" thickBot="1" x14ac:dyDescent="0.35">
      <c r="A24" s="7" t="s">
        <v>515</v>
      </c>
      <c r="B24" s="121"/>
      <c r="D24" s="120">
        <f>IF(D22&lt;&gt;0,D15/D22,"")*100</f>
        <v>117.28111054929138</v>
      </c>
      <c r="E24" s="143">
        <f>IF(E22&lt;&gt;0,E15/E22,"")*100</f>
        <v>73.961428193617735</v>
      </c>
      <c r="F24" s="126">
        <f t="shared" ref="F24:BH24" si="5">IF(F22&lt;&gt;0,F15/F22,"")*100</f>
        <v>45.637606853546188</v>
      </c>
      <c r="G24" s="126">
        <f t="shared" si="5"/>
        <v>190.50927029513406</v>
      </c>
      <c r="H24" s="126">
        <f t="shared" si="5"/>
        <v>29.836936326213404</v>
      </c>
      <c r="I24" s="126">
        <f t="shared" si="5"/>
        <v>138.19892255940579</v>
      </c>
      <c r="J24" s="126">
        <f t="shared" si="5"/>
        <v>146.21275852351943</v>
      </c>
      <c r="K24" s="126">
        <f t="shared" si="5"/>
        <v>16.242072064674066</v>
      </c>
      <c r="L24" s="126">
        <f t="shared" si="5"/>
        <v>205.94207770344184</v>
      </c>
      <c r="M24" s="126">
        <f t="shared" si="5"/>
        <v>66.625944825254095</v>
      </c>
      <c r="N24" s="126" t="e">
        <f t="shared" si="5"/>
        <v>#VALUE!</v>
      </c>
      <c r="O24" s="126">
        <f t="shared" si="5"/>
        <v>136.50038563613555</v>
      </c>
      <c r="P24" s="126">
        <f t="shared" si="5"/>
        <v>102.20765484411167</v>
      </c>
      <c r="Q24" s="126">
        <f t="shared" si="5"/>
        <v>118.62027733872939</v>
      </c>
      <c r="R24" s="126">
        <f t="shared" si="5"/>
        <v>183.28367780200932</v>
      </c>
      <c r="S24" s="126">
        <f t="shared" si="5"/>
        <v>278.41725658221168</v>
      </c>
      <c r="T24" s="126">
        <f t="shared" si="5"/>
        <v>11.839593017718689</v>
      </c>
      <c r="U24" s="126">
        <f t="shared" si="5"/>
        <v>45.150418141514933</v>
      </c>
      <c r="V24" s="126">
        <f t="shared" si="5"/>
        <v>35.153173954112901</v>
      </c>
      <c r="W24" s="126">
        <f t="shared" si="5"/>
        <v>129.97675808637399</v>
      </c>
      <c r="X24" s="126">
        <f t="shared" si="5"/>
        <v>-142.35555754642158</v>
      </c>
      <c r="Y24" s="126">
        <f t="shared" si="5"/>
        <v>221.94677730489971</v>
      </c>
      <c r="Z24" s="126">
        <f t="shared" si="5"/>
        <v>-127.61722038559849</v>
      </c>
      <c r="AA24" s="126">
        <f t="shared" si="5"/>
        <v>54.353786631281075</v>
      </c>
      <c r="AB24" s="126">
        <f t="shared" si="5"/>
        <v>50.187349747683271</v>
      </c>
      <c r="AC24" s="126">
        <f t="shared" si="5"/>
        <v>23.987434492782</v>
      </c>
      <c r="AD24" s="126">
        <f t="shared" si="5"/>
        <v>464.32733048948006</v>
      </c>
      <c r="AE24" s="126">
        <f t="shared" si="5"/>
        <v>97.989706638158609</v>
      </c>
      <c r="AF24" s="126">
        <f t="shared" si="5"/>
        <v>-178.54850537396541</v>
      </c>
      <c r="AG24" s="126">
        <f t="shared" si="5"/>
        <v>-18.717430543287268</v>
      </c>
      <c r="AH24" s="126">
        <f t="shared" si="5"/>
        <v>146.15831700129414</v>
      </c>
      <c r="AI24" s="126">
        <f t="shared" si="5"/>
        <v>17.856693351285692</v>
      </c>
      <c r="AJ24" s="126">
        <f t="shared" si="5"/>
        <v>-373.17177302107427</v>
      </c>
      <c r="AK24" s="126">
        <f t="shared" si="5"/>
        <v>224.44528056848463</v>
      </c>
      <c r="AL24" s="126">
        <f t="shared" si="5"/>
        <v>-145.19222349092971</v>
      </c>
      <c r="AM24" s="126">
        <f t="shared" si="5"/>
        <v>226.3063313809362</v>
      </c>
      <c r="AN24" s="126">
        <f t="shared" si="5"/>
        <v>-157.18475698113309</v>
      </c>
      <c r="AO24" s="126">
        <f t="shared" si="5"/>
        <v>-82.961020424776464</v>
      </c>
      <c r="AP24" s="126">
        <f t="shared" si="5"/>
        <v>80.529192291807561</v>
      </c>
      <c r="AQ24" s="126">
        <f t="shared" si="5"/>
        <v>53.150845910411725</v>
      </c>
      <c r="AR24" s="126">
        <f t="shared" si="5"/>
        <v>-63.146519352685196</v>
      </c>
      <c r="AS24" s="126">
        <f t="shared" si="5"/>
        <v>189.73399634275683</v>
      </c>
      <c r="AT24" s="126">
        <f t="shared" si="5"/>
        <v>215.90250699362136</v>
      </c>
      <c r="AU24" s="126">
        <f t="shared" si="5"/>
        <v>-89.380650720081391</v>
      </c>
      <c r="AV24" s="126">
        <f t="shared" si="5"/>
        <v>191.22598377054521</v>
      </c>
      <c r="AW24" s="126">
        <f t="shared" si="5"/>
        <v>151.98209886215599</v>
      </c>
      <c r="AX24" s="126">
        <f t="shared" si="5"/>
        <v>62.237146068789869</v>
      </c>
      <c r="AY24" s="126">
        <f t="shared" si="5"/>
        <v>5.920731107013415</v>
      </c>
      <c r="AZ24" s="126">
        <f t="shared" si="5"/>
        <v>336.5294731404727</v>
      </c>
      <c r="BA24" s="126">
        <f t="shared" si="5"/>
        <v>-37.683695074078997</v>
      </c>
      <c r="BB24" s="126">
        <f t="shared" si="5"/>
        <v>201.93679064653983</v>
      </c>
      <c r="BC24" s="126">
        <f t="shared" si="5"/>
        <v>-142.26256422915355</v>
      </c>
      <c r="BD24" s="126">
        <f t="shared" si="5"/>
        <v>184.04026387406529</v>
      </c>
      <c r="BE24" s="126">
        <f t="shared" si="5"/>
        <v>163.41719843017705</v>
      </c>
      <c r="BF24" s="126">
        <f t="shared" si="5"/>
        <v>145.20272102354599</v>
      </c>
      <c r="BG24" s="126">
        <f t="shared" si="5"/>
        <v>35.845083069414649</v>
      </c>
      <c r="BH24" s="126">
        <f t="shared" si="5"/>
        <v>136.51190778014785</v>
      </c>
    </row>
    <row r="25" spans="1:60" x14ac:dyDescent="0.3">
      <c r="A25" s="123" t="s">
        <v>516</v>
      </c>
      <c r="B25" s="121"/>
      <c r="D25" s="4"/>
      <c r="BF25" s="4"/>
      <c r="BG25" s="4"/>
      <c r="BH25" s="4"/>
    </row>
    <row r="26" spans="1:60" x14ac:dyDescent="0.3">
      <c r="A26" s="123"/>
      <c r="B26" s="121"/>
      <c r="D26" s="4"/>
      <c r="BF26" s="4"/>
      <c r="BG26" s="4"/>
      <c r="BH26" s="4"/>
    </row>
    <row r="27" spans="1:60" x14ac:dyDescent="0.3">
      <c r="B27" s="121"/>
      <c r="D27" s="4"/>
      <c r="BF27" s="4"/>
      <c r="BG27" s="4"/>
      <c r="BH27" s="4"/>
    </row>
    <row r="28" spans="1:60" x14ac:dyDescent="0.3">
      <c r="A28" s="7" t="s">
        <v>517</v>
      </c>
      <c r="B28" s="121"/>
      <c r="D28" s="4"/>
      <c r="BF28" s="4"/>
      <c r="BG28" s="4"/>
      <c r="BH28" s="4"/>
    </row>
    <row r="29" spans="1:60" x14ac:dyDescent="0.3">
      <c r="B29" s="121"/>
      <c r="D29" s="4"/>
      <c r="BF29" s="4"/>
      <c r="BG29" s="4"/>
      <c r="BH29" s="4"/>
    </row>
    <row r="30" spans="1:60" x14ac:dyDescent="0.3">
      <c r="A30" s="111" t="s">
        <v>518</v>
      </c>
      <c r="B30" s="112"/>
      <c r="C30" s="124">
        <v>90</v>
      </c>
      <c r="D30" s="210">
        <f>'Base de données indicateurs1'!BF33-'Base de données indicateurs1'!BF33+'Base de données indicateurs1'!BF54-'Base de données indicateurs1'!BF55</f>
        <v>2549034.7099999995</v>
      </c>
      <c r="E30" s="145">
        <f>'Base de données indicateurs1'!E33-'Base de données indicateurs1'!E33+'Base de données indicateurs1'!E54-'Base de données indicateurs1'!E55</f>
        <v>6015.15</v>
      </c>
      <c r="F30" s="145">
        <f>'Base de données indicateurs1'!F33-'Base de données indicateurs1'!F33+'Base de données indicateurs1'!F54-'Base de données indicateurs1'!F55</f>
        <v>149441.67000000001</v>
      </c>
      <c r="G30" s="145">
        <f>'Base de données indicateurs1'!G33-'Base de données indicateurs1'!G33+'Base de données indicateurs1'!G54-'Base de données indicateurs1'!G55</f>
        <v>-35747.06</v>
      </c>
      <c r="H30" s="145">
        <f>'Base de données indicateurs1'!H33-'Base de données indicateurs1'!H33+'Base de données indicateurs1'!H54-'Base de données indicateurs1'!H55</f>
        <v>21653.66</v>
      </c>
      <c r="I30" s="145">
        <f>'Base de données indicateurs1'!I33-'Base de données indicateurs1'!I33+'Base de données indicateurs1'!I54-'Base de données indicateurs1'!I55</f>
        <v>-197032.69</v>
      </c>
      <c r="J30" s="145">
        <f>'Base de données indicateurs1'!J33-'Base de données indicateurs1'!J33+'Base de données indicateurs1'!J54-'Base de données indicateurs1'!J55</f>
        <v>643336.21</v>
      </c>
      <c r="K30" s="145">
        <f>'Base de données indicateurs1'!K33-'Base de données indicateurs1'!K33+'Base de données indicateurs1'!K54-'Base de données indicateurs1'!K55</f>
        <v>33519.97</v>
      </c>
      <c r="L30" s="145">
        <f>'Base de données indicateurs1'!L33-'Base de données indicateurs1'!L33+'Base de données indicateurs1'!L54-'Base de données indicateurs1'!L55</f>
        <v>-574635</v>
      </c>
      <c r="M30" s="145">
        <f>'Base de données indicateurs1'!M33-'Base de données indicateurs1'!M33+'Base de données indicateurs1'!M54-'Base de données indicateurs1'!M55</f>
        <v>-144001.48000000001</v>
      </c>
      <c r="N30" s="145">
        <f>'Base de données indicateurs1'!N33-'Base de données indicateurs1'!N33+'Base de données indicateurs1'!N54-'Base de données indicateurs1'!N55</f>
        <v>0</v>
      </c>
      <c r="O30" s="145">
        <f>'Base de données indicateurs1'!O33-'Base de données indicateurs1'!O33+'Base de données indicateurs1'!O54-'Base de données indicateurs1'!O55</f>
        <v>-1449255.52</v>
      </c>
      <c r="P30" s="145">
        <f>'Base de données indicateurs1'!P33-'Base de données indicateurs1'!P33+'Base de données indicateurs1'!P54-'Base de données indicateurs1'!P55</f>
        <v>-93731.8</v>
      </c>
      <c r="Q30" s="145">
        <f>'Base de données indicateurs1'!Q33-'Base de données indicateurs1'!Q33+'Base de données indicateurs1'!Q54-'Base de données indicateurs1'!Q55</f>
        <v>-28876.52</v>
      </c>
      <c r="R30" s="145">
        <f>'Base de données indicateurs1'!R33-'Base de données indicateurs1'!R33+'Base de données indicateurs1'!R54-'Base de données indicateurs1'!R55</f>
        <v>-16853.580000000002</v>
      </c>
      <c r="S30" s="145">
        <f>'Base de données indicateurs1'!S33-'Base de données indicateurs1'!S33+'Base de données indicateurs1'!S54-'Base de données indicateurs1'!S55</f>
        <v>-13071.37</v>
      </c>
      <c r="T30" s="145">
        <f>'Base de données indicateurs1'!T33-'Base de données indicateurs1'!T33+'Base de données indicateurs1'!T54-'Base de données indicateurs1'!T55</f>
        <v>81234.89</v>
      </c>
      <c r="U30" s="145">
        <f>'Base de données indicateurs1'!U33-'Base de données indicateurs1'!U33+'Base de données indicateurs1'!U54-'Base de données indicateurs1'!U55</f>
        <v>-1983</v>
      </c>
      <c r="V30" s="145">
        <f>'Base de données indicateurs1'!V33-'Base de données indicateurs1'!V33+'Base de données indicateurs1'!V54-'Base de données indicateurs1'!V55</f>
        <v>-152377.16</v>
      </c>
      <c r="W30" s="145">
        <f>'Base de données indicateurs1'!W33-'Base de données indicateurs1'!W33+'Base de données indicateurs1'!W54-'Base de données indicateurs1'!W55</f>
        <v>8997.4500000000007</v>
      </c>
      <c r="X30" s="145">
        <f>'Base de données indicateurs1'!X33-'Base de données indicateurs1'!X33+'Base de données indicateurs1'!X54-'Base de données indicateurs1'!X55</f>
        <v>26286</v>
      </c>
      <c r="Y30" s="145">
        <f>'Base de données indicateurs1'!Y33-'Base de données indicateurs1'!Y33+'Base de données indicateurs1'!Y54-'Base de données indicateurs1'!Y55</f>
        <v>94732.18</v>
      </c>
      <c r="Z30" s="145">
        <f>'Base de données indicateurs1'!Z33-'Base de données indicateurs1'!Z33+'Base de données indicateurs1'!Z54-'Base de données indicateurs1'!Z55</f>
        <v>3333844.9</v>
      </c>
      <c r="AA30" s="145">
        <f>'Base de données indicateurs1'!AA33-'Base de données indicateurs1'!AA33+'Base de données indicateurs1'!AA54-'Base de données indicateurs1'!AA55</f>
        <v>-2729.75</v>
      </c>
      <c r="AB30" s="145">
        <f>'Base de données indicateurs1'!AB33-'Base de données indicateurs1'!AB33+'Base de données indicateurs1'!AB54-'Base de données indicateurs1'!AB55</f>
        <v>-8071.54</v>
      </c>
      <c r="AC30" s="145">
        <f>'Base de données indicateurs1'!AC33-'Base de données indicateurs1'!AC33+'Base de données indicateurs1'!AC54-'Base de données indicateurs1'!AC55</f>
        <v>-115009</v>
      </c>
      <c r="AD30" s="145">
        <f>'Base de données indicateurs1'!AD33-'Base de données indicateurs1'!AD33+'Base de données indicateurs1'!AD54-'Base de données indicateurs1'!AD55</f>
        <v>-169604.71</v>
      </c>
      <c r="AE30" s="145">
        <f>'Base de données indicateurs1'!AE33-'Base de données indicateurs1'!AE33+'Base de données indicateurs1'!AE54-'Base de données indicateurs1'!AE55</f>
        <v>-167058.57</v>
      </c>
      <c r="AF30" s="145">
        <f>'Base de données indicateurs1'!AF33-'Base de données indicateurs1'!AF33+'Base de données indicateurs1'!AF54-'Base de données indicateurs1'!AF55</f>
        <v>27072.7</v>
      </c>
      <c r="AG30" s="145">
        <f>'Base de données indicateurs1'!AG33-'Base de données indicateurs1'!AG33+'Base de données indicateurs1'!AG54-'Base de données indicateurs1'!AG55</f>
        <v>902636.72</v>
      </c>
      <c r="AH30" s="145">
        <f>'Base de données indicateurs1'!AH33-'Base de données indicateurs1'!AH33+'Base de données indicateurs1'!AH54-'Base de données indicateurs1'!AH55</f>
        <v>21605</v>
      </c>
      <c r="AI30" s="145">
        <f>'Base de données indicateurs1'!AI33-'Base de données indicateurs1'!AI33+'Base de données indicateurs1'!AI54-'Base de données indicateurs1'!AI55</f>
        <v>2281</v>
      </c>
      <c r="AJ30" s="145">
        <f>'Base de données indicateurs1'!AJ33-'Base de données indicateurs1'!AJ33+'Base de données indicateurs1'!AJ54-'Base de données indicateurs1'!AJ55</f>
        <v>-28280.9</v>
      </c>
      <c r="AK30" s="145">
        <f>'Base de données indicateurs1'!AK33-'Base de données indicateurs1'!AK33+'Base de données indicateurs1'!AK54-'Base de données indicateurs1'!AK55</f>
        <v>92720</v>
      </c>
      <c r="AL30" s="145">
        <f>'Base de données indicateurs1'!AL33-'Base de données indicateurs1'!AL33+'Base de données indicateurs1'!AL54-'Base de données indicateurs1'!AL55</f>
        <v>-32824</v>
      </c>
      <c r="AM30" s="145">
        <f>'Base de données indicateurs1'!AM33-'Base de données indicateurs1'!AM33+'Base de données indicateurs1'!AM54-'Base de données indicateurs1'!AM55</f>
        <v>-97730</v>
      </c>
      <c r="AN30" s="145">
        <f>'Base de données indicateurs1'!AN33-'Base de données indicateurs1'!AN33+'Base de données indicateurs1'!AN54-'Base de données indicateurs1'!AN55</f>
        <v>14511.05</v>
      </c>
      <c r="AO30" s="145">
        <f>'Base de données indicateurs1'!AO33-'Base de données indicateurs1'!AO33+'Base de données indicateurs1'!AO54-'Base de données indicateurs1'!AO55</f>
        <v>313035.14</v>
      </c>
      <c r="AP30" s="145">
        <f>'Base de données indicateurs1'!AP33-'Base de données indicateurs1'!AP33+'Base de données indicateurs1'!AP54-'Base de données indicateurs1'!AP55</f>
        <v>197653.74</v>
      </c>
      <c r="AQ30" s="145">
        <f>'Base de données indicateurs1'!AQ33-'Base de données indicateurs1'!AQ33+'Base de données indicateurs1'!AQ54-'Base de données indicateurs1'!AQ55</f>
        <v>39059</v>
      </c>
      <c r="AR30" s="145">
        <f>'Base de données indicateurs1'!AR33-'Base de données indicateurs1'!AR33+'Base de données indicateurs1'!AR54-'Base de données indicateurs1'!AR55</f>
        <v>50671.79</v>
      </c>
      <c r="AS30" s="145">
        <f>'Base de données indicateurs1'!AS33-'Base de données indicateurs1'!AS33+'Base de données indicateurs1'!AS54-'Base de données indicateurs1'!AS55</f>
        <v>8666</v>
      </c>
      <c r="AT30" s="145">
        <f>'Base de données indicateurs1'!AT33-'Base de données indicateurs1'!AT33+'Base de données indicateurs1'!AT54-'Base de données indicateurs1'!AT55</f>
        <v>-30052.95</v>
      </c>
      <c r="AU30" s="145">
        <f>'Base de données indicateurs1'!AU33-'Base de données indicateurs1'!AU33+'Base de données indicateurs1'!AU54-'Base de données indicateurs1'!AU55</f>
        <v>81088.7</v>
      </c>
      <c r="AV30" s="145">
        <f>'Base de données indicateurs1'!AV33-'Base de données indicateurs1'!AV33+'Base de données indicateurs1'!AV54-'Base de données indicateurs1'!AV55</f>
        <v>-430556.03</v>
      </c>
      <c r="AW30" s="145">
        <f>'Base de données indicateurs1'!AW33-'Base de données indicateurs1'!AW33+'Base de données indicateurs1'!AW54-'Base de données indicateurs1'!AW55</f>
        <v>-41819.89</v>
      </c>
      <c r="AX30" s="145">
        <f>'Base de données indicateurs1'!AX33-'Base de données indicateurs1'!AX33+'Base de données indicateurs1'!AX54-'Base de données indicateurs1'!AX55</f>
        <v>10076.969999999999</v>
      </c>
      <c r="AY30" s="145">
        <f>'Base de données indicateurs1'!AY33-'Base de données indicateurs1'!AY33+'Base de données indicateurs1'!AY54-'Base de données indicateurs1'!AY55</f>
        <v>26132.85</v>
      </c>
      <c r="AZ30" s="145">
        <f>'Base de données indicateurs1'!AZ33-'Base de données indicateurs1'!AZ33+'Base de données indicateurs1'!AZ54-'Base de données indicateurs1'!AZ55</f>
        <v>79042.83</v>
      </c>
      <c r="BA30" s="145">
        <f>'Base de données indicateurs1'!BA33-'Base de données indicateurs1'!BA33+'Base de données indicateurs1'!BA54-'Base de données indicateurs1'!BA55</f>
        <v>24133.4</v>
      </c>
      <c r="BB30" s="145">
        <f>'Base de données indicateurs1'!BB33-'Base de données indicateurs1'!BB33+'Base de données indicateurs1'!BB54-'Base de données indicateurs1'!BB55</f>
        <v>-104585.94</v>
      </c>
      <c r="BC30" s="145">
        <f>'Base de données indicateurs1'!BC33-'Base de données indicateurs1'!BC33+'Base de données indicateurs1'!BC54-'Base de données indicateurs1'!BC55</f>
        <v>-2276.58</v>
      </c>
      <c r="BD30" s="145">
        <f>'Base de données indicateurs1'!BD33-'Base de données indicateurs1'!BD33+'Base de données indicateurs1'!BD54-'Base de données indicateurs1'!BD55</f>
        <v>189954.45</v>
      </c>
      <c r="BE30" s="145">
        <f>'Base de données indicateurs1'!BE33-'Base de données indicateurs1'!BE33+'Base de données indicateurs1'!BE54-'Base de données indicateurs1'!BE55</f>
        <v>7796.33</v>
      </c>
      <c r="BF30" s="4">
        <f t="shared" si="0"/>
        <v>-1763366.1800000004</v>
      </c>
      <c r="BG30" s="4">
        <f t="shared" si="1"/>
        <v>3917704.0300000007</v>
      </c>
      <c r="BH30" s="4">
        <f t="shared" si="2"/>
        <v>394696.86000000004</v>
      </c>
    </row>
    <row r="31" spans="1:60" x14ac:dyDescent="0.3">
      <c r="A31" s="114" t="s">
        <v>98</v>
      </c>
      <c r="B31" s="115" t="s">
        <v>231</v>
      </c>
      <c r="C31" s="114">
        <v>33</v>
      </c>
      <c r="D31" s="116">
        <f>'Base de données indicateurs1'!BF20</f>
        <v>17465661.400000006</v>
      </c>
      <c r="E31" s="4">
        <f>'Base de données indicateurs1'!E20</f>
        <v>487774.58</v>
      </c>
      <c r="F31" s="4">
        <f>'Base de données indicateurs1'!F20</f>
        <v>50349</v>
      </c>
      <c r="G31" s="4">
        <f>'Base de données indicateurs1'!G20</f>
        <v>26490.3</v>
      </c>
      <c r="H31" s="4">
        <f>'Base de données indicateurs1'!H20</f>
        <v>93840</v>
      </c>
      <c r="I31" s="4">
        <f>'Base de données indicateurs1'!I20</f>
        <v>497197</v>
      </c>
      <c r="J31" s="4">
        <f>'Base de données indicateurs1'!J20</f>
        <v>834227.87</v>
      </c>
      <c r="K31" s="4">
        <f>'Base de données indicateurs1'!K20</f>
        <v>436693.95</v>
      </c>
      <c r="L31" s="4">
        <f>'Base de données indicateurs1'!L20</f>
        <v>3184573.05</v>
      </c>
      <c r="M31" s="4">
        <f>'Base de données indicateurs1'!M20</f>
        <v>192920</v>
      </c>
      <c r="N31" s="4">
        <f>'Base de données indicateurs1'!N20</f>
        <v>0</v>
      </c>
      <c r="O31" s="4">
        <f>'Base de données indicateurs1'!O20</f>
        <v>1048101.7</v>
      </c>
      <c r="P31" s="4">
        <f>'Base de données indicateurs1'!P20</f>
        <v>137078</v>
      </c>
      <c r="Q31" s="4">
        <f>'Base de données indicateurs1'!Q20</f>
        <v>12845</v>
      </c>
      <c r="R31" s="4">
        <f>'Base de données indicateurs1'!R20</f>
        <v>81200</v>
      </c>
      <c r="S31" s="4">
        <f>'Base de données indicateurs1'!S20</f>
        <v>67550</v>
      </c>
      <c r="T31" s="4">
        <f>'Base de données indicateurs1'!T20</f>
        <v>102560</v>
      </c>
      <c r="U31" s="4">
        <f>'Base de données indicateurs1'!U20</f>
        <v>21086</v>
      </c>
      <c r="V31" s="4">
        <f>'Base de données indicateurs1'!V20</f>
        <v>149609.54999999999</v>
      </c>
      <c r="W31" s="4">
        <f>'Base de données indicateurs1'!W20</f>
        <v>849975.67</v>
      </c>
      <c r="X31" s="4">
        <f>'Base de données indicateurs1'!X20</f>
        <v>51671</v>
      </c>
      <c r="Y31" s="4">
        <f>'Base de données indicateurs1'!Y20</f>
        <v>216817</v>
      </c>
      <c r="Z31" s="4">
        <f>'Base de données indicateurs1'!Z20</f>
        <v>268500</v>
      </c>
      <c r="AA31" s="4">
        <f>'Base de données indicateurs1'!AA20</f>
        <v>40237</v>
      </c>
      <c r="AB31" s="4">
        <f>'Base de données indicateurs1'!AB20</f>
        <v>700</v>
      </c>
      <c r="AC31" s="4">
        <f>'Base de données indicateurs1'!AC20</f>
        <v>59546.8</v>
      </c>
      <c r="AD31" s="4">
        <f>'Base de données indicateurs1'!AD20</f>
        <v>118375</v>
      </c>
      <c r="AE31" s="4">
        <f>'Base de données indicateurs1'!AE20</f>
        <v>112900</v>
      </c>
      <c r="AF31" s="4">
        <f>'Base de données indicateurs1'!AF20</f>
        <v>46101.55</v>
      </c>
      <c r="AG31" s="4">
        <f>'Base de données indicateurs1'!AG20</f>
        <v>439539</v>
      </c>
      <c r="AH31" s="4">
        <f>'Base de données indicateurs1'!AH20</f>
        <v>966285</v>
      </c>
      <c r="AI31" s="4">
        <f>'Base de données indicateurs1'!AI20</f>
        <v>47194</v>
      </c>
      <c r="AJ31" s="4">
        <f>'Base de données indicateurs1'!AJ20</f>
        <v>4720</v>
      </c>
      <c r="AK31" s="4">
        <f>'Base de données indicateurs1'!AK20</f>
        <v>0</v>
      </c>
      <c r="AL31" s="4">
        <f>'Base de données indicateurs1'!AL20</f>
        <v>236997</v>
      </c>
      <c r="AM31" s="4">
        <f>'Base de données indicateurs1'!AM20</f>
        <v>172530</v>
      </c>
      <c r="AN31" s="4">
        <f>'Base de données indicateurs1'!AN20</f>
        <v>18600</v>
      </c>
      <c r="AO31" s="4">
        <f>'Base de données indicateurs1'!AO20</f>
        <v>371459</v>
      </c>
      <c r="AP31" s="4">
        <f>'Base de données indicateurs1'!AP20</f>
        <v>54350</v>
      </c>
      <c r="AQ31" s="4">
        <f>'Base de données indicateurs1'!AQ20</f>
        <v>151720</v>
      </c>
      <c r="AR31" s="4">
        <f>'Base de données indicateurs1'!AR20</f>
        <v>509414.85</v>
      </c>
      <c r="AS31" s="4">
        <f>'Base de données indicateurs1'!AS20</f>
        <v>99234.8</v>
      </c>
      <c r="AT31" s="4">
        <f>'Base de données indicateurs1'!AT20</f>
        <v>150006.67000000001</v>
      </c>
      <c r="AU31" s="4">
        <f>'Base de données indicateurs1'!AU20</f>
        <v>432093.9</v>
      </c>
      <c r="AV31" s="4">
        <f>'Base de données indicateurs1'!AV20</f>
        <v>337553.91</v>
      </c>
      <c r="AW31" s="4">
        <f>'Base de données indicateurs1'!AW20</f>
        <v>70004.160000000003</v>
      </c>
      <c r="AX31" s="4">
        <f>'Base de données indicateurs1'!AX20</f>
        <v>11750</v>
      </c>
      <c r="AY31" s="4">
        <f>'Base de données indicateurs1'!AY20</f>
        <v>141500</v>
      </c>
      <c r="AZ31" s="4">
        <f>'Base de données indicateurs1'!AZ20</f>
        <v>451323.05</v>
      </c>
      <c r="BA31" s="4">
        <f>'Base de données indicateurs1'!BA20</f>
        <v>29040</v>
      </c>
      <c r="BB31" s="4">
        <f>'Base de données indicateurs1'!BB20</f>
        <v>381409.63</v>
      </c>
      <c r="BC31" s="4">
        <f>'Base de données indicateurs1'!BC20</f>
        <v>12476</v>
      </c>
      <c r="BD31" s="4">
        <f>'Base de données indicateurs1'!BD20</f>
        <v>3089940.09</v>
      </c>
      <c r="BE31" s="4">
        <f>'Base de données indicateurs1'!BE20</f>
        <v>97600.320000000007</v>
      </c>
      <c r="BF31" s="4">
        <f t="shared" si="0"/>
        <v>8274071.6699999999</v>
      </c>
      <c r="BG31" s="4">
        <f t="shared" si="1"/>
        <v>2372586.35</v>
      </c>
      <c r="BH31" s="4">
        <f t="shared" si="2"/>
        <v>6819003.3800000008</v>
      </c>
    </row>
    <row r="32" spans="1:60" x14ac:dyDescent="0.3">
      <c r="A32" s="114" t="s">
        <v>233</v>
      </c>
      <c r="B32" s="115" t="s">
        <v>231</v>
      </c>
      <c r="C32" s="114">
        <v>35</v>
      </c>
      <c r="D32" s="116">
        <f>'Base de données indicateurs1'!BF24</f>
        <v>797548.13</v>
      </c>
      <c r="E32" s="4">
        <f>'Base de données indicateurs1'!E24</f>
        <v>21282.55</v>
      </c>
      <c r="F32" s="4">
        <f>'Base de données indicateurs1'!F24</f>
        <v>5654.61</v>
      </c>
      <c r="G32" s="4">
        <f>'Base de données indicateurs1'!G24</f>
        <v>0</v>
      </c>
      <c r="H32" s="4">
        <f>'Base de données indicateurs1'!H24</f>
        <v>94934.75</v>
      </c>
      <c r="I32" s="4">
        <f>'Base de données indicateurs1'!I24</f>
        <v>0</v>
      </c>
      <c r="J32" s="4">
        <f>'Base de données indicateurs1'!J24</f>
        <v>8283.7999999999993</v>
      </c>
      <c r="K32" s="4">
        <f>'Base de données indicateurs1'!K24</f>
        <v>42325.02</v>
      </c>
      <c r="L32" s="4">
        <f>'Base de données indicateurs1'!L24</f>
        <v>0</v>
      </c>
      <c r="M32" s="4">
        <f>'Base de données indicateurs1'!M24</f>
        <v>0</v>
      </c>
      <c r="N32" s="4">
        <f>'Base de données indicateurs1'!N24</f>
        <v>0</v>
      </c>
      <c r="O32" s="4">
        <f>'Base de données indicateurs1'!O24</f>
        <v>0</v>
      </c>
      <c r="P32" s="4">
        <f>'Base de données indicateurs1'!P24</f>
        <v>43166.75</v>
      </c>
      <c r="Q32" s="4">
        <f>'Base de données indicateurs1'!Q24</f>
        <v>0</v>
      </c>
      <c r="R32" s="4">
        <f>'Base de données indicateurs1'!R24</f>
        <v>125</v>
      </c>
      <c r="S32" s="4">
        <f>'Base de données indicateurs1'!S24</f>
        <v>0</v>
      </c>
      <c r="T32" s="4">
        <f>'Base de données indicateurs1'!T24</f>
        <v>0</v>
      </c>
      <c r="U32" s="4">
        <f>'Base de données indicateurs1'!U24</f>
        <v>4815</v>
      </c>
      <c r="V32" s="4">
        <f>'Base de données indicateurs1'!V24</f>
        <v>0</v>
      </c>
      <c r="W32" s="4">
        <f>'Base de données indicateurs1'!W24</f>
        <v>0</v>
      </c>
      <c r="X32" s="4">
        <f>'Base de données indicateurs1'!X24</f>
        <v>44370</v>
      </c>
      <c r="Y32" s="4">
        <f>'Base de données indicateurs1'!Y24</f>
        <v>304.89999999999998</v>
      </c>
      <c r="Z32" s="4">
        <f>'Base de données indicateurs1'!Z24</f>
        <v>14938.12</v>
      </c>
      <c r="AA32" s="4">
        <f>'Base de données indicateurs1'!AA24</f>
        <v>7247</v>
      </c>
      <c r="AB32" s="4">
        <f>'Base de données indicateurs1'!AB24</f>
        <v>0</v>
      </c>
      <c r="AC32" s="4">
        <f>'Base de données indicateurs1'!AC24</f>
        <v>978.98</v>
      </c>
      <c r="AD32" s="4">
        <f>'Base de données indicateurs1'!AD24</f>
        <v>4605.6499999999996</v>
      </c>
      <c r="AE32" s="4">
        <f>'Base de données indicateurs1'!AE24</f>
        <v>6363.23</v>
      </c>
      <c r="AF32" s="4">
        <f>'Base de données indicateurs1'!AF24</f>
        <v>88954</v>
      </c>
      <c r="AG32" s="4">
        <f>'Base de données indicateurs1'!AG24</f>
        <v>0</v>
      </c>
      <c r="AH32" s="4">
        <f>'Base de données indicateurs1'!AH24</f>
        <v>35175</v>
      </c>
      <c r="AI32" s="4">
        <f>'Base de données indicateurs1'!AI24</f>
        <v>10405</v>
      </c>
      <c r="AJ32" s="4">
        <f>'Base de données indicateurs1'!AJ24</f>
        <v>3000</v>
      </c>
      <c r="AK32" s="4">
        <f>'Base de données indicateurs1'!AK24</f>
        <v>5000</v>
      </c>
      <c r="AL32" s="4">
        <f>'Base de données indicateurs1'!AL24</f>
        <v>0</v>
      </c>
      <c r="AM32" s="4">
        <f>'Base de données indicateurs1'!AM24</f>
        <v>0</v>
      </c>
      <c r="AN32" s="4">
        <f>'Base de données indicateurs1'!AN24</f>
        <v>668.62</v>
      </c>
      <c r="AO32" s="4">
        <f>'Base de données indicateurs1'!AO24</f>
        <v>747.6</v>
      </c>
      <c r="AP32" s="4">
        <f>'Base de données indicateurs1'!AP24</f>
        <v>0</v>
      </c>
      <c r="AQ32" s="4">
        <f>'Base de données indicateurs1'!AQ24</f>
        <v>12042</v>
      </c>
      <c r="AR32" s="4">
        <f>'Base de données indicateurs1'!AR24</f>
        <v>88595.55</v>
      </c>
      <c r="AS32" s="4">
        <f>'Base de données indicateurs1'!AS24</f>
        <v>91611.82</v>
      </c>
      <c r="AT32" s="4">
        <f>'Base de données indicateurs1'!AT24</f>
        <v>1674.66</v>
      </c>
      <c r="AU32" s="4">
        <f>'Base de données indicateurs1'!AU24</f>
        <v>86982.5</v>
      </c>
      <c r="AV32" s="4">
        <f>'Base de données indicateurs1'!AV24</f>
        <v>357.23</v>
      </c>
      <c r="AW32" s="4">
        <f>'Base de données indicateurs1'!AW24</f>
        <v>15048</v>
      </c>
      <c r="AX32" s="4">
        <f>'Base de données indicateurs1'!AX24</f>
        <v>117.04</v>
      </c>
      <c r="AY32" s="4">
        <f>'Base de données indicateurs1'!AY24</f>
        <v>0</v>
      </c>
      <c r="AZ32" s="4">
        <f>'Base de données indicateurs1'!AZ24</f>
        <v>0</v>
      </c>
      <c r="BA32" s="4">
        <f>'Base de données indicateurs1'!BA24</f>
        <v>0</v>
      </c>
      <c r="BB32" s="4">
        <f>'Base de données indicateurs1'!BB24</f>
        <v>38678.46</v>
      </c>
      <c r="BC32" s="4">
        <f>'Base de données indicateurs1'!BC24</f>
        <v>0</v>
      </c>
      <c r="BD32" s="4">
        <f>'Base de données indicateurs1'!BD24</f>
        <v>6315</v>
      </c>
      <c r="BE32" s="4">
        <f>'Base de données indicateurs1'!BE24</f>
        <v>12780.29</v>
      </c>
      <c r="BF32" s="4">
        <f t="shared" si="0"/>
        <v>220587.48</v>
      </c>
      <c r="BG32" s="4">
        <f t="shared" si="1"/>
        <v>216341.88</v>
      </c>
      <c r="BH32" s="4">
        <f t="shared" si="2"/>
        <v>360618.76999999996</v>
      </c>
    </row>
    <row r="33" spans="1:60" x14ac:dyDescent="0.3">
      <c r="A33" s="114" t="s">
        <v>174</v>
      </c>
      <c r="B33" s="115" t="s">
        <v>232</v>
      </c>
      <c r="C33" s="114">
        <v>45</v>
      </c>
      <c r="D33" s="116">
        <f>'Base de données indicateurs1'!BF47</f>
        <v>1070928.5399999998</v>
      </c>
      <c r="E33" s="4">
        <f>'Base de données indicateurs1'!E47</f>
        <v>2612.4499999999998</v>
      </c>
      <c r="F33" s="4">
        <f>'Base de données indicateurs1'!F47</f>
        <v>0</v>
      </c>
      <c r="G33" s="4">
        <f>'Base de données indicateurs1'!G47</f>
        <v>52538.2</v>
      </c>
      <c r="H33" s="4">
        <f>'Base de données indicateurs1'!H47</f>
        <v>21235</v>
      </c>
      <c r="I33" s="4">
        <f>'Base de données indicateurs1'!I47</f>
        <v>0</v>
      </c>
      <c r="J33" s="4">
        <f>'Base de données indicateurs1'!J47</f>
        <v>9247.6</v>
      </c>
      <c r="K33" s="4">
        <f>'Base de données indicateurs1'!K47</f>
        <v>25559.85</v>
      </c>
      <c r="L33" s="4">
        <f>'Base de données indicateurs1'!L47</f>
        <v>41211.35</v>
      </c>
      <c r="M33" s="4">
        <f>'Base de données indicateurs1'!M47</f>
        <v>3896.35</v>
      </c>
      <c r="N33" s="4">
        <f>'Base de données indicateurs1'!N47</f>
        <v>0</v>
      </c>
      <c r="O33" s="4">
        <f>'Base de données indicateurs1'!O47</f>
        <v>19882.5</v>
      </c>
      <c r="P33" s="4">
        <f>'Base de données indicateurs1'!P47</f>
        <v>28838.6</v>
      </c>
      <c r="Q33" s="4">
        <f>'Base de données indicateurs1'!Q47</f>
        <v>37386</v>
      </c>
      <c r="R33" s="4">
        <f>'Base de données indicateurs1'!R47</f>
        <v>0</v>
      </c>
      <c r="S33" s="4">
        <f>'Base de données indicateurs1'!S47</f>
        <v>0</v>
      </c>
      <c r="T33" s="4">
        <f>'Base de données indicateurs1'!T47</f>
        <v>1908.7</v>
      </c>
      <c r="U33" s="4">
        <f>'Base de données indicateurs1'!U47</f>
        <v>760.75</v>
      </c>
      <c r="V33" s="4">
        <f>'Base de données indicateurs1'!V47</f>
        <v>1216</v>
      </c>
      <c r="W33" s="4">
        <f>'Base de données indicateurs1'!W47</f>
        <v>9045.5</v>
      </c>
      <c r="X33" s="4">
        <f>'Base de données indicateurs1'!X47</f>
        <v>41224</v>
      </c>
      <c r="Y33" s="4">
        <f>'Base de données indicateurs1'!Y47</f>
        <v>3475.3</v>
      </c>
      <c r="Z33" s="4">
        <f>'Base de données indicateurs1'!Z47</f>
        <v>4342.8900000000003</v>
      </c>
      <c r="AA33" s="4">
        <f>'Base de données indicateurs1'!AA47</f>
        <v>0</v>
      </c>
      <c r="AB33" s="4">
        <f>'Base de données indicateurs1'!AB47</f>
        <v>1826.7</v>
      </c>
      <c r="AC33" s="4">
        <f>'Base de données indicateurs1'!AC47</f>
        <v>17757.55</v>
      </c>
      <c r="AD33" s="4">
        <f>'Base de données indicateurs1'!AD47</f>
        <v>1896.3</v>
      </c>
      <c r="AE33" s="4">
        <f>'Base de données indicateurs1'!AE47</f>
        <v>1622.9</v>
      </c>
      <c r="AF33" s="4">
        <f>'Base de données indicateurs1'!AF47</f>
        <v>101694.38</v>
      </c>
      <c r="AG33" s="4">
        <f>'Base de données indicateurs1'!AG47</f>
        <v>15235.5</v>
      </c>
      <c r="AH33" s="4">
        <f>'Base de données indicateurs1'!AH47</f>
        <v>18816</v>
      </c>
      <c r="AI33" s="4">
        <f>'Base de données indicateurs1'!AI47</f>
        <v>2</v>
      </c>
      <c r="AJ33" s="4">
        <f>'Base de données indicateurs1'!AJ47</f>
        <v>13682</v>
      </c>
      <c r="AK33" s="4">
        <f>'Base de données indicateurs1'!AK47</f>
        <v>19457.7</v>
      </c>
      <c r="AL33" s="4">
        <f>'Base de données indicateurs1'!AL47</f>
        <v>1404</v>
      </c>
      <c r="AM33" s="4">
        <f>'Base de données indicateurs1'!AM47</f>
        <v>0</v>
      </c>
      <c r="AN33" s="4">
        <f>'Base de données indicateurs1'!AN47</f>
        <v>329.1</v>
      </c>
      <c r="AO33" s="4">
        <f>'Base de données indicateurs1'!AO47</f>
        <v>30380.65</v>
      </c>
      <c r="AP33" s="4">
        <f>'Base de données indicateurs1'!AP47</f>
        <v>0</v>
      </c>
      <c r="AQ33" s="4">
        <f>'Base de données indicateurs1'!AQ47</f>
        <v>1827</v>
      </c>
      <c r="AR33" s="4">
        <f>'Base de données indicateurs1'!AR47</f>
        <v>414185.15</v>
      </c>
      <c r="AS33" s="4">
        <f>'Base de données indicateurs1'!AS47</f>
        <v>15731.1</v>
      </c>
      <c r="AT33" s="4">
        <f>'Base de données indicateurs1'!AT47</f>
        <v>20060.32</v>
      </c>
      <c r="AU33" s="4">
        <f>'Base de données indicateurs1'!AU47</f>
        <v>70569.3</v>
      </c>
      <c r="AV33" s="4">
        <f>'Base de données indicateurs1'!AV47</f>
        <v>6699.85</v>
      </c>
      <c r="AW33" s="4">
        <f>'Base de données indicateurs1'!AW47</f>
        <v>2179.9499999999998</v>
      </c>
      <c r="AX33" s="4">
        <f>'Base de données indicateurs1'!AX47</f>
        <v>529.95000000000005</v>
      </c>
      <c r="AY33" s="4">
        <f>'Base de données indicateurs1'!AY47</f>
        <v>0</v>
      </c>
      <c r="AZ33" s="4">
        <f>'Base de données indicateurs1'!AZ47</f>
        <v>9743.15</v>
      </c>
      <c r="BA33" s="4">
        <f>'Base de données indicateurs1'!BA47</f>
        <v>0</v>
      </c>
      <c r="BB33" s="4">
        <f>'Base de données indicateurs1'!BB47</f>
        <v>0</v>
      </c>
      <c r="BC33" s="4">
        <f>'Base de données indicateurs1'!BC47</f>
        <v>0</v>
      </c>
      <c r="BD33" s="4">
        <f>'Base de données indicateurs1'!BD47</f>
        <v>820.95</v>
      </c>
      <c r="BE33" s="4">
        <f>'Base de données indicateurs1'!BE47</f>
        <v>96</v>
      </c>
      <c r="BF33" s="4">
        <f t="shared" si="0"/>
        <v>255338.85000000003</v>
      </c>
      <c r="BG33" s="4">
        <f t="shared" si="1"/>
        <v>221575.52000000002</v>
      </c>
      <c r="BH33" s="4">
        <f t="shared" si="2"/>
        <v>594014.16999999993</v>
      </c>
    </row>
    <row r="34" spans="1:60" x14ac:dyDescent="0.3">
      <c r="A34" s="114" t="s">
        <v>519</v>
      </c>
      <c r="B34" s="115" t="s">
        <v>231</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3">
      <c r="A35" s="114" t="s">
        <v>520</v>
      </c>
      <c r="B35" s="115" t="s">
        <v>231</v>
      </c>
      <c r="C35" s="114">
        <v>365</v>
      </c>
      <c r="D35" s="116">
        <f>'Base de données indicateurs1'!BF29</f>
        <v>8100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8100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8100</v>
      </c>
      <c r="BG35" s="4">
        <f t="shared" si="1"/>
        <v>0</v>
      </c>
      <c r="BH35" s="4">
        <f t="shared" si="2"/>
        <v>0</v>
      </c>
    </row>
    <row r="36" spans="1:60" x14ac:dyDescent="0.3">
      <c r="A36" s="114" t="s">
        <v>521</v>
      </c>
      <c r="B36" s="115" t="s">
        <v>231</v>
      </c>
      <c r="C36" s="114">
        <v>366</v>
      </c>
      <c r="D36" s="116">
        <f>'Base de données indicateurs1'!BF30</f>
        <v>15247.55</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15247.55</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15247.55</v>
      </c>
      <c r="BG36" s="4">
        <f t="shared" si="1"/>
        <v>0</v>
      </c>
      <c r="BH36" s="4">
        <f t="shared" si="2"/>
        <v>0</v>
      </c>
    </row>
    <row r="37" spans="1:60" x14ac:dyDescent="0.3">
      <c r="A37" s="114" t="s">
        <v>522</v>
      </c>
      <c r="B37" s="115" t="s">
        <v>231</v>
      </c>
      <c r="C37" s="114">
        <v>389</v>
      </c>
      <c r="D37" s="116">
        <f>'Base de données indicateurs1'!BF31</f>
        <v>5296393.62</v>
      </c>
      <c r="E37" s="4">
        <f>'Base de données indicateurs1'!E31</f>
        <v>320000</v>
      </c>
      <c r="F37" s="4">
        <f>'Base de données indicateurs1'!F31</f>
        <v>0</v>
      </c>
      <c r="G37" s="4">
        <f>'Base de données indicateurs1'!G31</f>
        <v>0</v>
      </c>
      <c r="H37" s="4">
        <f>'Base de données indicateurs1'!H31</f>
        <v>201.69</v>
      </c>
      <c r="I37" s="4">
        <f>'Base de données indicateurs1'!I31</f>
        <v>0</v>
      </c>
      <c r="J37" s="4">
        <f>'Base de données indicateurs1'!J31</f>
        <v>400000</v>
      </c>
      <c r="K37" s="4">
        <f>'Base de données indicateurs1'!K31</f>
        <v>0</v>
      </c>
      <c r="L37" s="4">
        <f>'Base de données indicateurs1'!L31</f>
        <v>0</v>
      </c>
      <c r="M37" s="4">
        <f>'Base de données indicateurs1'!M31</f>
        <v>0</v>
      </c>
      <c r="N37" s="4">
        <f>'Base de données indicateurs1'!N31</f>
        <v>0</v>
      </c>
      <c r="O37" s="4">
        <f>'Base de données indicateurs1'!O31</f>
        <v>0</v>
      </c>
      <c r="P37" s="4">
        <f>'Base de données indicateurs1'!P31</f>
        <v>8327.56</v>
      </c>
      <c r="Q37" s="4">
        <f>'Base de données indicateurs1'!Q31</f>
        <v>0</v>
      </c>
      <c r="R37" s="4">
        <f>'Base de données indicateurs1'!R31</f>
        <v>0</v>
      </c>
      <c r="S37" s="4">
        <f>'Base de données indicateurs1'!S31</f>
        <v>0</v>
      </c>
      <c r="T37" s="4">
        <f>'Base de données indicateurs1'!T31</f>
        <v>0</v>
      </c>
      <c r="U37" s="4">
        <f>'Base de données indicateurs1'!U31</f>
        <v>0</v>
      </c>
      <c r="V37" s="4">
        <f>'Base de données indicateurs1'!V31</f>
        <v>0</v>
      </c>
      <c r="W37" s="4">
        <f>'Base de données indicateurs1'!W31</f>
        <v>250000</v>
      </c>
      <c r="X37" s="4">
        <f>'Base de données indicateurs1'!X31</f>
        <v>70000</v>
      </c>
      <c r="Y37" s="4">
        <f>'Base de données indicateurs1'!Y31</f>
        <v>0</v>
      </c>
      <c r="Z37" s="4">
        <f>'Base de données indicateurs1'!Z31</f>
        <v>0</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400000</v>
      </c>
      <c r="AG37" s="4">
        <f>'Base de données indicateurs1'!AG31</f>
        <v>0</v>
      </c>
      <c r="AH37" s="4">
        <f>'Base de données indicateurs1'!AH31</f>
        <v>150000</v>
      </c>
      <c r="AI37" s="4">
        <f>'Base de données indicateurs1'!AI31</f>
        <v>140000</v>
      </c>
      <c r="AJ37" s="4">
        <f>'Base de données indicateurs1'!AJ31</f>
        <v>0</v>
      </c>
      <c r="AK37" s="4">
        <f>'Base de données indicateurs1'!AK31</f>
        <v>0</v>
      </c>
      <c r="AL37" s="4">
        <f>'Base de données indicateurs1'!AL31</f>
        <v>148400</v>
      </c>
      <c r="AM37" s="4">
        <f>'Base de données indicateurs1'!AM31</f>
        <v>0</v>
      </c>
      <c r="AN37" s="4">
        <f>'Base de données indicateurs1'!AN31</f>
        <v>492.17</v>
      </c>
      <c r="AO37" s="4">
        <f>'Base de données indicateurs1'!AO31</f>
        <v>0</v>
      </c>
      <c r="AP37" s="4">
        <f>'Base de données indicateurs1'!AP31</f>
        <v>300000</v>
      </c>
      <c r="AQ37" s="4">
        <f>'Base de données indicateurs1'!AQ31</f>
        <v>100000</v>
      </c>
      <c r="AR37" s="4">
        <f>'Base de données indicateurs1'!AR31</f>
        <v>520000</v>
      </c>
      <c r="AS37" s="4">
        <f>'Base de données indicateurs1'!AS31</f>
        <v>0</v>
      </c>
      <c r="AT37" s="4">
        <f>'Base de données indicateurs1'!AT31</f>
        <v>0</v>
      </c>
      <c r="AU37" s="4">
        <f>'Base de données indicateurs1'!AU31</f>
        <v>826972.2</v>
      </c>
      <c r="AV37" s="4">
        <f>'Base de données indicateurs1'!AV31</f>
        <v>0</v>
      </c>
      <c r="AW37" s="4">
        <f>'Base de données indicateurs1'!AW31</f>
        <v>0</v>
      </c>
      <c r="AX37" s="4">
        <f>'Base de données indicateurs1'!AX31</f>
        <v>0</v>
      </c>
      <c r="AY37" s="4">
        <f>'Base de données indicateurs1'!AY31</f>
        <v>58000</v>
      </c>
      <c r="AZ37" s="4">
        <f>'Base de données indicateurs1'!AZ31</f>
        <v>150000</v>
      </c>
      <c r="BA37" s="4">
        <f>'Base de données indicateurs1'!BA31</f>
        <v>200000</v>
      </c>
      <c r="BB37" s="4">
        <f>'Base de données indicateurs1'!BB31</f>
        <v>454000</v>
      </c>
      <c r="BC37" s="4">
        <f>'Base de données indicateurs1'!BC31</f>
        <v>0</v>
      </c>
      <c r="BD37" s="4">
        <f>'Base de données indicateurs1'!BD31</f>
        <v>800000</v>
      </c>
      <c r="BE37" s="4">
        <f>'Base de données indicateurs1'!BE31</f>
        <v>0</v>
      </c>
      <c r="BF37" s="4">
        <f t="shared" si="0"/>
        <v>978529.25</v>
      </c>
      <c r="BG37" s="4">
        <f t="shared" si="1"/>
        <v>760000</v>
      </c>
      <c r="BH37" s="4">
        <f t="shared" si="2"/>
        <v>3557864.37</v>
      </c>
    </row>
    <row r="38" spans="1:60" x14ac:dyDescent="0.3">
      <c r="A38" s="114" t="s">
        <v>239</v>
      </c>
      <c r="B38" s="115" t="s">
        <v>232</v>
      </c>
      <c r="C38" s="114">
        <v>489</v>
      </c>
      <c r="D38" s="116">
        <f>'Base de données indicateurs1'!BF51</f>
        <v>2275423.12</v>
      </c>
      <c r="E38" s="4">
        <f>'Base de données indicateurs1'!E51</f>
        <v>0</v>
      </c>
      <c r="F38" s="4">
        <f>'Base de données indicateurs1'!F51</f>
        <v>0</v>
      </c>
      <c r="G38" s="4">
        <f>'Base de données indicateurs1'!G51</f>
        <v>0</v>
      </c>
      <c r="H38" s="4">
        <f>'Base de données indicateurs1'!H51</f>
        <v>0</v>
      </c>
      <c r="I38" s="4">
        <f>'Base de données indicateurs1'!I51</f>
        <v>300000</v>
      </c>
      <c r="J38" s="4">
        <f>'Base de données indicateurs1'!J51</f>
        <v>0</v>
      </c>
      <c r="K38" s="4">
        <f>'Base de données indicateurs1'!K51</f>
        <v>0</v>
      </c>
      <c r="L38" s="4">
        <f>'Base de données indicateurs1'!L51</f>
        <v>1100000</v>
      </c>
      <c r="M38" s="4">
        <f>'Base de données indicateurs1'!M51</f>
        <v>0</v>
      </c>
      <c r="N38" s="4">
        <f>'Base de données indicateurs1'!N51</f>
        <v>0</v>
      </c>
      <c r="O38" s="4">
        <f>'Base de données indicateurs1'!O51</f>
        <v>2478.3000000000002</v>
      </c>
      <c r="P38" s="4">
        <f>'Base de données indicateurs1'!P51</f>
        <v>0</v>
      </c>
      <c r="Q38" s="4">
        <f>'Base de données indicateurs1'!Q51</f>
        <v>20000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206471.32</v>
      </c>
      <c r="AD38" s="4">
        <f>'Base de données indicateurs1'!AD51</f>
        <v>151113.5</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0</v>
      </c>
      <c r="AM38" s="4">
        <f>'Base de données indicateurs1'!AM51</f>
        <v>0</v>
      </c>
      <c r="AN38" s="4">
        <f>'Base de données indicateurs1'!AN51</f>
        <v>0</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50000</v>
      </c>
      <c r="AU38" s="4">
        <f>'Base de données indicateurs1'!AU51</f>
        <v>0</v>
      </c>
      <c r="AV38" s="4">
        <f>'Base de données indicateurs1'!AV51</f>
        <v>425359</v>
      </c>
      <c r="AW38" s="4">
        <f>'Base de données indicateurs1'!AW51</f>
        <v>0</v>
      </c>
      <c r="AX38" s="4">
        <f>'Base de données indicateurs1'!AX51</f>
        <v>20000</v>
      </c>
      <c r="AY38" s="4">
        <f>'Base de données indicateurs1'!AY51</f>
        <v>0</v>
      </c>
      <c r="AZ38" s="4">
        <f>'Base de données indicateurs1'!AZ51</f>
        <v>0</v>
      </c>
      <c r="BA38" s="4">
        <f>'Base de données indicateurs1'!BA51</f>
        <v>0</v>
      </c>
      <c r="BB38" s="4">
        <f>'Base de données indicateurs1'!BB51</f>
        <v>0</v>
      </c>
      <c r="BC38" s="4">
        <f>'Base de données indicateurs1'!BC51</f>
        <v>1</v>
      </c>
      <c r="BD38" s="4">
        <f>'Base de données indicateurs1'!BD51</f>
        <v>0</v>
      </c>
      <c r="BE38" s="4">
        <f>'Base de données indicateurs1'!BE51</f>
        <v>0</v>
      </c>
      <c r="BF38" s="4">
        <f t="shared" si="0"/>
        <v>1422478.3</v>
      </c>
      <c r="BG38" s="4">
        <f t="shared" si="1"/>
        <v>357584.82</v>
      </c>
      <c r="BH38" s="4">
        <f t="shared" si="2"/>
        <v>495360</v>
      </c>
    </row>
    <row r="39" spans="1:60" x14ac:dyDescent="0.3">
      <c r="A39" s="114" t="s">
        <v>523</v>
      </c>
      <c r="B39" s="115" t="s">
        <v>232</v>
      </c>
      <c r="C39" s="114">
        <v>4490</v>
      </c>
      <c r="D39" s="116">
        <f>'Base de données indicateurs1'!BF46</f>
        <v>299999</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0</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299999</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0</v>
      </c>
      <c r="BE39" s="4">
        <f>'Base de données indicateurs1'!BE46</f>
        <v>0</v>
      </c>
      <c r="BF39" s="4">
        <f t="shared" si="0"/>
        <v>0</v>
      </c>
      <c r="BG39" s="4">
        <f t="shared" si="1"/>
        <v>0</v>
      </c>
      <c r="BH39" s="4">
        <f t="shared" si="2"/>
        <v>299999</v>
      </c>
    </row>
    <row r="40" spans="1:60" ht="15" thickBot="1" x14ac:dyDescent="0.35">
      <c r="B40" s="121"/>
      <c r="D40" s="4"/>
      <c r="BF40" s="4"/>
      <c r="BG40" s="4"/>
      <c r="BH40" s="4"/>
    </row>
    <row r="41" spans="1:60" ht="15" thickBot="1" x14ac:dyDescent="0.35">
      <c r="A41" s="7" t="s">
        <v>524</v>
      </c>
      <c r="B41" s="64"/>
      <c r="C41" s="7"/>
      <c r="D41" s="120">
        <f>SUM(D30:D32,D34:D37)-SUM(D33,D38:D39)</f>
        <v>22485634.750000007</v>
      </c>
      <c r="E41" s="144">
        <f>SUM(E30:E32,E34:E37)-SUM(E33,E38:E39)</f>
        <v>832459.83000000007</v>
      </c>
      <c r="F41" s="129">
        <f t="shared" ref="F41:BE41" si="6">SUM(F30:F32,F34:F37)-SUM(F33,F38:F39)</f>
        <v>205445.28</v>
      </c>
      <c r="G41" s="129">
        <f t="shared" si="6"/>
        <v>-61794.959999999992</v>
      </c>
      <c r="H41" s="129">
        <f t="shared" si="6"/>
        <v>189395.1</v>
      </c>
      <c r="I41" s="129">
        <f t="shared" si="6"/>
        <v>164.30999999999767</v>
      </c>
      <c r="J41" s="129">
        <f t="shared" si="6"/>
        <v>1876600.28</v>
      </c>
      <c r="K41" s="129">
        <f t="shared" si="6"/>
        <v>486979.09000000008</v>
      </c>
      <c r="L41" s="129">
        <f t="shared" si="6"/>
        <v>1468726.6999999997</v>
      </c>
      <c r="M41" s="129">
        <f t="shared" si="6"/>
        <v>45022.169999999991</v>
      </c>
      <c r="N41" s="129">
        <f t="shared" si="6"/>
        <v>0</v>
      </c>
      <c r="O41" s="129">
        <f t="shared" si="6"/>
        <v>-408267.07000000007</v>
      </c>
      <c r="P41" s="129">
        <f t="shared" si="6"/>
        <v>66001.91</v>
      </c>
      <c r="Q41" s="129">
        <f t="shared" si="6"/>
        <v>-73417.52</v>
      </c>
      <c r="R41" s="129">
        <f t="shared" si="6"/>
        <v>64471.42</v>
      </c>
      <c r="S41" s="129">
        <f t="shared" si="6"/>
        <v>54478.63</v>
      </c>
      <c r="T41" s="129">
        <f t="shared" si="6"/>
        <v>181886.19</v>
      </c>
      <c r="U41" s="129">
        <f t="shared" si="6"/>
        <v>31257.25</v>
      </c>
      <c r="V41" s="129">
        <f t="shared" si="6"/>
        <v>-3983.6100000000151</v>
      </c>
      <c r="W41" s="129">
        <f t="shared" si="6"/>
        <v>1099927.6200000001</v>
      </c>
      <c r="X41" s="129">
        <f t="shared" si="6"/>
        <v>151103</v>
      </c>
      <c r="Y41" s="129">
        <f t="shared" si="6"/>
        <v>308378.78000000003</v>
      </c>
      <c r="Z41" s="129">
        <f t="shared" si="6"/>
        <v>3612940.13</v>
      </c>
      <c r="AA41" s="129">
        <f t="shared" si="6"/>
        <v>44754.25</v>
      </c>
      <c r="AB41" s="129">
        <f t="shared" si="6"/>
        <v>-9198.24</v>
      </c>
      <c r="AC41" s="129">
        <f t="shared" si="6"/>
        <v>-278712.08999999997</v>
      </c>
      <c r="AD41" s="129">
        <f t="shared" si="6"/>
        <v>-199633.86</v>
      </c>
      <c r="AE41" s="129">
        <f t="shared" si="6"/>
        <v>-49418.240000000013</v>
      </c>
      <c r="AF41" s="129">
        <f t="shared" si="6"/>
        <v>460433.87</v>
      </c>
      <c r="AG41" s="129">
        <f t="shared" si="6"/>
        <v>1326940.22</v>
      </c>
      <c r="AH41" s="129">
        <f t="shared" si="6"/>
        <v>1154249</v>
      </c>
      <c r="AI41" s="129">
        <f t="shared" si="6"/>
        <v>199878</v>
      </c>
      <c r="AJ41" s="129">
        <f t="shared" si="6"/>
        <v>-34242.9</v>
      </c>
      <c r="AK41" s="129">
        <f t="shared" si="6"/>
        <v>78262.3</v>
      </c>
      <c r="AL41" s="129">
        <f t="shared" si="6"/>
        <v>351169</v>
      </c>
      <c r="AM41" s="129">
        <f t="shared" si="6"/>
        <v>74800</v>
      </c>
      <c r="AN41" s="129">
        <f t="shared" si="6"/>
        <v>33942.740000000005</v>
      </c>
      <c r="AO41" s="129">
        <f t="shared" si="6"/>
        <v>654861.09</v>
      </c>
      <c r="AP41" s="129">
        <f t="shared" si="6"/>
        <v>552003.74</v>
      </c>
      <c r="AQ41" s="129">
        <f t="shared" si="6"/>
        <v>300994</v>
      </c>
      <c r="AR41" s="129">
        <f t="shared" si="6"/>
        <v>754497.03999999992</v>
      </c>
      <c r="AS41" s="129">
        <f t="shared" si="6"/>
        <v>183781.52</v>
      </c>
      <c r="AT41" s="129">
        <f t="shared" si="6"/>
        <v>51568.060000000012</v>
      </c>
      <c r="AU41" s="129">
        <f t="shared" si="6"/>
        <v>1356568</v>
      </c>
      <c r="AV41" s="129">
        <f t="shared" si="6"/>
        <v>-824702.74</v>
      </c>
      <c r="AW41" s="129">
        <f t="shared" si="6"/>
        <v>41052.320000000007</v>
      </c>
      <c r="AX41" s="129">
        <f t="shared" si="6"/>
        <v>1414.0600000000013</v>
      </c>
      <c r="AY41" s="129">
        <f t="shared" si="6"/>
        <v>225632.85</v>
      </c>
      <c r="AZ41" s="129">
        <f t="shared" si="6"/>
        <v>670622.73</v>
      </c>
      <c r="BA41" s="129">
        <f t="shared" si="6"/>
        <v>253173.4</v>
      </c>
      <c r="BB41" s="129">
        <f t="shared" si="6"/>
        <v>769502.15</v>
      </c>
      <c r="BC41" s="129">
        <f t="shared" si="6"/>
        <v>10198.42</v>
      </c>
      <c r="BD41" s="129">
        <f t="shared" si="6"/>
        <v>4085388.59</v>
      </c>
      <c r="BE41" s="129">
        <f t="shared" si="6"/>
        <v>118080.94</v>
      </c>
      <c r="BF41" s="4">
        <f t="shared" si="0"/>
        <v>6055352.620000001</v>
      </c>
      <c r="BG41" s="4">
        <f t="shared" si="1"/>
        <v>6687471.9199999999</v>
      </c>
      <c r="BH41" s="4">
        <f t="shared" si="2"/>
        <v>9742810.209999999</v>
      </c>
    </row>
    <row r="42" spans="1:60" x14ac:dyDescent="0.3">
      <c r="B42" s="121"/>
      <c r="D42" s="4"/>
      <c r="BF42" s="4"/>
      <c r="BG42" s="4"/>
      <c r="BH42" s="4"/>
    </row>
    <row r="43" spans="1:60" x14ac:dyDescent="0.3">
      <c r="A43" s="111" t="s">
        <v>525</v>
      </c>
      <c r="B43" s="112" t="s">
        <v>231</v>
      </c>
      <c r="C43" s="111">
        <v>690</v>
      </c>
      <c r="D43" s="113">
        <f>'Base de données indicateurs1'!BF58</f>
        <v>36707355.689999998</v>
      </c>
      <c r="E43" s="4">
        <f>'Base de données indicateurs1'!E58</f>
        <v>593862.55000000005</v>
      </c>
      <c r="F43" s="4">
        <f>'Base de données indicateurs1'!F58</f>
        <v>5186.8500000000004</v>
      </c>
      <c r="G43" s="4">
        <f>'Base de données indicateurs1'!G58</f>
        <v>2700857.55</v>
      </c>
      <c r="H43" s="4">
        <f>'Base de données indicateurs1'!H58</f>
        <v>225335</v>
      </c>
      <c r="I43" s="4">
        <f>'Base de données indicateurs1'!I58</f>
        <v>2251481</v>
      </c>
      <c r="J43" s="4">
        <f>'Base de données indicateurs1'!J58</f>
        <v>2280577.79</v>
      </c>
      <c r="K43" s="4">
        <f>'Base de données indicateurs1'!K58</f>
        <v>1266529.24</v>
      </c>
      <c r="L43" s="4">
        <f>'Base de données indicateurs1'!L58</f>
        <v>10477858.529999999</v>
      </c>
      <c r="M43" s="4">
        <f>'Base de données indicateurs1'!M58</f>
        <v>184436.45</v>
      </c>
      <c r="N43" s="4">
        <f>'Base de données indicateurs1'!N58</f>
        <v>41267.75</v>
      </c>
      <c r="O43" s="4">
        <f>'Base de données indicateurs1'!O58</f>
        <v>2081646.1</v>
      </c>
      <c r="P43" s="4">
        <f>'Base de données indicateurs1'!P58</f>
        <v>175184.23</v>
      </c>
      <c r="Q43" s="4">
        <f>'Base de données indicateurs1'!Q58</f>
        <v>0</v>
      </c>
      <c r="R43" s="4">
        <f>'Base de données indicateurs1'!R58</f>
        <v>15814</v>
      </c>
      <c r="S43" s="4">
        <f>'Base de données indicateurs1'!S58</f>
        <v>171236.7</v>
      </c>
      <c r="T43" s="4">
        <f>'Base de données indicateurs1'!T58</f>
        <v>217977.15</v>
      </c>
      <c r="U43" s="4">
        <f>'Base de données indicateurs1'!U58</f>
        <v>82785</v>
      </c>
      <c r="V43" s="4">
        <v>217980.51</v>
      </c>
      <c r="W43" s="4">
        <f>'Base de données indicateurs1'!W58</f>
        <v>1022304.45</v>
      </c>
      <c r="X43" s="4">
        <f>'Base de données indicateurs1'!X58</f>
        <v>65578.350000000006</v>
      </c>
      <c r="Y43" s="4">
        <f>'Base de données indicateurs1'!Y58</f>
        <v>128183.25</v>
      </c>
      <c r="Z43" s="4">
        <f>'Base de données indicateurs1'!Z58</f>
        <v>503623.38</v>
      </c>
      <c r="AA43" s="4">
        <f>'Base de données indicateurs1'!AA58</f>
        <v>0</v>
      </c>
      <c r="AB43" s="4">
        <f>'Base de données indicateurs1'!AB58</f>
        <v>64645.15</v>
      </c>
      <c r="AC43" s="4">
        <f>'Base de données indicateurs1'!AC58</f>
        <v>100268.8</v>
      </c>
      <c r="AD43" s="4">
        <f>'Base de données indicateurs1'!AD58</f>
        <v>144435.91</v>
      </c>
      <c r="AE43" s="4">
        <f>'Base de données indicateurs1'!AE58</f>
        <v>40403.800000000003</v>
      </c>
      <c r="AF43" s="4">
        <f>'Base de données indicateurs1'!AF58</f>
        <v>727420.4</v>
      </c>
      <c r="AG43" s="4">
        <f>'Base de données indicateurs1'!AG58</f>
        <v>678259.1</v>
      </c>
      <c r="AH43" s="4">
        <f>'Base de données indicateurs1'!AH58</f>
        <v>347396.95</v>
      </c>
      <c r="AI43" s="4">
        <f>'Base de données indicateurs1'!AI58</f>
        <v>0</v>
      </c>
      <c r="AJ43" s="4">
        <f>'Base de données indicateurs1'!AJ58</f>
        <v>0</v>
      </c>
      <c r="AK43" s="4">
        <f>'Base de données indicateurs1'!AK58</f>
        <v>1969762.48</v>
      </c>
      <c r="AL43" s="4">
        <f>'Base de données indicateurs1'!AL58</f>
        <v>373870</v>
      </c>
      <c r="AM43" s="4">
        <f>'Base de données indicateurs1'!AM58</f>
        <v>293387.90000000002</v>
      </c>
      <c r="AN43" s="4">
        <f>'Base de données indicateurs1'!AN58</f>
        <v>612014</v>
      </c>
      <c r="AO43" s="4">
        <f>'Base de données indicateurs1'!AO58</f>
        <v>858933.3</v>
      </c>
      <c r="AP43" s="4">
        <f>'Base de données indicateurs1'!AP58</f>
        <v>387302.1</v>
      </c>
      <c r="AQ43" s="4">
        <f>'Base de données indicateurs1'!AQ58</f>
        <v>49042.1</v>
      </c>
      <c r="AR43" s="4">
        <f>'Base de données indicateurs1'!AR58</f>
        <v>449074.2</v>
      </c>
      <c r="AS43" s="4">
        <f>'Base de données indicateurs1'!AS58</f>
        <v>71436</v>
      </c>
      <c r="AT43" s="4">
        <f>'Base de données indicateurs1'!AT58</f>
        <v>236030.35</v>
      </c>
      <c r="AU43" s="4">
        <f>'Base de données indicateurs1'!AU58</f>
        <v>290607.3</v>
      </c>
      <c r="AV43" s="4">
        <f>'Base de données indicateurs1'!AV58</f>
        <v>617598.75</v>
      </c>
      <c r="AW43" s="4">
        <f>'Base de données indicateurs1'!AW58</f>
        <v>57242.400000000001</v>
      </c>
      <c r="AX43" s="4">
        <f>'Base de données indicateurs1'!AX58</f>
        <v>0</v>
      </c>
      <c r="AY43" s="4">
        <f>'Base de données indicateurs1'!AY58</f>
        <v>0</v>
      </c>
      <c r="AZ43" s="4">
        <f>'Base de données indicateurs1'!AZ58</f>
        <v>0</v>
      </c>
      <c r="BA43" s="4">
        <f>'Base de données indicateurs1'!BA58</f>
        <v>176794.95</v>
      </c>
      <c r="BB43" s="4">
        <f>'Base de données indicateurs1'!BB58</f>
        <v>374230.1</v>
      </c>
      <c r="BC43" s="4">
        <f>'Base de données indicateurs1'!BC58</f>
        <v>0</v>
      </c>
      <c r="BD43" s="4">
        <f>'Base de données indicateurs1'!BD58</f>
        <v>2976255.58</v>
      </c>
      <c r="BE43" s="4">
        <f>'Base de données indicateurs1'!BE58</f>
        <v>6219.65</v>
      </c>
      <c r="BF43" s="4">
        <f t="shared" si="0"/>
        <v>24012320.849999998</v>
      </c>
      <c r="BG43" s="4">
        <f t="shared" si="1"/>
        <v>2800215.0900000003</v>
      </c>
      <c r="BH43" s="4">
        <f t="shared" si="2"/>
        <v>9799801.1599999983</v>
      </c>
    </row>
    <row r="44" spans="1:60" x14ac:dyDescent="0.3">
      <c r="A44" s="114" t="s">
        <v>526</v>
      </c>
      <c r="B44" s="115" t="s">
        <v>232</v>
      </c>
      <c r="C44" s="114">
        <v>590</v>
      </c>
      <c r="D44" s="116">
        <f>'Base de données indicateurs1'!BF61</f>
        <v>10997864.249999998</v>
      </c>
      <c r="E44" s="4">
        <f>'Base de données indicateurs1'!E61</f>
        <v>0</v>
      </c>
      <c r="F44" s="4">
        <f>'Base de données indicateurs1'!F61</f>
        <v>219058.75</v>
      </c>
      <c r="G44" s="4">
        <f>'Base de données indicateurs1'!G61</f>
        <v>1004384.3</v>
      </c>
      <c r="H44" s="4">
        <f>'Base de données indicateurs1'!H61</f>
        <v>299151.65000000002</v>
      </c>
      <c r="I44" s="4">
        <f>'Base de données indicateurs1'!I61</f>
        <v>125435</v>
      </c>
      <c r="J44" s="4">
        <f>'Base de données indicateurs1'!J61</f>
        <v>751645.2</v>
      </c>
      <c r="K44" s="4">
        <f>'Base de données indicateurs1'!K61</f>
        <v>0</v>
      </c>
      <c r="L44" s="4">
        <f>'Base de données indicateurs1'!L61</f>
        <v>551165</v>
      </c>
      <c r="M44" s="4">
        <f>'Base de données indicateurs1'!M61</f>
        <v>0</v>
      </c>
      <c r="N44" s="4">
        <f>'Base de données indicateurs1'!N61</f>
        <v>0</v>
      </c>
      <c r="O44" s="4">
        <f>'Base de données indicateurs1'!O61</f>
        <v>301809.8</v>
      </c>
      <c r="P44" s="4">
        <f>'Base de données indicateurs1'!P61</f>
        <v>144165</v>
      </c>
      <c r="Q44" s="4">
        <f>'Base de données indicateurs1'!Q61</f>
        <v>0</v>
      </c>
      <c r="R44" s="4">
        <f>'Base de données indicateurs1'!R61</f>
        <v>0</v>
      </c>
      <c r="S44" s="4">
        <f>'Base de données indicateurs1'!S61</f>
        <v>0</v>
      </c>
      <c r="T44" s="4">
        <f>'Base de données indicateurs1'!T61</f>
        <v>0</v>
      </c>
      <c r="U44" s="4">
        <f>'Base de données indicateurs1'!U61</f>
        <v>16988</v>
      </c>
      <c r="V44" s="4">
        <v>312999.09999999998</v>
      </c>
      <c r="W44" s="4">
        <f>'Base de données indicateurs1'!W61</f>
        <v>698023</v>
      </c>
      <c r="X44" s="4">
        <f>'Base de données indicateurs1'!X61</f>
        <v>0</v>
      </c>
      <c r="Y44" s="4">
        <f>'Base de données indicateurs1'!Y61</f>
        <v>1165367.05</v>
      </c>
      <c r="Z44" s="4">
        <f>'Base de données indicateurs1'!Z61</f>
        <v>0</v>
      </c>
      <c r="AA44" s="4">
        <f>'Base de données indicateurs1'!AA61</f>
        <v>0</v>
      </c>
      <c r="AB44" s="4">
        <f>'Base de données indicateurs1'!AB61</f>
        <v>154625</v>
      </c>
      <c r="AC44" s="4">
        <f>'Base de données indicateurs1'!AC61</f>
        <v>7475</v>
      </c>
      <c r="AD44" s="4">
        <f>'Base de données indicateurs1'!AD61</f>
        <v>27972.93</v>
      </c>
      <c r="AE44" s="4">
        <f>'Base de données indicateurs1'!AE61</f>
        <v>0</v>
      </c>
      <c r="AF44" s="4">
        <f>'Base de données indicateurs1'!AF61</f>
        <v>471042</v>
      </c>
      <c r="AG44" s="4">
        <f>'Base de données indicateurs1'!AG61</f>
        <v>275505.7</v>
      </c>
      <c r="AH44" s="4">
        <f>'Base de données indicateurs1'!AH61</f>
        <v>514990.01</v>
      </c>
      <c r="AI44" s="4">
        <f>'Base de données indicateurs1'!AI61</f>
        <v>0</v>
      </c>
      <c r="AJ44" s="4">
        <f>'Base de données indicateurs1'!AJ61</f>
        <v>0</v>
      </c>
      <c r="AK44" s="4">
        <f>'Base de données indicateurs1'!AK61</f>
        <v>0</v>
      </c>
      <c r="AL44" s="4">
        <f>'Base de données indicateurs1'!AL61</f>
        <v>0</v>
      </c>
      <c r="AM44" s="4">
        <f>'Base de données indicateurs1'!AM61</f>
        <v>58854.55</v>
      </c>
      <c r="AN44" s="4">
        <f>'Base de données indicateurs1'!AN61</f>
        <v>49260</v>
      </c>
      <c r="AO44" s="4">
        <f>'Base de données indicateurs1'!AO61</f>
        <v>5797</v>
      </c>
      <c r="AP44" s="4">
        <f>'Base de données indicateurs1'!AP61</f>
        <v>200300</v>
      </c>
      <c r="AQ44" s="4">
        <f>'Base de données indicateurs1'!AQ61</f>
        <v>9656</v>
      </c>
      <c r="AR44" s="4">
        <f>'Base de données indicateurs1'!AR61</f>
        <v>76707.75</v>
      </c>
      <c r="AS44" s="4">
        <f>'Base de données indicateurs1'!AS61</f>
        <v>53516</v>
      </c>
      <c r="AT44" s="4">
        <f>'Base de données indicateurs1'!AT61</f>
        <v>141767.04999999999</v>
      </c>
      <c r="AU44" s="4">
        <f>'Base de données indicateurs1'!AU61</f>
        <v>98690</v>
      </c>
      <c r="AV44" s="4">
        <f>'Base de données indicateurs1'!AV61</f>
        <v>4462.55</v>
      </c>
      <c r="AW44" s="4">
        <f>'Base de données indicateurs1'!AW61</f>
        <v>8708</v>
      </c>
      <c r="AX44" s="4">
        <f>'Base de données indicateurs1'!AX61</f>
        <v>0</v>
      </c>
      <c r="AY44" s="4">
        <f>'Base de données indicateurs1'!AY61</f>
        <v>0</v>
      </c>
      <c r="AZ44" s="4">
        <f>'Base de données indicateurs1'!AZ61</f>
        <v>0</v>
      </c>
      <c r="BA44" s="4">
        <f>'Base de données indicateurs1'!BA61</f>
        <v>65550</v>
      </c>
      <c r="BB44" s="4">
        <f>'Base de données indicateurs1'!BB61</f>
        <v>24304.35</v>
      </c>
      <c r="BC44" s="4">
        <f>'Base de données indicateurs1'!BC61</f>
        <v>0</v>
      </c>
      <c r="BD44" s="4">
        <f>'Base de données indicateurs1'!BD61</f>
        <v>3253507.1</v>
      </c>
      <c r="BE44" s="4">
        <f>'Base de données indicateurs1'!BE61</f>
        <v>0</v>
      </c>
      <c r="BF44" s="4">
        <f t="shared" si="0"/>
        <v>4424824.8000000007</v>
      </c>
      <c r="BG44" s="4">
        <f t="shared" si="1"/>
        <v>2616977.6900000004</v>
      </c>
      <c r="BH44" s="4">
        <f t="shared" si="2"/>
        <v>4051080.35</v>
      </c>
    </row>
    <row r="45" spans="1:60" ht="15" thickBot="1" x14ac:dyDescent="0.35">
      <c r="B45" s="110"/>
      <c r="D45" s="4"/>
      <c r="BF45" s="4"/>
      <c r="BG45" s="4"/>
      <c r="BH45" s="4"/>
    </row>
    <row r="46" spans="1:60" ht="15" thickBot="1" x14ac:dyDescent="0.35">
      <c r="A46" s="7" t="s">
        <v>225</v>
      </c>
      <c r="B46" s="125"/>
      <c r="C46" s="7"/>
      <c r="D46" s="120">
        <f>D43-D44</f>
        <v>25709491.439999998</v>
      </c>
      <c r="E46" s="4">
        <f>E43-E44</f>
        <v>593862.55000000005</v>
      </c>
      <c r="F46" s="4">
        <f t="shared" ref="F46:BE46" si="7">F43-F44</f>
        <v>-213871.9</v>
      </c>
      <c r="G46" s="4">
        <f t="shared" si="7"/>
        <v>1696473.2499999998</v>
      </c>
      <c r="H46" s="4">
        <f t="shared" si="7"/>
        <v>-73816.650000000023</v>
      </c>
      <c r="I46" s="4">
        <f t="shared" si="7"/>
        <v>2126046</v>
      </c>
      <c r="J46" s="4">
        <f t="shared" si="7"/>
        <v>1528932.59</v>
      </c>
      <c r="K46" s="4">
        <f t="shared" si="7"/>
        <v>1266529.24</v>
      </c>
      <c r="L46" s="4">
        <f t="shared" si="7"/>
        <v>9926693.5299999993</v>
      </c>
      <c r="M46" s="4">
        <f t="shared" si="7"/>
        <v>184436.45</v>
      </c>
      <c r="N46" s="4">
        <f t="shared" si="7"/>
        <v>41267.75</v>
      </c>
      <c r="O46" s="4">
        <f t="shared" si="7"/>
        <v>1779836.3</v>
      </c>
      <c r="P46" s="4">
        <f t="shared" si="7"/>
        <v>31019.23000000001</v>
      </c>
      <c r="Q46" s="4">
        <f t="shared" si="7"/>
        <v>0</v>
      </c>
      <c r="R46" s="4">
        <f t="shared" si="7"/>
        <v>15814</v>
      </c>
      <c r="S46" s="4">
        <f t="shared" si="7"/>
        <v>171236.7</v>
      </c>
      <c r="T46" s="4">
        <f t="shared" si="7"/>
        <v>217977.15</v>
      </c>
      <c r="U46" s="4">
        <f t="shared" si="7"/>
        <v>65797</v>
      </c>
      <c r="V46" s="4">
        <f t="shared" si="7"/>
        <v>-95018.589999999967</v>
      </c>
      <c r="W46" s="4">
        <f t="shared" si="7"/>
        <v>324281.44999999995</v>
      </c>
      <c r="X46" s="4">
        <f t="shared" si="7"/>
        <v>65578.350000000006</v>
      </c>
      <c r="Y46" s="4">
        <f t="shared" si="7"/>
        <v>-1037183.8</v>
      </c>
      <c r="Z46" s="4">
        <f t="shared" si="7"/>
        <v>503623.38</v>
      </c>
      <c r="AA46" s="4">
        <f t="shared" si="7"/>
        <v>0</v>
      </c>
      <c r="AB46" s="4">
        <f t="shared" si="7"/>
        <v>-89979.85</v>
      </c>
      <c r="AC46" s="4">
        <f t="shared" si="7"/>
        <v>92793.8</v>
      </c>
      <c r="AD46" s="4">
        <f t="shared" si="7"/>
        <v>116462.98000000001</v>
      </c>
      <c r="AE46" s="4">
        <f t="shared" si="7"/>
        <v>40403.800000000003</v>
      </c>
      <c r="AF46" s="4">
        <f t="shared" si="7"/>
        <v>256378.40000000002</v>
      </c>
      <c r="AG46" s="4">
        <f t="shared" si="7"/>
        <v>402753.39999999997</v>
      </c>
      <c r="AH46" s="4">
        <f t="shared" si="7"/>
        <v>-167593.06</v>
      </c>
      <c r="AI46" s="4">
        <f t="shared" si="7"/>
        <v>0</v>
      </c>
      <c r="AJ46" s="4">
        <f t="shared" si="7"/>
        <v>0</v>
      </c>
      <c r="AK46" s="4">
        <f t="shared" si="7"/>
        <v>1969762.48</v>
      </c>
      <c r="AL46" s="4">
        <f t="shared" si="7"/>
        <v>373870</v>
      </c>
      <c r="AM46" s="4">
        <f t="shared" si="7"/>
        <v>234533.35000000003</v>
      </c>
      <c r="AN46" s="4">
        <f t="shared" si="7"/>
        <v>562754</v>
      </c>
      <c r="AO46" s="4">
        <f t="shared" si="7"/>
        <v>853136.3</v>
      </c>
      <c r="AP46" s="4">
        <f t="shared" si="7"/>
        <v>187002.09999999998</v>
      </c>
      <c r="AQ46" s="4">
        <f t="shared" si="7"/>
        <v>39386.1</v>
      </c>
      <c r="AR46" s="4">
        <f t="shared" si="7"/>
        <v>372366.45</v>
      </c>
      <c r="AS46" s="4">
        <f t="shared" si="7"/>
        <v>17920</v>
      </c>
      <c r="AT46" s="4">
        <f t="shared" si="7"/>
        <v>94263.300000000017</v>
      </c>
      <c r="AU46" s="4">
        <f t="shared" si="7"/>
        <v>191917.3</v>
      </c>
      <c r="AV46" s="4">
        <f t="shared" si="7"/>
        <v>613136.19999999995</v>
      </c>
      <c r="AW46" s="4">
        <f t="shared" si="7"/>
        <v>48534.400000000001</v>
      </c>
      <c r="AX46" s="4">
        <f t="shared" si="7"/>
        <v>0</v>
      </c>
      <c r="AY46" s="4">
        <f t="shared" si="7"/>
        <v>0</v>
      </c>
      <c r="AZ46" s="4">
        <f t="shared" si="7"/>
        <v>0</v>
      </c>
      <c r="BA46" s="4">
        <f t="shared" si="7"/>
        <v>111244.95000000001</v>
      </c>
      <c r="BB46" s="4">
        <f t="shared" si="7"/>
        <v>349925.75</v>
      </c>
      <c r="BC46" s="4">
        <f t="shared" si="7"/>
        <v>0</v>
      </c>
      <c r="BD46" s="4">
        <f t="shared" si="7"/>
        <v>-277251.52</v>
      </c>
      <c r="BE46" s="4">
        <f t="shared" si="7"/>
        <v>6219.65</v>
      </c>
      <c r="BF46" s="4">
        <f t="shared" si="0"/>
        <v>19587496.049999997</v>
      </c>
      <c r="BG46" s="4">
        <f t="shared" si="1"/>
        <v>183237.39999999997</v>
      </c>
      <c r="BH46" s="4">
        <f t="shared" si="2"/>
        <v>5748720.8100000005</v>
      </c>
    </row>
    <row r="47" spans="1:60" ht="15" thickBot="1" x14ac:dyDescent="0.35">
      <c r="B47" s="110"/>
      <c r="D47" s="4"/>
      <c r="BF47" s="4"/>
      <c r="BG47" s="4"/>
      <c r="BH47" s="4"/>
    </row>
    <row r="48" spans="1:60" ht="15" thickBot="1" x14ac:dyDescent="0.35">
      <c r="A48" s="7" t="s">
        <v>527</v>
      </c>
      <c r="B48" s="125"/>
      <c r="C48" s="7"/>
      <c r="D48" s="120">
        <f>IF(D46&lt;&gt;0,D41/D46,"")*100</f>
        <v>87.460441613465107</v>
      </c>
      <c r="E48" s="143">
        <f>IF(E46&lt;&gt;0,E41/E46,"")*100</f>
        <v>140.17718914924001</v>
      </c>
      <c r="F48" s="126">
        <f t="shared" ref="F48:BH48" si="8">IF(F46&lt;&gt;0,F41/F46,"")*100</f>
        <v>-96.059968607376661</v>
      </c>
      <c r="G48" s="126">
        <f t="shared" si="8"/>
        <v>-3.6425543403056899</v>
      </c>
      <c r="H48" s="126">
        <f t="shared" si="8"/>
        <v>-256.5750409968482</v>
      </c>
      <c r="I48" s="126">
        <f t="shared" si="8"/>
        <v>7.7284310875680804E-3</v>
      </c>
      <c r="J48" s="126">
        <f t="shared" si="8"/>
        <v>122.73924254567692</v>
      </c>
      <c r="K48" s="126">
        <f t="shared" si="8"/>
        <v>38.449889242193898</v>
      </c>
      <c r="L48" s="126">
        <f t="shared" si="8"/>
        <v>14.795729268374016</v>
      </c>
      <c r="M48" s="126">
        <f t="shared" si="8"/>
        <v>24.410668281676422</v>
      </c>
      <c r="N48" s="126">
        <f t="shared" si="8"/>
        <v>0</v>
      </c>
      <c r="O48" s="126">
        <f>IF(O46&lt;&gt;0,O41/O46,"")*100</f>
        <v>-22.938461812471182</v>
      </c>
      <c r="P48" s="126">
        <f t="shared" si="8"/>
        <v>212.77739647309096</v>
      </c>
      <c r="Q48" s="126" t="e">
        <f t="shared" si="8"/>
        <v>#VALUE!</v>
      </c>
      <c r="R48" s="126">
        <f t="shared" si="8"/>
        <v>407.68572151258377</v>
      </c>
      <c r="S48" s="126">
        <f t="shared" si="8"/>
        <v>31.814809558932168</v>
      </c>
      <c r="T48" s="126">
        <f t="shared" si="8"/>
        <v>83.4427782912108</v>
      </c>
      <c r="U48" s="126">
        <f t="shared" si="8"/>
        <v>47.505585361034697</v>
      </c>
      <c r="V48" s="126">
        <f t="shared" si="8"/>
        <v>4.19245328729885</v>
      </c>
      <c r="W48" s="126">
        <f t="shared" si="8"/>
        <v>339.18918889748409</v>
      </c>
      <c r="X48" s="126">
        <f t="shared" si="8"/>
        <v>230.41598332376464</v>
      </c>
      <c r="Y48" s="126">
        <f t="shared" si="8"/>
        <v>-29.73231745424485</v>
      </c>
      <c r="Z48" s="126">
        <f>IF(Z46&lt;&gt;0,Z41/Z46,"")*100</f>
        <v>717.38927807521566</v>
      </c>
      <c r="AA48" s="126" t="e">
        <f t="shared" si="8"/>
        <v>#VALUE!</v>
      </c>
      <c r="AB48" s="126">
        <f t="shared" si="8"/>
        <v>10.222555383233022</v>
      </c>
      <c r="AC48" s="126">
        <f t="shared" si="8"/>
        <v>-300.3563707920141</v>
      </c>
      <c r="AD48" s="126">
        <f t="shared" si="8"/>
        <v>-171.4140064078731</v>
      </c>
      <c r="AE48" s="126">
        <f t="shared" si="8"/>
        <v>-122.31087174968694</v>
      </c>
      <c r="AF48" s="126">
        <f t="shared" si="8"/>
        <v>179.59152175066228</v>
      </c>
      <c r="AG48" s="126">
        <f t="shared" si="8"/>
        <v>329.4671677507875</v>
      </c>
      <c r="AH48" s="126">
        <f t="shared" si="8"/>
        <v>-688.72123941170355</v>
      </c>
      <c r="AI48" s="126" t="e">
        <f t="shared" si="8"/>
        <v>#VALUE!</v>
      </c>
      <c r="AJ48" s="126" t="e">
        <f t="shared" si="8"/>
        <v>#VALUE!</v>
      </c>
      <c r="AK48" s="126">
        <f t="shared" si="8"/>
        <v>3.9731846247777045</v>
      </c>
      <c r="AL48" s="126">
        <f t="shared" si="8"/>
        <v>93.928103351432313</v>
      </c>
      <c r="AM48" s="126">
        <f t="shared" si="8"/>
        <v>31.893118825105255</v>
      </c>
      <c r="AN48" s="126">
        <f t="shared" si="8"/>
        <v>6.0315413129004867</v>
      </c>
      <c r="AO48" s="126">
        <f t="shared" si="8"/>
        <v>76.759257577013187</v>
      </c>
      <c r="AP48" s="126">
        <f t="shared" si="8"/>
        <v>295.18585085408137</v>
      </c>
      <c r="AQ48" s="126">
        <f t="shared" si="8"/>
        <v>764.21377084809114</v>
      </c>
      <c r="AR48" s="126">
        <f t="shared" si="8"/>
        <v>202.6221857527712</v>
      </c>
      <c r="AS48" s="126">
        <f t="shared" si="8"/>
        <v>1025.5665178571428</v>
      </c>
      <c r="AT48" s="126">
        <f t="shared" si="8"/>
        <v>54.706402173486403</v>
      </c>
      <c r="AU48" s="126">
        <f t="shared" si="8"/>
        <v>706.85029437158619</v>
      </c>
      <c r="AV48" s="126">
        <f t="shared" si="8"/>
        <v>-134.50563512642054</v>
      </c>
      <c r="AW48" s="126">
        <f t="shared" si="8"/>
        <v>84.583965187578301</v>
      </c>
      <c r="AX48" s="126" t="e">
        <f t="shared" si="8"/>
        <v>#VALUE!</v>
      </c>
      <c r="AY48" s="126" t="e">
        <f t="shared" si="8"/>
        <v>#VALUE!</v>
      </c>
      <c r="AZ48" s="126" t="e">
        <f t="shared" si="8"/>
        <v>#VALUE!</v>
      </c>
      <c r="BA48" s="126">
        <f t="shared" si="8"/>
        <v>227.58192619080683</v>
      </c>
      <c r="BB48" s="126">
        <f t="shared" si="8"/>
        <v>219.90440829233057</v>
      </c>
      <c r="BC48" s="126" t="e">
        <f t="shared" si="8"/>
        <v>#VALUE!</v>
      </c>
      <c r="BD48" s="126">
        <f t="shared" si="8"/>
        <v>-1473.5315391598212</v>
      </c>
      <c r="BE48" s="126">
        <f t="shared" si="8"/>
        <v>1898.5142250769741</v>
      </c>
      <c r="BF48" s="126">
        <f t="shared" si="8"/>
        <v>30.914378257143294</v>
      </c>
      <c r="BG48" s="126">
        <f t="shared" si="8"/>
        <v>3649.621703866133</v>
      </c>
      <c r="BH48" s="126">
        <f t="shared" si="8"/>
        <v>169.47788094096012</v>
      </c>
    </row>
    <row r="49" spans="1:2" x14ac:dyDescent="0.3">
      <c r="A49" s="123" t="s">
        <v>528</v>
      </c>
      <c r="B49" s="110"/>
    </row>
    <row r="50" spans="1:2" x14ac:dyDescent="0.3">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10" zoomScaleNormal="100" workbookViewId="0">
      <selection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5" spans="1:60" x14ac:dyDescent="0.3">
      <c r="B5" s="156"/>
    </row>
    <row r="8" spans="1:60" ht="18" x14ac:dyDescent="0.35">
      <c r="A8" s="190" t="s">
        <v>505</v>
      </c>
      <c r="B8" s="190"/>
      <c r="C8" s="190"/>
      <c r="D8" s="190"/>
    </row>
    <row r="10" spans="1:60" x14ac:dyDescent="0.3">
      <c r="A10" s="7" t="s">
        <v>529</v>
      </c>
      <c r="B10" s="110"/>
      <c r="C10" s="65" t="s">
        <v>507</v>
      </c>
      <c r="D10" s="65" t="s">
        <v>508</v>
      </c>
      <c r="E10" s="146">
        <f>'4.1 Comptes 2020 natures'!E2</f>
        <v>923</v>
      </c>
      <c r="F10" s="146">
        <f>'4.1 Comptes 2020 natures'!F2</f>
        <v>270</v>
      </c>
      <c r="G10" s="146">
        <f>'4.1 Comptes 2020 natures'!G2</f>
        <v>485</v>
      </c>
      <c r="H10" s="146">
        <f>'4.1 Comptes 2020 natures'!H2</f>
        <v>446</v>
      </c>
      <c r="I10" s="146">
        <f>'4.1 Comptes 2020 natures'!I2</f>
        <v>3631</v>
      </c>
      <c r="J10" s="146">
        <f>'4.1 Comptes 2020 natures'!J2</f>
        <v>3313</v>
      </c>
      <c r="K10" s="146">
        <f>'4.1 Comptes 2020 natures'!K2</f>
        <v>2644</v>
      </c>
      <c r="L10" s="147">
        <f>'4.1 Comptes 2020 natures'!L2</f>
        <v>12618</v>
      </c>
      <c r="M10" s="147">
        <f>'4.1 Comptes 2020 natures'!M2</f>
        <v>1371</v>
      </c>
      <c r="N10" s="147">
        <f>'4.1 Comptes 2020 natures'!N2</f>
        <v>118</v>
      </c>
      <c r="O10" s="147">
        <f>'4.1 Comptes 2020 natures'!O2</f>
        <v>7167</v>
      </c>
      <c r="P10" s="147">
        <f>'4.1 Comptes 2020 natures'!P2</f>
        <v>528</v>
      </c>
      <c r="Q10" s="147">
        <f>'4.1 Comptes 2020 natures'!Q2</f>
        <v>108</v>
      </c>
      <c r="R10" s="147">
        <f>'4.1 Comptes 2020 natures'!R2</f>
        <v>415</v>
      </c>
      <c r="S10" s="147">
        <f>'4.1 Comptes 2020 natures'!S2</f>
        <v>349</v>
      </c>
      <c r="T10" s="147">
        <f>'4.1 Comptes 2020 natures'!T2</f>
        <v>687</v>
      </c>
      <c r="U10" s="147">
        <f>'4.1 Comptes 2020 natures'!U2</f>
        <v>255</v>
      </c>
      <c r="V10" s="147">
        <f>'4.1 Comptes 2020 natures'!V2</f>
        <v>436</v>
      </c>
      <c r="W10" s="147">
        <f>'4.1 Comptes 2020 natures'!W2</f>
        <v>3190</v>
      </c>
      <c r="X10" s="148">
        <f>'4.1 Comptes 2020 natures'!X2</f>
        <v>324</v>
      </c>
      <c r="Y10" s="148">
        <f>'4.1 Comptes 2020 natures'!Y2</f>
        <v>1246</v>
      </c>
      <c r="Z10" s="148">
        <f>'4.1 Comptes 2020 natures'!Z2</f>
        <v>1528</v>
      </c>
      <c r="AA10" s="148">
        <f>'4.1 Comptes 2020 natures'!AA2</f>
        <v>96</v>
      </c>
      <c r="AB10" s="148">
        <f>'4.1 Comptes 2020 natures'!AB2</f>
        <v>149</v>
      </c>
      <c r="AC10" s="148">
        <f>'4.1 Comptes 2020 natures'!AC2</f>
        <v>516</v>
      </c>
      <c r="AD10" s="148">
        <f>'4.1 Comptes 2020 natures'!AD2</f>
        <v>671</v>
      </c>
      <c r="AE10" s="148">
        <f>'4.1 Comptes 2020 natures'!AE2</f>
        <v>572</v>
      </c>
      <c r="AF10" s="148">
        <f>'4.1 Comptes 2020 natures'!AF2</f>
        <v>490</v>
      </c>
      <c r="AG10" s="148">
        <f>'4.1 Comptes 2020 natures'!AG2</f>
        <v>1914</v>
      </c>
      <c r="AH10" s="148">
        <f>'4.1 Comptes 2020 natures'!AH2</f>
        <v>2615</v>
      </c>
      <c r="AI10" s="148">
        <f>'4.1 Comptes 2020 natures'!AI2</f>
        <v>227</v>
      </c>
      <c r="AJ10" s="148">
        <f>'4.1 Comptes 2020 natures'!AJ2</f>
        <v>131</v>
      </c>
      <c r="AK10" s="149">
        <f>'4.1 Comptes 2020 natures'!AK2</f>
        <v>1895</v>
      </c>
      <c r="AL10" s="149">
        <f>'4.1 Comptes 2020 natures'!AL2</f>
        <v>1135</v>
      </c>
      <c r="AM10" s="149">
        <f>'4.1 Comptes 2020 natures'!AM2</f>
        <v>1241</v>
      </c>
      <c r="AN10" s="149">
        <f>'4.1 Comptes 2020 natures'!AN2</f>
        <v>119</v>
      </c>
      <c r="AO10" s="149">
        <f>'4.1 Comptes 2020 natures'!AO2</f>
        <v>1195</v>
      </c>
      <c r="AP10" s="149">
        <f>'4.1 Comptes 2020 natures'!AP2</f>
        <v>663</v>
      </c>
      <c r="AQ10" s="149">
        <f>'4.1 Comptes 2020 natures'!AQ2</f>
        <v>645</v>
      </c>
      <c r="AR10" s="149">
        <f>'4.1 Comptes 2020 natures'!AR2</f>
        <v>1263</v>
      </c>
      <c r="AS10" s="149">
        <f>'4.1 Comptes 2020 natures'!AS2</f>
        <v>740</v>
      </c>
      <c r="AT10" s="149">
        <f>'4.1 Comptes 2020 natures'!AT2</f>
        <v>1028</v>
      </c>
      <c r="AU10" s="149">
        <f>'4.1 Comptes 2020 natures'!AU2</f>
        <v>314</v>
      </c>
      <c r="AV10" s="149">
        <f>'4.1 Comptes 2020 natures'!AV2</f>
        <v>2400</v>
      </c>
      <c r="AW10" s="149">
        <f>'4.1 Comptes 2020 natures'!AW2</f>
        <v>755</v>
      </c>
      <c r="AX10" s="149">
        <f>'4.1 Comptes 2020 natures'!AX2</f>
        <v>181</v>
      </c>
      <c r="AY10" s="149">
        <f>'4.1 Comptes 2020 natures'!AY2</f>
        <v>347</v>
      </c>
      <c r="AZ10" s="149">
        <f>'4.1 Comptes 2020 natures'!AZ2</f>
        <v>1690</v>
      </c>
      <c r="BA10" s="149">
        <f>'4.1 Comptes 2020 natures'!BA2</f>
        <v>387</v>
      </c>
      <c r="BB10" s="149">
        <f>'4.1 Comptes 2020 natures'!BB2</f>
        <v>1096</v>
      </c>
      <c r="BC10" s="150">
        <f>'4.1 Comptes 2020 natures'!BC2</f>
        <v>188</v>
      </c>
      <c r="BD10" s="150">
        <f>'4.1 Comptes 2020 natures'!BD2</f>
        <v>6434</v>
      </c>
      <c r="BE10" s="149">
        <f>'4.1 Comptes 2020 natures'!BE2</f>
        <v>560</v>
      </c>
      <c r="BF10" s="152">
        <f>'4.1 Comptes 2020 natures'!BG2</f>
        <v>38954</v>
      </c>
      <c r="BG10" s="152">
        <f>'4.1 Comptes 2020 natures'!BH2</f>
        <v>10479</v>
      </c>
      <c r="BH10" s="1">
        <f>'4.1 Comptes 2020 natures'!BI2</f>
        <v>24276</v>
      </c>
    </row>
    <row r="11" spans="1:60" x14ac:dyDescent="0.3">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3">
      <c r="A12" s="111" t="s">
        <v>289</v>
      </c>
      <c r="B12" s="112" t="s">
        <v>231</v>
      </c>
      <c r="C12" s="111">
        <v>340</v>
      </c>
      <c r="D12" s="113">
        <f>'Base de données indicateurs1'!BF22</f>
        <v>5808716.3200000003</v>
      </c>
      <c r="E12" s="4">
        <f>'Base de données indicateurs1'!E22</f>
        <v>25957.09</v>
      </c>
      <c r="F12" s="4">
        <f>'Base de données indicateurs1'!F22</f>
        <v>34741.199999999997</v>
      </c>
      <c r="G12" s="4">
        <f>'Base de données indicateurs1'!G22</f>
        <v>63086.15</v>
      </c>
      <c r="H12" s="4">
        <f>'Base de données indicateurs1'!H22</f>
        <v>62822.720000000001</v>
      </c>
      <c r="I12" s="4">
        <f>'Base de données indicateurs1'!I22</f>
        <v>313671</v>
      </c>
      <c r="J12" s="4">
        <f>'Base de données indicateurs1'!J22</f>
        <v>230949.12</v>
      </c>
      <c r="K12" s="4">
        <f>'Base de données indicateurs1'!K22</f>
        <v>94301.96</v>
      </c>
      <c r="L12" s="4">
        <f>'Base de données indicateurs1'!L22</f>
        <v>1098788.75</v>
      </c>
      <c r="M12" s="4">
        <f>'Base de données indicateurs1'!M22</f>
        <v>52189.760000000002</v>
      </c>
      <c r="N12" s="4">
        <f>'Base de données indicateurs1'!N22</f>
        <v>0</v>
      </c>
      <c r="O12" s="4">
        <f>'Base de données indicateurs1'!O22</f>
        <v>281598.65000000002</v>
      </c>
      <c r="P12" s="4">
        <f>'Base de données indicateurs1'!P22</f>
        <v>39215.760000000002</v>
      </c>
      <c r="Q12" s="4">
        <f>'Base de données indicateurs1'!Q22</f>
        <v>9095.5300000000007</v>
      </c>
      <c r="R12" s="4">
        <f>'Base de données indicateurs1'!R22</f>
        <v>36877.370000000003</v>
      </c>
      <c r="S12" s="4">
        <f>'Base de données indicateurs1'!S22</f>
        <v>56844.93</v>
      </c>
      <c r="T12" s="4">
        <f>'Base de données indicateurs1'!T22</f>
        <v>52274.2</v>
      </c>
      <c r="U12" s="4">
        <f>'Base de données indicateurs1'!U22</f>
        <v>5116.74</v>
      </c>
      <c r="V12" s="4">
        <f>'Base de données indicateurs1'!V22</f>
        <v>54207.25</v>
      </c>
      <c r="W12" s="4">
        <f>'Base de données indicateurs1'!W22</f>
        <v>194511.55</v>
      </c>
      <c r="X12" s="4">
        <f>'Base de données indicateurs1'!X22</f>
        <v>1027</v>
      </c>
      <c r="Y12" s="4">
        <f>'Base de données indicateurs1'!Y22</f>
        <v>161777.70000000001</v>
      </c>
      <c r="Z12" s="4">
        <f>'Base de données indicateurs1'!Z22</f>
        <v>12098.93</v>
      </c>
      <c r="AA12" s="4">
        <f>'Base de données indicateurs1'!AA22</f>
        <v>4856</v>
      </c>
      <c r="AB12" s="4">
        <f>'Base de données indicateurs1'!AB22</f>
        <v>3291.6</v>
      </c>
      <c r="AC12" s="4">
        <f>'Base de données indicateurs1'!AC22</f>
        <v>30053.56</v>
      </c>
      <c r="AD12" s="4">
        <f>'Base de données indicateurs1'!AD22</f>
        <v>97145.66</v>
      </c>
      <c r="AE12" s="4">
        <f>'Base de données indicateurs1'!AE22</f>
        <v>38160.71</v>
      </c>
      <c r="AF12" s="4">
        <f>'Base de données indicateurs1'!AF22</f>
        <v>2733</v>
      </c>
      <c r="AG12" s="4">
        <f>'Base de données indicateurs1'!AG22</f>
        <v>88080.1</v>
      </c>
      <c r="AH12" s="4">
        <f>'Base de données indicateurs1'!AH22</f>
        <v>187345</v>
      </c>
      <c r="AI12" s="4">
        <f>'Base de données indicateurs1'!AI22</f>
        <v>14551.37</v>
      </c>
      <c r="AJ12" s="4">
        <f>'Base de données indicateurs1'!AJ22</f>
        <v>4665.28</v>
      </c>
      <c r="AK12" s="4">
        <f>'Base de données indicateurs1'!AK22</f>
        <v>143147.37</v>
      </c>
      <c r="AL12" s="4">
        <f>'Base de données indicateurs1'!AL22</f>
        <v>114622</v>
      </c>
      <c r="AM12" s="4">
        <f>'Base de données indicateurs1'!AM22</f>
        <v>109327.4</v>
      </c>
      <c r="AN12" s="4">
        <f>'Base de données indicateurs1'!AN22</f>
        <v>0</v>
      </c>
      <c r="AO12" s="4">
        <f>'Base de données indicateurs1'!AO22</f>
        <v>71278.63</v>
      </c>
      <c r="AP12" s="4">
        <f>'Base de données indicateurs1'!AP22</f>
        <v>53670.15</v>
      </c>
      <c r="AQ12" s="4">
        <f>'Base de données indicateurs1'!AQ22</f>
        <v>47702</v>
      </c>
      <c r="AR12" s="4">
        <f>'Base de données indicateurs1'!AR22</f>
        <v>89632.52</v>
      </c>
      <c r="AS12" s="4">
        <f>'Base de données indicateurs1'!AS22</f>
        <v>75220.63</v>
      </c>
      <c r="AT12" s="4">
        <f>'Base de données indicateurs1'!AT22</f>
        <v>121767.45</v>
      </c>
      <c r="AU12" s="4">
        <f>'Base de données indicateurs1'!AU22</f>
        <v>23204.25</v>
      </c>
      <c r="AV12" s="4">
        <f>'Base de données indicateurs1'!AV22</f>
        <v>200299.78</v>
      </c>
      <c r="AW12" s="4">
        <f>'Base de données indicateurs1'!AW22</f>
        <v>47265.91</v>
      </c>
      <c r="AX12" s="4">
        <f>'Base de données indicateurs1'!AX22</f>
        <v>7348.8</v>
      </c>
      <c r="AY12" s="4">
        <f>'Base de données indicateurs1'!AY22</f>
        <v>16514.060000000001</v>
      </c>
      <c r="AZ12" s="4">
        <f>'Base de données indicateurs1'!AZ22</f>
        <v>317070.18</v>
      </c>
      <c r="BA12" s="4">
        <f>'Base de données indicateurs1'!BA22</f>
        <v>10122.76</v>
      </c>
      <c r="BB12" s="4">
        <f>'Base de données indicateurs1'!BB22</f>
        <v>91910.14</v>
      </c>
      <c r="BC12" s="4">
        <f>'Base de données indicateurs1'!BC22</f>
        <v>0</v>
      </c>
      <c r="BD12" s="4">
        <f>'Base de données indicateurs1'!BD22</f>
        <v>868835</v>
      </c>
      <c r="BE12" s="4">
        <f>'Base de données indicateurs1'!BE22</f>
        <v>47741.65</v>
      </c>
      <c r="BF12" s="4">
        <f>SUM(E12:W12)</f>
        <v>2706249.73</v>
      </c>
      <c r="BG12" s="4">
        <f>SUM(X12:AJ12)</f>
        <v>645785.91</v>
      </c>
      <c r="BH12" s="4">
        <f>SUM(AK12:BE12)</f>
        <v>2456680.6799999997</v>
      </c>
    </row>
    <row r="13" spans="1:60" x14ac:dyDescent="0.3">
      <c r="A13" s="114" t="s">
        <v>288</v>
      </c>
      <c r="B13" s="115" t="s">
        <v>232</v>
      </c>
      <c r="C13" s="114">
        <v>440</v>
      </c>
      <c r="D13" s="116">
        <f>'Base de données indicateurs1'!BF41</f>
        <v>2762183.310000001</v>
      </c>
      <c r="E13" s="4">
        <f>'Base de données indicateurs1'!E41</f>
        <v>23418.3</v>
      </c>
      <c r="F13" s="4">
        <f>'Base de données indicateurs1'!F41</f>
        <v>14462.33</v>
      </c>
      <c r="G13" s="4">
        <f>'Base de données indicateurs1'!G41</f>
        <v>8419.7000000000007</v>
      </c>
      <c r="H13" s="4">
        <f>'Base de données indicateurs1'!H41</f>
        <v>8186.86</v>
      </c>
      <c r="I13" s="4">
        <f>'Base de données indicateurs1'!I41</f>
        <v>153171</v>
      </c>
      <c r="J13" s="4">
        <f>'Base de données indicateurs1'!J41</f>
        <v>129767.64</v>
      </c>
      <c r="K13" s="4">
        <f>'Base de données indicateurs1'!K41</f>
        <v>41256.25</v>
      </c>
      <c r="L13" s="4">
        <f>'Base de données indicateurs1'!L41</f>
        <v>889346.59</v>
      </c>
      <c r="M13" s="4">
        <f>'Base de données indicateurs1'!M41</f>
        <v>40171.1</v>
      </c>
      <c r="N13" s="4">
        <f>'Base de données indicateurs1'!N41</f>
        <v>0</v>
      </c>
      <c r="O13" s="4">
        <f>'Base de données indicateurs1'!O41</f>
        <v>135941.74</v>
      </c>
      <c r="P13" s="4">
        <f>'Base de données indicateurs1'!P41</f>
        <v>9076.1</v>
      </c>
      <c r="Q13" s="4">
        <f>'Base de données indicateurs1'!Q41</f>
        <v>4220.45</v>
      </c>
      <c r="R13" s="4">
        <f>'Base de données indicateurs1'!R41</f>
        <v>158.27000000000001</v>
      </c>
      <c r="S13" s="4">
        <f>'Base de données indicateurs1'!S41</f>
        <v>6042.65</v>
      </c>
      <c r="T13" s="4">
        <f>'Base de données indicateurs1'!T41</f>
        <v>18851.05</v>
      </c>
      <c r="U13" s="4">
        <f>'Base de données indicateurs1'!U41</f>
        <v>6215.75</v>
      </c>
      <c r="V13" s="4">
        <f>'Base de données indicateurs1'!V41</f>
        <v>10386.93</v>
      </c>
      <c r="W13" s="4">
        <f>'Base de données indicateurs1'!W41</f>
        <v>79792.3</v>
      </c>
      <c r="X13" s="4">
        <f>'Base de données indicateurs1'!X41</f>
        <v>3271</v>
      </c>
      <c r="Y13" s="4">
        <f>'Base de données indicateurs1'!Y41</f>
        <v>41377.25</v>
      </c>
      <c r="Z13" s="4">
        <f>'Base de données indicateurs1'!Z41</f>
        <v>36248.74</v>
      </c>
      <c r="AA13" s="4">
        <f>'Base de données indicateurs1'!AA41</f>
        <v>562</v>
      </c>
      <c r="AB13" s="4">
        <f>'Base de données indicateurs1'!AB41</f>
        <v>2678</v>
      </c>
      <c r="AC13" s="4">
        <f>'Base de données indicateurs1'!AC41</f>
        <v>8518.5499999999993</v>
      </c>
      <c r="AD13" s="4">
        <f>'Base de données indicateurs1'!AD41</f>
        <v>115681.05</v>
      </c>
      <c r="AE13" s="4">
        <f>'Base de données indicateurs1'!AE41</f>
        <v>10361.08</v>
      </c>
      <c r="AF13" s="4">
        <f>'Base de données indicateurs1'!AF41</f>
        <v>296.7</v>
      </c>
      <c r="AG13" s="4">
        <f>'Base de données indicateurs1'!AG41</f>
        <v>29889.65</v>
      </c>
      <c r="AH13" s="4">
        <f>'Base de données indicateurs1'!AH41</f>
        <v>41227.97</v>
      </c>
      <c r="AI13" s="4">
        <f>'Base de données indicateurs1'!AI41</f>
        <v>12342.43</v>
      </c>
      <c r="AJ13" s="4">
        <f>'Base de données indicateurs1'!AJ41</f>
        <v>4175.1000000000004</v>
      </c>
      <c r="AK13" s="4">
        <f>'Base de données indicateurs1'!AK41</f>
        <v>105842.76</v>
      </c>
      <c r="AL13" s="4">
        <f>'Base de données indicateurs1'!AL41</f>
        <v>26934</v>
      </c>
      <c r="AM13" s="4">
        <f>'Base de données indicateurs1'!AM41</f>
        <v>42752.800000000003</v>
      </c>
      <c r="AN13" s="4">
        <f>'Base de données indicateurs1'!AN41</f>
        <v>6870.04</v>
      </c>
      <c r="AO13" s="4">
        <f>'Base de données indicateurs1'!AO41</f>
        <v>28354.12</v>
      </c>
      <c r="AP13" s="4">
        <f>'Base de données indicateurs1'!AP41</f>
        <v>25847.45</v>
      </c>
      <c r="AQ13" s="4">
        <f>'Base de données indicateurs1'!AQ41</f>
        <v>16980.400000000001</v>
      </c>
      <c r="AR13" s="4">
        <f>'Base de données indicateurs1'!AR41</f>
        <v>31166.18</v>
      </c>
      <c r="AS13" s="4">
        <f>'Base de données indicateurs1'!AS41</f>
        <v>43080.91</v>
      </c>
      <c r="AT13" s="4">
        <f>'Base de données indicateurs1'!AT41</f>
        <v>66001.039999999994</v>
      </c>
      <c r="AU13" s="4">
        <f>'Base de données indicateurs1'!AU41</f>
        <v>4916.3500000000004</v>
      </c>
      <c r="AV13" s="4">
        <f>'Base de données indicateurs1'!AV41</f>
        <v>51808.72</v>
      </c>
      <c r="AW13" s="4">
        <f>'Base de données indicateurs1'!AW41</f>
        <v>15471.29</v>
      </c>
      <c r="AX13" s="4">
        <f>'Base de données indicateurs1'!AX41</f>
        <v>3549.64</v>
      </c>
      <c r="AY13" s="4">
        <f>'Base de données indicateurs1'!AY41</f>
        <v>8404.1</v>
      </c>
      <c r="AZ13" s="4">
        <f>'Base de données indicateurs1'!AZ41</f>
        <v>52198.84</v>
      </c>
      <c r="BA13" s="4">
        <f>'Base de données indicateurs1'!BA41</f>
        <v>12193.98</v>
      </c>
      <c r="BB13" s="4">
        <f>'Base de données indicateurs1'!BB41</f>
        <v>38820</v>
      </c>
      <c r="BC13" s="4">
        <f>'Base de données indicateurs1'!BC41</f>
        <v>3699.85</v>
      </c>
      <c r="BD13" s="4">
        <f>'Base de données indicateurs1'!BD41</f>
        <v>268547.32</v>
      </c>
      <c r="BE13" s="4">
        <f>'Base de données indicateurs1'!BE41</f>
        <v>23228.99</v>
      </c>
      <c r="BF13" s="4">
        <f t="shared" ref="BF13:BF38" si="0">SUM(E13:W13)</f>
        <v>1578885.01</v>
      </c>
      <c r="BG13" s="4">
        <f t="shared" ref="BG13:BG38" si="1">SUM(X13:AJ13)</f>
        <v>306629.51999999996</v>
      </c>
      <c r="BH13" s="4">
        <f t="shared" ref="BH13:BH38" si="2">SUM(AK13:BE13)</f>
        <v>876668.78</v>
      </c>
    </row>
    <row r="14" spans="1:60" ht="15" thickBot="1" x14ac:dyDescent="0.35">
      <c r="A14" s="117"/>
      <c r="B14" s="118"/>
      <c r="C14" s="117"/>
      <c r="D14" s="119"/>
      <c r="BF14" s="4"/>
      <c r="BG14" s="4"/>
      <c r="BH14" s="4"/>
    </row>
    <row r="15" spans="1:60" ht="15" thickBot="1" x14ac:dyDescent="0.35">
      <c r="A15" s="7" t="s">
        <v>530</v>
      </c>
      <c r="B15" s="64"/>
      <c r="C15" s="7"/>
      <c r="D15" s="120">
        <f>D12-D13</f>
        <v>3046533.0099999993</v>
      </c>
      <c r="E15" s="4">
        <f>E12-E13</f>
        <v>2538.7900000000009</v>
      </c>
      <c r="F15" s="4">
        <f t="shared" ref="F15:BE15" si="3">F12-F13</f>
        <v>20278.869999999995</v>
      </c>
      <c r="G15" s="4">
        <f t="shared" si="3"/>
        <v>54666.45</v>
      </c>
      <c r="H15" s="4">
        <f t="shared" si="3"/>
        <v>54635.86</v>
      </c>
      <c r="I15" s="4">
        <f t="shared" si="3"/>
        <v>160500</v>
      </c>
      <c r="J15" s="4">
        <f t="shared" si="3"/>
        <v>101181.48</v>
      </c>
      <c r="K15" s="4">
        <f t="shared" si="3"/>
        <v>53045.710000000006</v>
      </c>
      <c r="L15" s="4">
        <f t="shared" si="3"/>
        <v>209442.16000000003</v>
      </c>
      <c r="M15" s="4">
        <f t="shared" si="3"/>
        <v>12018.660000000003</v>
      </c>
      <c r="N15" s="4">
        <f t="shared" si="3"/>
        <v>0</v>
      </c>
      <c r="O15" s="4">
        <f t="shared" si="3"/>
        <v>145656.91000000003</v>
      </c>
      <c r="P15" s="4">
        <f t="shared" si="3"/>
        <v>30139.660000000003</v>
      </c>
      <c r="Q15" s="4">
        <f t="shared" si="3"/>
        <v>4875.0800000000008</v>
      </c>
      <c r="R15" s="4">
        <f t="shared" si="3"/>
        <v>36719.100000000006</v>
      </c>
      <c r="S15" s="4">
        <f t="shared" si="3"/>
        <v>50802.28</v>
      </c>
      <c r="T15" s="4">
        <f t="shared" si="3"/>
        <v>33423.149999999994</v>
      </c>
      <c r="U15" s="4">
        <f t="shared" si="3"/>
        <v>-1099.0100000000002</v>
      </c>
      <c r="V15" s="4">
        <f t="shared" si="3"/>
        <v>43820.32</v>
      </c>
      <c r="W15" s="4">
        <f t="shared" si="3"/>
        <v>114719.24999999999</v>
      </c>
      <c r="X15" s="4">
        <f t="shared" si="3"/>
        <v>-2244</v>
      </c>
      <c r="Y15" s="4">
        <f t="shared" si="3"/>
        <v>120400.45000000001</v>
      </c>
      <c r="Z15" s="4">
        <f t="shared" si="3"/>
        <v>-24149.809999999998</v>
      </c>
      <c r="AA15" s="4">
        <f t="shared" si="3"/>
        <v>4294</v>
      </c>
      <c r="AB15" s="4">
        <f t="shared" si="3"/>
        <v>613.59999999999991</v>
      </c>
      <c r="AC15" s="4">
        <f t="shared" si="3"/>
        <v>21535.010000000002</v>
      </c>
      <c r="AD15" s="4">
        <f t="shared" si="3"/>
        <v>-18535.39</v>
      </c>
      <c r="AE15" s="4">
        <f t="shared" si="3"/>
        <v>27799.629999999997</v>
      </c>
      <c r="AF15" s="4">
        <f t="shared" si="3"/>
        <v>2436.3000000000002</v>
      </c>
      <c r="AG15" s="4">
        <f t="shared" si="3"/>
        <v>58190.450000000004</v>
      </c>
      <c r="AH15" s="4">
        <f t="shared" si="3"/>
        <v>146117.03</v>
      </c>
      <c r="AI15" s="4">
        <f t="shared" si="3"/>
        <v>2208.9400000000005</v>
      </c>
      <c r="AJ15" s="4">
        <f t="shared" si="3"/>
        <v>490.17999999999938</v>
      </c>
      <c r="AK15" s="4">
        <f t="shared" si="3"/>
        <v>37304.61</v>
      </c>
      <c r="AL15" s="4">
        <f t="shared" si="3"/>
        <v>87688</v>
      </c>
      <c r="AM15" s="4">
        <f t="shared" si="3"/>
        <v>66574.599999999991</v>
      </c>
      <c r="AN15" s="4">
        <f t="shared" si="3"/>
        <v>-6870.04</v>
      </c>
      <c r="AO15" s="4">
        <f t="shared" si="3"/>
        <v>42924.510000000009</v>
      </c>
      <c r="AP15" s="4">
        <f t="shared" si="3"/>
        <v>27822.7</v>
      </c>
      <c r="AQ15" s="4">
        <f t="shared" si="3"/>
        <v>30721.599999999999</v>
      </c>
      <c r="AR15" s="4">
        <f t="shared" si="3"/>
        <v>58466.340000000004</v>
      </c>
      <c r="AS15" s="4">
        <f t="shared" si="3"/>
        <v>32139.72</v>
      </c>
      <c r="AT15" s="4">
        <f t="shared" si="3"/>
        <v>55766.41</v>
      </c>
      <c r="AU15" s="4">
        <f t="shared" si="3"/>
        <v>18287.900000000001</v>
      </c>
      <c r="AV15" s="4">
        <f t="shared" si="3"/>
        <v>148491.06</v>
      </c>
      <c r="AW15" s="4">
        <f t="shared" si="3"/>
        <v>31794.620000000003</v>
      </c>
      <c r="AX15" s="4">
        <f t="shared" si="3"/>
        <v>3799.1600000000003</v>
      </c>
      <c r="AY15" s="4">
        <f t="shared" si="3"/>
        <v>8109.9600000000009</v>
      </c>
      <c r="AZ15" s="4">
        <f t="shared" si="3"/>
        <v>264871.33999999997</v>
      </c>
      <c r="BA15" s="4">
        <f t="shared" si="3"/>
        <v>-2071.2199999999993</v>
      </c>
      <c r="BB15" s="4">
        <f t="shared" si="3"/>
        <v>53090.14</v>
      </c>
      <c r="BC15" s="4">
        <f t="shared" si="3"/>
        <v>-3699.85</v>
      </c>
      <c r="BD15" s="4">
        <f t="shared" si="3"/>
        <v>600287.67999999993</v>
      </c>
      <c r="BE15" s="4">
        <f t="shared" si="3"/>
        <v>24512.66</v>
      </c>
      <c r="BF15" s="4">
        <f t="shared" si="0"/>
        <v>1127364.72</v>
      </c>
      <c r="BG15" s="4">
        <f t="shared" si="1"/>
        <v>339156.39</v>
      </c>
      <c r="BH15" s="4">
        <f t="shared" si="2"/>
        <v>1580011.9000000001</v>
      </c>
    </row>
    <row r="16" spans="1:60" x14ac:dyDescent="0.3">
      <c r="B16" s="121"/>
      <c r="D16" s="4"/>
      <c r="BF16" s="4"/>
      <c r="BG16" s="4"/>
      <c r="BH16" s="4"/>
    </row>
    <row r="17" spans="1:60" x14ac:dyDescent="0.3">
      <c r="A17" s="111" t="s">
        <v>79</v>
      </c>
      <c r="B17" s="112" t="s">
        <v>231</v>
      </c>
      <c r="C17" s="111">
        <v>40</v>
      </c>
      <c r="D17" s="113">
        <f>'Base de données indicateurs1'!BF37</f>
        <v>218455372.60999998</v>
      </c>
      <c r="E17" s="4">
        <f>'Base de données indicateurs1'!E37</f>
        <v>3316356.05</v>
      </c>
      <c r="F17" s="4">
        <f>'Base de données indicateurs1'!F37</f>
        <v>739829.35</v>
      </c>
      <c r="G17" s="4">
        <f>'Base de données indicateurs1'!G37</f>
        <v>1154064.7</v>
      </c>
      <c r="H17" s="4">
        <f>'Base de données indicateurs1'!H37</f>
        <v>1062792.55</v>
      </c>
      <c r="I17" s="4">
        <f>'Base de données indicateurs1'!I37</f>
        <v>8115298</v>
      </c>
      <c r="J17" s="4">
        <f>'Base de données indicateurs1'!J37</f>
        <v>9445275.5500000007</v>
      </c>
      <c r="K17" s="4">
        <f>'Base de données indicateurs1'!K37</f>
        <v>7112250.3600000003</v>
      </c>
      <c r="L17" s="4">
        <f>'Base de données indicateurs1'!L37</f>
        <v>39079842.799999997</v>
      </c>
      <c r="M17" s="4">
        <f>'Base de données indicateurs1'!M37</f>
        <v>3480267.04</v>
      </c>
      <c r="N17" s="4">
        <f>'Base de données indicateurs1'!N37</f>
        <v>0</v>
      </c>
      <c r="O17" s="4">
        <f>'Base de données indicateurs1'!O37</f>
        <v>16475938</v>
      </c>
      <c r="P17" s="4">
        <f>'Base de données indicateurs1'!P37</f>
        <v>1259404.95</v>
      </c>
      <c r="Q17" s="4">
        <f>'Base de données indicateurs1'!Q37</f>
        <v>207655.7</v>
      </c>
      <c r="R17" s="4">
        <f>'Base de données indicateurs1'!R37</f>
        <v>1011482.65</v>
      </c>
      <c r="S17" s="4">
        <f>'Base de données indicateurs1'!S37</f>
        <v>722909.15</v>
      </c>
      <c r="T17" s="4">
        <f>'Base de données indicateurs1'!T37</f>
        <v>2005442.1</v>
      </c>
      <c r="U17" s="4">
        <f>'Base de données indicateurs1'!U37</f>
        <v>596548.80000000005</v>
      </c>
      <c r="V17" s="4">
        <f>'Base de données indicateurs1'!V37</f>
        <v>1358899.35</v>
      </c>
      <c r="W17" s="4">
        <f>'Base de données indicateurs1'!W37</f>
        <v>7646026.9000000004</v>
      </c>
      <c r="X17" s="4">
        <f>'Base de données indicateurs1'!X37</f>
        <v>848811</v>
      </c>
      <c r="Y17" s="4">
        <f>'Base de données indicateurs1'!Y37</f>
        <v>3758598.17</v>
      </c>
      <c r="Z17" s="4">
        <f>'Base de données indicateurs1'!Z37</f>
        <v>9945240.5</v>
      </c>
      <c r="AA17" s="4">
        <f>'Base de données indicateurs1'!AA37</f>
        <v>235146</v>
      </c>
      <c r="AB17" s="4">
        <f>'Base de données indicateurs1'!AB37</f>
        <v>289463.2</v>
      </c>
      <c r="AC17" s="4">
        <f>'Base de données indicateurs1'!AC37</f>
        <v>1246815.8500000001</v>
      </c>
      <c r="AD17" s="4">
        <f>'Base de données indicateurs1'!AD37</f>
        <v>1439744.55</v>
      </c>
      <c r="AE17" s="4">
        <f>'Base de données indicateurs1'!AE37</f>
        <v>1317292.6000000001</v>
      </c>
      <c r="AF17" s="4">
        <f>'Base de données indicateurs1'!AF37</f>
        <v>1892861.9</v>
      </c>
      <c r="AG17" s="4">
        <f>'Base de données indicateurs1'!AG37</f>
        <v>6916532.8499999996</v>
      </c>
      <c r="AH17" s="4">
        <f>'Base de données indicateurs1'!AH37</f>
        <v>7704002</v>
      </c>
      <c r="AI17" s="4">
        <f>'Base de données indicateurs1'!AI37</f>
        <v>522916.35</v>
      </c>
      <c r="AJ17" s="4">
        <f>'Base de données indicateurs1'!AJ37</f>
        <v>299937.8</v>
      </c>
      <c r="AK17" s="4">
        <f>'Base de données indicateurs1'!AK37</f>
        <v>5443392.9000000004</v>
      </c>
      <c r="AL17" s="4">
        <f>'Base de données indicateurs1'!AL37</f>
        <v>2482113.44</v>
      </c>
      <c r="AM17" s="4">
        <f>'Base de données indicateurs1'!AM37</f>
        <v>2964717.4</v>
      </c>
      <c r="AN17" s="4">
        <f>'Base de données indicateurs1'!AN37</f>
        <v>334540.34999999998</v>
      </c>
      <c r="AO17" s="4">
        <f>'Base de données indicateurs1'!AO37</f>
        <v>6870594.75</v>
      </c>
      <c r="AP17" s="4">
        <f>'Base de données indicateurs1'!AP37</f>
        <v>2024840.18</v>
      </c>
      <c r="AQ17" s="4">
        <f>'Base de données indicateurs1'!AQ37</f>
        <v>1951760</v>
      </c>
      <c r="AR17" s="4">
        <f>'Base de données indicateurs1'!AR37</f>
        <v>3379801.6</v>
      </c>
      <c r="AS17" s="4">
        <f>'Base de données indicateurs1'!AS37</f>
        <v>1748640.05</v>
      </c>
      <c r="AT17" s="4">
        <f>'Base de données indicateurs1'!AT37</f>
        <v>2441707.9500000002</v>
      </c>
      <c r="AU17" s="4">
        <f>'Base de données indicateurs1'!AU37</f>
        <v>2265017.35</v>
      </c>
      <c r="AV17" s="4">
        <f>'Base de données indicateurs1'!AV37</f>
        <v>6073809.8300000001</v>
      </c>
      <c r="AW17" s="4">
        <f>'Base de données indicateurs1'!AW37</f>
        <v>2202056.9</v>
      </c>
      <c r="AX17" s="4">
        <f>'Base de données indicateurs1'!AX37</f>
        <v>406157.7</v>
      </c>
      <c r="AY17" s="4">
        <f>'Base de données indicateurs1'!AY37</f>
        <v>902646.45</v>
      </c>
      <c r="AZ17" s="4">
        <f>'Base de données indicateurs1'!AZ37</f>
        <v>5009992.2</v>
      </c>
      <c r="BA17" s="4">
        <f>'Base de données indicateurs1'!BA37</f>
        <v>984706.9</v>
      </c>
      <c r="BB17" s="4">
        <f>'Base de données indicateurs1'!BB37</f>
        <v>3659638.59</v>
      </c>
      <c r="BC17" s="4">
        <f>'Base de données indicateurs1'!BC37</f>
        <v>341684.35</v>
      </c>
      <c r="BD17" s="4">
        <f>'Base de données indicateurs1'!BD37</f>
        <v>24686130.600000001</v>
      </c>
      <c r="BE17" s="4">
        <f>'Base de données indicateurs1'!BE37</f>
        <v>1073776.3500000001</v>
      </c>
      <c r="BF17" s="4">
        <f t="shared" si="0"/>
        <v>104790284.00000001</v>
      </c>
      <c r="BG17" s="4">
        <f t="shared" si="1"/>
        <v>36417362.769999996</v>
      </c>
      <c r="BH17" s="4">
        <f t="shared" si="2"/>
        <v>77247725.840000004</v>
      </c>
    </row>
    <row r="18" spans="1:60" x14ac:dyDescent="0.3">
      <c r="A18" s="114" t="s">
        <v>119</v>
      </c>
      <c r="B18" s="115" t="s">
        <v>232</v>
      </c>
      <c r="C18" s="114">
        <v>47</v>
      </c>
      <c r="D18" s="116">
        <f>'Base de données indicateurs1'!BF50</f>
        <v>1454430.2000000002</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1665</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428675.8</v>
      </c>
      <c r="AA18" s="4">
        <f>'Base de données indicateurs1'!AA50</f>
        <v>159491</v>
      </c>
      <c r="AB18" s="4">
        <f>'Base de données indicateurs1'!AB50</f>
        <v>0</v>
      </c>
      <c r="AC18" s="4">
        <f>'Base de données indicateurs1'!AC50</f>
        <v>155601.79999999999</v>
      </c>
      <c r="AD18" s="4">
        <f>'Base de données indicateurs1'!AD50</f>
        <v>0</v>
      </c>
      <c r="AE18" s="4">
        <f>'Base de données indicateurs1'!AE50</f>
        <v>0</v>
      </c>
      <c r="AF18" s="4">
        <f>'Base de données indicateurs1'!AF50</f>
        <v>570898.30000000005</v>
      </c>
      <c r="AG18" s="4">
        <f>'Base de données indicateurs1'!AG50</f>
        <v>0</v>
      </c>
      <c r="AH18" s="4">
        <f>'Base de données indicateurs1'!AH50</f>
        <v>0</v>
      </c>
      <c r="AI18" s="4">
        <f>'Base de données indicateurs1'!AI50</f>
        <v>1500</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57050</v>
      </c>
      <c r="AS18" s="4">
        <f>'Base de données indicateurs1'!AS50</f>
        <v>0</v>
      </c>
      <c r="AT18" s="4">
        <f>'Base de données indicateurs1'!AT50</f>
        <v>0</v>
      </c>
      <c r="AU18" s="4">
        <f>'Base de données indicateurs1'!AU50</f>
        <v>0</v>
      </c>
      <c r="AV18" s="4">
        <f>'Base de données indicateurs1'!AV50</f>
        <v>79548.3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1665</v>
      </c>
      <c r="BG18" s="4">
        <f t="shared" si="1"/>
        <v>1316166.9000000001</v>
      </c>
      <c r="BH18" s="4">
        <f t="shared" si="2"/>
        <v>136598.29999999999</v>
      </c>
    </row>
    <row r="19" spans="1:60" x14ac:dyDescent="0.3">
      <c r="A19" s="114" t="s">
        <v>128</v>
      </c>
      <c r="B19" s="115" t="s">
        <v>232</v>
      </c>
      <c r="C19" s="114">
        <v>49</v>
      </c>
      <c r="D19" s="116">
        <f>'Base de données indicateurs1'!BF53</f>
        <v>3674070.9800000004</v>
      </c>
      <c r="E19" s="4">
        <f>'Base de données indicateurs1'!E53</f>
        <v>0</v>
      </c>
      <c r="F19" s="4">
        <f>'Base de données indicateurs1'!F53</f>
        <v>31349.99</v>
      </c>
      <c r="G19" s="4">
        <f>'Base de données indicateurs1'!G53</f>
        <v>2814.4</v>
      </c>
      <c r="H19" s="4">
        <f>'Base de données indicateurs1'!H53</f>
        <v>31545.85</v>
      </c>
      <c r="I19" s="4">
        <f>'Base de données indicateurs1'!I53</f>
        <v>309300</v>
      </c>
      <c r="J19" s="4">
        <f>'Base de données indicateurs1'!J53</f>
        <v>59158</v>
      </c>
      <c r="K19" s="4">
        <f>'Base de données indicateurs1'!K53</f>
        <v>37587.75</v>
      </c>
      <c r="L19" s="4">
        <f>'Base de données indicateurs1'!L53</f>
        <v>1802641</v>
      </c>
      <c r="M19" s="4">
        <f>'Base de données indicateurs1'!M53</f>
        <v>99719.41</v>
      </c>
      <c r="N19" s="4">
        <f>'Base de données indicateurs1'!N53</f>
        <v>0</v>
      </c>
      <c r="O19" s="4">
        <f>'Base de données indicateurs1'!O53</f>
        <v>64560</v>
      </c>
      <c r="P19" s="4">
        <f>'Base de données indicateurs1'!P53</f>
        <v>35547.949999999997</v>
      </c>
      <c r="Q19" s="4">
        <f>'Base de données indicateurs1'!Q53</f>
        <v>0</v>
      </c>
      <c r="R19" s="4">
        <f>'Base de données indicateurs1'!R53</f>
        <v>22300</v>
      </c>
      <c r="S19" s="4">
        <f>'Base de données indicateurs1'!S53</f>
        <v>0</v>
      </c>
      <c r="T19" s="4">
        <f>'Base de données indicateurs1'!T53</f>
        <v>6500</v>
      </c>
      <c r="U19" s="4">
        <f>'Base de données indicateurs1'!U53</f>
        <v>0</v>
      </c>
      <c r="V19" s="4">
        <f>'Base de données indicateurs1'!V53</f>
        <v>60358.1</v>
      </c>
      <c r="W19" s="4">
        <f>'Base de données indicateurs1'!W53</f>
        <v>286000.15000000002</v>
      </c>
      <c r="X19" s="4">
        <f>'Base de données indicateurs1'!X53</f>
        <v>0</v>
      </c>
      <c r="Y19" s="4">
        <f>'Base de données indicateurs1'!Y53</f>
        <v>0</v>
      </c>
      <c r="Z19" s="4">
        <f>'Base de données indicateurs1'!Z53</f>
        <v>0</v>
      </c>
      <c r="AA19" s="4">
        <f>'Base de données indicateurs1'!AA53</f>
        <v>24713</v>
      </c>
      <c r="AB19" s="4">
        <f>'Base de données indicateurs1'!AB53</f>
        <v>3256</v>
      </c>
      <c r="AC19" s="4">
        <f>'Base de données indicateurs1'!AC53</f>
        <v>26841.7</v>
      </c>
      <c r="AD19" s="4">
        <f>'Base de données indicateurs1'!AD53</f>
        <v>120062.5</v>
      </c>
      <c r="AE19" s="4">
        <f>'Base de données indicateurs1'!AE53</f>
        <v>87127.35</v>
      </c>
      <c r="AF19" s="4">
        <f>'Base de données indicateurs1'!AF53</f>
        <v>69667.45</v>
      </c>
      <c r="AG19" s="4">
        <f>'Base de données indicateurs1'!AG53</f>
        <v>1500</v>
      </c>
      <c r="AH19" s="4">
        <f>'Base de données indicateurs1'!AH53</f>
        <v>28100</v>
      </c>
      <c r="AI19" s="4">
        <f>'Base de données indicateurs1'!AI53</f>
        <v>0</v>
      </c>
      <c r="AJ19" s="4">
        <f>'Base de données indicateurs1'!AJ53</f>
        <v>1051.1500000000001</v>
      </c>
      <c r="AK19" s="4">
        <f>'Base de données indicateurs1'!AK53</f>
        <v>16350</v>
      </c>
      <c r="AL19" s="4">
        <f>'Base de données indicateurs1'!AL53</f>
        <v>0</v>
      </c>
      <c r="AM19" s="4">
        <f>'Base de données indicateurs1'!AM53</f>
        <v>3700</v>
      </c>
      <c r="AN19" s="4">
        <f>'Base de données indicateurs1'!AN53</f>
        <v>0</v>
      </c>
      <c r="AO19" s="4">
        <f>'Base de données indicateurs1'!AO53</f>
        <v>41758.800000000003</v>
      </c>
      <c r="AP19" s="4">
        <f>'Base de données indicateurs1'!AP53</f>
        <v>93043.1</v>
      </c>
      <c r="AQ19" s="4">
        <f>'Base de données indicateurs1'!AQ53</f>
        <v>0</v>
      </c>
      <c r="AR19" s="4">
        <f>'Base de données indicateurs1'!AR53</f>
        <v>0</v>
      </c>
      <c r="AS19" s="4">
        <f>'Base de données indicateurs1'!AS53</f>
        <v>59398.05</v>
      </c>
      <c r="AT19" s="4">
        <f>'Base de données indicateurs1'!AT53</f>
        <v>0</v>
      </c>
      <c r="AU19" s="4">
        <f>'Base de données indicateurs1'!AU53</f>
        <v>10800</v>
      </c>
      <c r="AV19" s="4">
        <f>'Base de données indicateurs1'!AV53</f>
        <v>15863</v>
      </c>
      <c r="AW19" s="4">
        <f>'Base de données indicateurs1'!AW53</f>
        <v>0</v>
      </c>
      <c r="AX19" s="4">
        <f>'Base de données indicateurs1'!AX53</f>
        <v>7348.8</v>
      </c>
      <c r="AY19" s="4">
        <f>'Base de données indicateurs1'!AY53</f>
        <v>0</v>
      </c>
      <c r="AZ19" s="4">
        <f>'Base de données indicateurs1'!AZ53</f>
        <v>152452.6</v>
      </c>
      <c r="BA19" s="4">
        <f>'Base de données indicateurs1'!BA53</f>
        <v>0</v>
      </c>
      <c r="BB19" s="4">
        <f>'Base de données indicateurs1'!BB53</f>
        <v>46154.879999999997</v>
      </c>
      <c r="BC19" s="4">
        <f>'Base de données indicateurs1'!BC53</f>
        <v>0</v>
      </c>
      <c r="BD19" s="4">
        <f>'Base de données indicateurs1'!BD53</f>
        <v>0</v>
      </c>
      <c r="BE19" s="4">
        <f>'Base de données indicateurs1'!BE53</f>
        <v>15500</v>
      </c>
      <c r="BF19" s="4">
        <f t="shared" si="0"/>
        <v>2849382.6000000006</v>
      </c>
      <c r="BG19" s="4">
        <f t="shared" si="1"/>
        <v>362319.15</v>
      </c>
      <c r="BH19" s="4">
        <f t="shared" si="2"/>
        <v>462369.23</v>
      </c>
    </row>
    <row r="20" spans="1:60" x14ac:dyDescent="0.3">
      <c r="A20" s="114" t="s">
        <v>239</v>
      </c>
      <c r="B20" s="115" t="s">
        <v>232</v>
      </c>
      <c r="C20" s="122">
        <v>489</v>
      </c>
      <c r="D20" s="116">
        <f>'Base de données indicateurs1'!BF51</f>
        <v>2275423.12</v>
      </c>
      <c r="E20" s="4">
        <f>'Base de données indicateurs1'!E51</f>
        <v>0</v>
      </c>
      <c r="F20" s="4">
        <f>'Base de données indicateurs1'!F51</f>
        <v>0</v>
      </c>
      <c r="G20" s="4">
        <f>'Base de données indicateurs1'!G51</f>
        <v>0</v>
      </c>
      <c r="H20" s="4">
        <f>'Base de données indicateurs1'!H51</f>
        <v>0</v>
      </c>
      <c r="I20" s="4">
        <f>'Base de données indicateurs1'!I51</f>
        <v>300000</v>
      </c>
      <c r="J20" s="4">
        <f>'Base de données indicateurs1'!J51</f>
        <v>0</v>
      </c>
      <c r="K20" s="4">
        <f>'Base de données indicateurs1'!K51</f>
        <v>0</v>
      </c>
      <c r="L20" s="4">
        <f>'Base de données indicateurs1'!L51</f>
        <v>1100000</v>
      </c>
      <c r="M20" s="4">
        <f>'Base de données indicateurs1'!M51</f>
        <v>0</v>
      </c>
      <c r="N20" s="4">
        <f>'Base de données indicateurs1'!N51</f>
        <v>0</v>
      </c>
      <c r="O20" s="4">
        <f>'Base de données indicateurs1'!O51</f>
        <v>2478.3000000000002</v>
      </c>
      <c r="P20" s="4">
        <f>'Base de données indicateurs1'!P51</f>
        <v>0</v>
      </c>
      <c r="Q20" s="4">
        <f>'Base de données indicateurs1'!Q51</f>
        <v>20000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206471.32</v>
      </c>
      <c r="AD20" s="4">
        <f>'Base de données indicateurs1'!AD51</f>
        <v>151113.5</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0</v>
      </c>
      <c r="AM20" s="4">
        <f>'Base de données indicateurs1'!AM51</f>
        <v>0</v>
      </c>
      <c r="AN20" s="4">
        <f>'Base de données indicateurs1'!AN51</f>
        <v>0</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50000</v>
      </c>
      <c r="AU20" s="4">
        <f>'Base de données indicateurs1'!AU51</f>
        <v>0</v>
      </c>
      <c r="AV20" s="4">
        <f>'Base de données indicateurs1'!AV51</f>
        <v>425359</v>
      </c>
      <c r="AW20" s="4">
        <f>'Base de données indicateurs1'!AW51</f>
        <v>0</v>
      </c>
      <c r="AX20" s="4">
        <f>'Base de données indicateurs1'!AX51</f>
        <v>20000</v>
      </c>
      <c r="AY20" s="4">
        <f>'Base de données indicateurs1'!AY51</f>
        <v>0</v>
      </c>
      <c r="AZ20" s="4">
        <f>'Base de données indicateurs1'!AZ51</f>
        <v>0</v>
      </c>
      <c r="BA20" s="4">
        <f>'Base de données indicateurs1'!BA51</f>
        <v>0</v>
      </c>
      <c r="BB20" s="4">
        <f>'Base de données indicateurs1'!BB51</f>
        <v>0</v>
      </c>
      <c r="BC20" s="4">
        <f>'Base de données indicateurs1'!BC51</f>
        <v>1</v>
      </c>
      <c r="BD20" s="4">
        <f>'Base de données indicateurs1'!BD51</f>
        <v>0</v>
      </c>
      <c r="BE20" s="4">
        <f>'Base de données indicateurs1'!BE51</f>
        <v>0</v>
      </c>
      <c r="BF20" s="4">
        <f t="shared" si="0"/>
        <v>1422478.3</v>
      </c>
      <c r="BG20" s="4">
        <f t="shared" si="1"/>
        <v>357584.82</v>
      </c>
      <c r="BH20" s="4">
        <f t="shared" si="2"/>
        <v>495360</v>
      </c>
    </row>
    <row r="21" spans="1:60" x14ac:dyDescent="0.3">
      <c r="A21" s="114" t="s">
        <v>531</v>
      </c>
      <c r="B21" s="115" t="s">
        <v>231</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 thickBot="1" x14ac:dyDescent="0.35">
      <c r="A22" s="117"/>
      <c r="B22" s="118"/>
      <c r="C22" s="117"/>
      <c r="D22" s="119"/>
      <c r="BF22" s="4"/>
      <c r="BG22" s="4"/>
      <c r="BH22" s="4"/>
    </row>
    <row r="23" spans="1:60" ht="15" thickBot="1" x14ac:dyDescent="0.35">
      <c r="A23" s="7" t="s">
        <v>532</v>
      </c>
      <c r="B23" s="64"/>
      <c r="C23" s="7"/>
      <c r="D23" s="120">
        <f>SUM(D17,D21)-SUM(D18:D20)</f>
        <v>211051448.30999997</v>
      </c>
      <c r="E23" s="144">
        <f>SUM(E17,E21)-SUM(E18:E20)</f>
        <v>3316356.05</v>
      </c>
      <c r="F23" s="129">
        <f t="shared" ref="F23:BE23" si="4">SUM(F17,F21)-SUM(F18:F20)</f>
        <v>708479.36</v>
      </c>
      <c r="G23" s="129">
        <f t="shared" si="4"/>
        <v>1151250.3</v>
      </c>
      <c r="H23" s="129">
        <f t="shared" si="4"/>
        <v>1031246.7000000001</v>
      </c>
      <c r="I23" s="129">
        <f t="shared" si="4"/>
        <v>7505998</v>
      </c>
      <c r="J23" s="129">
        <f t="shared" si="4"/>
        <v>9386117.5500000007</v>
      </c>
      <c r="K23" s="129">
        <f t="shared" si="4"/>
        <v>7074662.6100000003</v>
      </c>
      <c r="L23" s="129">
        <f t="shared" si="4"/>
        <v>36177201.799999997</v>
      </c>
      <c r="M23" s="129">
        <f t="shared" si="4"/>
        <v>3378882.63</v>
      </c>
      <c r="N23" s="129">
        <f t="shared" si="4"/>
        <v>0</v>
      </c>
      <c r="O23" s="129">
        <f t="shared" si="4"/>
        <v>16408899.699999999</v>
      </c>
      <c r="P23" s="129">
        <f t="shared" si="4"/>
        <v>1223857</v>
      </c>
      <c r="Q23" s="129">
        <f t="shared" si="4"/>
        <v>187655.7</v>
      </c>
      <c r="R23" s="129">
        <f t="shared" si="4"/>
        <v>989182.65</v>
      </c>
      <c r="S23" s="129">
        <f t="shared" si="4"/>
        <v>722909.15</v>
      </c>
      <c r="T23" s="129">
        <f t="shared" si="4"/>
        <v>1998942.1</v>
      </c>
      <c r="U23" s="129">
        <f t="shared" si="4"/>
        <v>596548.80000000005</v>
      </c>
      <c r="V23" s="129">
        <f t="shared" si="4"/>
        <v>1298541.25</v>
      </c>
      <c r="W23" s="129">
        <f t="shared" si="4"/>
        <v>7360026.75</v>
      </c>
      <c r="X23" s="129">
        <f t="shared" si="4"/>
        <v>848811</v>
      </c>
      <c r="Y23" s="129">
        <f t="shared" si="4"/>
        <v>3758598.17</v>
      </c>
      <c r="Z23" s="129">
        <f t="shared" si="4"/>
        <v>9516564.6999999993</v>
      </c>
      <c r="AA23" s="129">
        <f t="shared" si="4"/>
        <v>50942</v>
      </c>
      <c r="AB23" s="129">
        <f t="shared" si="4"/>
        <v>286207.2</v>
      </c>
      <c r="AC23" s="129">
        <f t="shared" si="4"/>
        <v>857901.03</v>
      </c>
      <c r="AD23" s="129">
        <f t="shared" si="4"/>
        <v>1168568.55</v>
      </c>
      <c r="AE23" s="129">
        <f t="shared" si="4"/>
        <v>1230165.25</v>
      </c>
      <c r="AF23" s="129">
        <f t="shared" si="4"/>
        <v>1252296.1499999999</v>
      </c>
      <c r="AG23" s="129">
        <f t="shared" si="4"/>
        <v>6915032.8499999996</v>
      </c>
      <c r="AH23" s="129">
        <f t="shared" si="4"/>
        <v>7675902</v>
      </c>
      <c r="AI23" s="129">
        <f t="shared" si="4"/>
        <v>521416.35</v>
      </c>
      <c r="AJ23" s="129">
        <f t="shared" si="4"/>
        <v>298886.64999999997</v>
      </c>
      <c r="AK23" s="129">
        <f t="shared" si="4"/>
        <v>5427042.9000000004</v>
      </c>
      <c r="AL23" s="129">
        <f t="shared" si="4"/>
        <v>2482113.44</v>
      </c>
      <c r="AM23" s="129">
        <f t="shared" si="4"/>
        <v>2961017.4</v>
      </c>
      <c r="AN23" s="129">
        <f t="shared" si="4"/>
        <v>334540.34999999998</v>
      </c>
      <c r="AO23" s="129">
        <f t="shared" si="4"/>
        <v>6828835.9500000002</v>
      </c>
      <c r="AP23" s="129">
        <f t="shared" si="4"/>
        <v>1931797.0799999998</v>
      </c>
      <c r="AQ23" s="129">
        <f t="shared" si="4"/>
        <v>1951760</v>
      </c>
      <c r="AR23" s="129">
        <f t="shared" si="4"/>
        <v>3322751.6</v>
      </c>
      <c r="AS23" s="129">
        <f t="shared" si="4"/>
        <v>1689242</v>
      </c>
      <c r="AT23" s="129">
        <f t="shared" si="4"/>
        <v>2391707.9500000002</v>
      </c>
      <c r="AU23" s="129">
        <f t="shared" si="4"/>
        <v>2254217.35</v>
      </c>
      <c r="AV23" s="129">
        <f t="shared" si="4"/>
        <v>5553039.5300000003</v>
      </c>
      <c r="AW23" s="129">
        <f t="shared" si="4"/>
        <v>2202056.9</v>
      </c>
      <c r="AX23" s="129">
        <f t="shared" si="4"/>
        <v>378808.9</v>
      </c>
      <c r="AY23" s="129">
        <f t="shared" si="4"/>
        <v>902646.45</v>
      </c>
      <c r="AZ23" s="129">
        <f t="shared" si="4"/>
        <v>4857539.6000000006</v>
      </c>
      <c r="BA23" s="129">
        <f t="shared" si="4"/>
        <v>984706.9</v>
      </c>
      <c r="BB23" s="129">
        <f t="shared" si="4"/>
        <v>3613483.71</v>
      </c>
      <c r="BC23" s="129">
        <f t="shared" si="4"/>
        <v>341683.35</v>
      </c>
      <c r="BD23" s="129">
        <f t="shared" si="4"/>
        <v>24686130.600000001</v>
      </c>
      <c r="BE23" s="129">
        <f t="shared" si="4"/>
        <v>1058276.3500000001</v>
      </c>
      <c r="BF23" s="4">
        <f t="shared" si="0"/>
        <v>100516758.10000001</v>
      </c>
      <c r="BG23" s="4">
        <f t="shared" si="1"/>
        <v>34381291.899999999</v>
      </c>
      <c r="BH23" s="4">
        <f t="shared" si="2"/>
        <v>76153398.310000002</v>
      </c>
    </row>
    <row r="24" spans="1:60" ht="15" thickBot="1" x14ac:dyDescent="0.35">
      <c r="B24" s="121"/>
      <c r="D24" s="4"/>
      <c r="BF24" s="4"/>
      <c r="BG24" s="4"/>
      <c r="BH24" s="4"/>
    </row>
    <row r="25" spans="1:60" ht="15" thickBot="1" x14ac:dyDescent="0.35">
      <c r="A25" s="7" t="s">
        <v>533</v>
      </c>
      <c r="B25" s="121"/>
      <c r="D25" s="120">
        <f>IF(D23&lt;&gt;0,D15/D23,"")*100</f>
        <v>1.4435025366540681</v>
      </c>
      <c r="E25" s="144">
        <f>IF(E23&lt;&gt;0,E15/E23,"")*100</f>
        <v>7.6553601655648548E-2</v>
      </c>
      <c r="F25" s="129">
        <f t="shared" ref="F25:BH25" si="5">IF(F23&lt;&gt;0,F15/F23,"")*100</f>
        <v>2.862309213919795</v>
      </c>
      <c r="G25" s="129">
        <f t="shared" si="5"/>
        <v>4.7484417593637103</v>
      </c>
      <c r="H25" s="129">
        <f t="shared" si="5"/>
        <v>5.2980397416059608</v>
      </c>
      <c r="I25" s="129">
        <f t="shared" si="5"/>
        <v>2.138289938260042</v>
      </c>
      <c r="J25" s="129">
        <f t="shared" si="5"/>
        <v>1.0779907609403421</v>
      </c>
      <c r="K25" s="129">
        <f t="shared" si="5"/>
        <v>0.74979844162490739</v>
      </c>
      <c r="L25" s="129">
        <f t="shared" si="5"/>
        <v>0.57893410650682231</v>
      </c>
      <c r="M25" s="129">
        <f t="shared" si="5"/>
        <v>0.3556992448713735</v>
      </c>
      <c r="N25" s="129" t="e">
        <f t="shared" si="5"/>
        <v>#VALUE!</v>
      </c>
      <c r="O25" s="129">
        <f t="shared" si="5"/>
        <v>0.88767018302878675</v>
      </c>
      <c r="P25" s="129">
        <f t="shared" si="5"/>
        <v>2.4626782377352914</v>
      </c>
      <c r="Q25" s="129">
        <f t="shared" si="5"/>
        <v>2.5978853826449186</v>
      </c>
      <c r="R25" s="129">
        <f t="shared" si="5"/>
        <v>3.7120647031162552</v>
      </c>
      <c r="S25" s="129">
        <f t="shared" si="5"/>
        <v>7.0274777957921826</v>
      </c>
      <c r="T25" s="129">
        <f t="shared" si="5"/>
        <v>1.6720419265770625</v>
      </c>
      <c r="U25" s="129">
        <f t="shared" si="5"/>
        <v>-0.18422801286332319</v>
      </c>
      <c r="V25" s="129">
        <f t="shared" si="5"/>
        <v>3.3745805148662011</v>
      </c>
      <c r="W25" s="129">
        <f t="shared" si="5"/>
        <v>1.5586797969178576</v>
      </c>
      <c r="X25" s="129">
        <f t="shared" si="5"/>
        <v>-0.26436980670608651</v>
      </c>
      <c r="Y25" s="129">
        <f t="shared" si="5"/>
        <v>3.2033339174429494</v>
      </c>
      <c r="Z25" s="129">
        <f t="shared" si="5"/>
        <v>-0.25376604648103745</v>
      </c>
      <c r="AA25" s="129">
        <f t="shared" si="5"/>
        <v>8.4291939853166333</v>
      </c>
      <c r="AB25" s="129">
        <f t="shared" si="5"/>
        <v>0.21439013414058061</v>
      </c>
      <c r="AC25" s="129">
        <f t="shared" si="5"/>
        <v>2.5101974758090688</v>
      </c>
      <c r="AD25" s="129">
        <f t="shared" si="5"/>
        <v>-1.5861619756923973</v>
      </c>
      <c r="AE25" s="129">
        <f t="shared" si="5"/>
        <v>2.2598289132293403</v>
      </c>
      <c r="AF25" s="129">
        <f t="shared" si="5"/>
        <v>0.19454663339817824</v>
      </c>
      <c r="AG25" s="129">
        <f t="shared" si="5"/>
        <v>0.84150648684192442</v>
      </c>
      <c r="AH25" s="129">
        <f t="shared" si="5"/>
        <v>1.9035812338406615</v>
      </c>
      <c r="AI25" s="129">
        <f t="shared" si="5"/>
        <v>0.42364225824525847</v>
      </c>
      <c r="AJ25" s="129">
        <f t="shared" si="5"/>
        <v>0.16400197198503161</v>
      </c>
      <c r="AK25" s="129">
        <f t="shared" si="5"/>
        <v>0.68738373157138666</v>
      </c>
      <c r="AL25" s="129">
        <f t="shared" si="5"/>
        <v>3.5327958258023857</v>
      </c>
      <c r="AM25" s="129">
        <f t="shared" si="5"/>
        <v>2.2483690909752845</v>
      </c>
      <c r="AN25" s="129">
        <f t="shared" si="5"/>
        <v>-2.0535758989909589</v>
      </c>
      <c r="AO25" s="129">
        <f t="shared" si="5"/>
        <v>0.62857726139987313</v>
      </c>
      <c r="AP25" s="129">
        <f t="shared" si="5"/>
        <v>1.4402496146230848</v>
      </c>
      <c r="AQ25" s="129">
        <f t="shared" si="5"/>
        <v>1.5740459892609744</v>
      </c>
      <c r="AR25" s="129">
        <f t="shared" si="5"/>
        <v>1.7595760092328301</v>
      </c>
      <c r="AS25" s="129">
        <f t="shared" si="5"/>
        <v>1.9026119407402848</v>
      </c>
      <c r="AT25" s="129">
        <f t="shared" si="5"/>
        <v>2.3316563378902511</v>
      </c>
      <c r="AU25" s="129">
        <f t="shared" si="5"/>
        <v>0.81127491987407518</v>
      </c>
      <c r="AV25" s="129">
        <f t="shared" si="5"/>
        <v>2.6740501161172174</v>
      </c>
      <c r="AW25" s="129">
        <f t="shared" si="5"/>
        <v>1.4438600564771966</v>
      </c>
      <c r="AX25" s="129">
        <f t="shared" si="5"/>
        <v>1.0029225818084</v>
      </c>
      <c r="AY25" s="129">
        <f t="shared" si="5"/>
        <v>0.89846473112479441</v>
      </c>
      <c r="AZ25" s="129">
        <f t="shared" si="5"/>
        <v>5.4527880740282582</v>
      </c>
      <c r="BA25" s="129">
        <f t="shared" si="5"/>
        <v>-0.21033873125089297</v>
      </c>
      <c r="BB25" s="129">
        <f t="shared" si="5"/>
        <v>1.4692231724492817</v>
      </c>
      <c r="BC25" s="129">
        <f t="shared" si="5"/>
        <v>-1.0828300530300936</v>
      </c>
      <c r="BD25" s="129">
        <f t="shared" si="5"/>
        <v>2.4316799166573313</v>
      </c>
      <c r="BE25" s="129">
        <f t="shared" si="5"/>
        <v>2.3162815648294512</v>
      </c>
      <c r="BF25" s="129">
        <f t="shared" si="5"/>
        <v>1.1215689217497751</v>
      </c>
      <c r="BG25" s="129">
        <f t="shared" si="5"/>
        <v>0.98645621283358476</v>
      </c>
      <c r="BH25" s="129">
        <f t="shared" si="5"/>
        <v>2.074775302302593</v>
      </c>
    </row>
    <row r="26" spans="1:60" x14ac:dyDescent="0.3">
      <c r="A26" s="123" t="s">
        <v>534</v>
      </c>
      <c r="B26" s="121"/>
      <c r="D26" s="4"/>
      <c r="BF26" s="4"/>
      <c r="BG26" s="4"/>
      <c r="BH26" s="4"/>
    </row>
    <row r="27" spans="1:60" x14ac:dyDescent="0.3">
      <c r="A27" s="123"/>
      <c r="B27" s="121"/>
      <c r="D27" s="4"/>
      <c r="BF27" s="4"/>
      <c r="BG27" s="4"/>
      <c r="BH27" s="4"/>
    </row>
    <row r="28" spans="1:60" x14ac:dyDescent="0.3">
      <c r="B28" s="121"/>
      <c r="D28" s="4"/>
      <c r="BF28" s="4"/>
      <c r="BG28" s="4"/>
      <c r="BH28" s="4"/>
    </row>
    <row r="29" spans="1:60" x14ac:dyDescent="0.3">
      <c r="A29" s="7" t="s">
        <v>535</v>
      </c>
      <c r="B29" s="121"/>
      <c r="D29" s="4"/>
      <c r="BF29" s="4"/>
      <c r="BG29" s="4"/>
      <c r="BH29" s="4"/>
    </row>
    <row r="30" spans="1:60" x14ac:dyDescent="0.3">
      <c r="B30" s="121"/>
      <c r="D30" s="4"/>
      <c r="BF30" s="4"/>
      <c r="BG30" s="4"/>
      <c r="BH30" s="4"/>
    </row>
    <row r="31" spans="1:60" x14ac:dyDescent="0.3">
      <c r="A31" s="111" t="s">
        <v>260</v>
      </c>
      <c r="B31" s="112" t="s">
        <v>231</v>
      </c>
      <c r="C31" s="124">
        <v>200</v>
      </c>
      <c r="D31" s="113">
        <f>'Base de données indicateurs1'!BF9</f>
        <v>35810906.580000013</v>
      </c>
      <c r="E31" s="4">
        <f>'Base de données indicateurs1'!E9</f>
        <v>3771.65</v>
      </c>
      <c r="F31" s="4">
        <f>'Base de données indicateurs1'!F9</f>
        <v>44599</v>
      </c>
      <c r="G31" s="4">
        <f>'Base de données indicateurs1'!G9</f>
        <v>112759.55</v>
      </c>
      <c r="H31" s="4">
        <f>'Base de données indicateurs1'!H9</f>
        <v>233640.35</v>
      </c>
      <c r="I31" s="4">
        <f>'Base de données indicateurs1'!I9</f>
        <v>600201</v>
      </c>
      <c r="J31" s="4">
        <f>'Base de données indicateurs1'!J9</f>
        <v>950985.5</v>
      </c>
      <c r="K31" s="4">
        <f>'Base de données indicateurs1'!K9</f>
        <v>201552.2</v>
      </c>
      <c r="L31" s="4">
        <f>'Base de données indicateurs1'!L9</f>
        <v>3705859.12</v>
      </c>
      <c r="M31" s="4">
        <f>'Base de données indicateurs1'!M9</f>
        <v>242544.73</v>
      </c>
      <c r="N31" s="4">
        <f>'Base de données indicateurs1'!N9</f>
        <v>0</v>
      </c>
      <c r="O31" s="4">
        <f>'Base de données indicateurs1'!O9</f>
        <v>1453277.22</v>
      </c>
      <c r="P31" s="4">
        <f>'Base de données indicateurs1'!P9</f>
        <v>91190.97</v>
      </c>
      <c r="Q31" s="4">
        <f>'Base de données indicateurs1'!Q9</f>
        <v>25537.75</v>
      </c>
      <c r="R31" s="4">
        <f>'Base de données indicateurs1'!R9</f>
        <v>266808.40999999997</v>
      </c>
      <c r="S31" s="4">
        <f>'Base de données indicateurs1'!S9</f>
        <v>563608.91</v>
      </c>
      <c r="T31" s="4">
        <f>'Base de données indicateurs1'!T9</f>
        <v>401478.57</v>
      </c>
      <c r="U31" s="4">
        <f>'Base de données indicateurs1'!U9</f>
        <v>213190.62</v>
      </c>
      <c r="V31" s="4">
        <f>'Base de données indicateurs1'!V9</f>
        <v>221716.45</v>
      </c>
      <c r="W31" s="4">
        <f>'Base de données indicateurs1'!W9</f>
        <v>2071297.12</v>
      </c>
      <c r="X31" s="4">
        <f>'Base de données indicateurs1'!X9</f>
        <v>135</v>
      </c>
      <c r="Y31" s="4">
        <f>'Base de données indicateurs1'!Y9</f>
        <v>8866789.9800000004</v>
      </c>
      <c r="Z31" s="4">
        <f>'Base de données indicateurs1'!Z9</f>
        <v>3389024.96</v>
      </c>
      <c r="AA31" s="4">
        <f>'Base de données indicateurs1'!AA9</f>
        <v>33957</v>
      </c>
      <c r="AB31" s="4">
        <f>'Base de données indicateurs1'!AB9</f>
        <v>31444.13</v>
      </c>
      <c r="AC31" s="4">
        <f>'Base de données indicateurs1'!AC9</f>
        <v>287157.11</v>
      </c>
      <c r="AD31" s="4">
        <f>'Base de données indicateurs1'!AD9</f>
        <v>640852.55000000005</v>
      </c>
      <c r="AE31" s="4">
        <f>'Base de données indicateurs1'!AE9</f>
        <v>0</v>
      </c>
      <c r="AF31" s="4">
        <f>'Base de données indicateurs1'!AF9</f>
        <v>163650.85</v>
      </c>
      <c r="AG31" s="4">
        <f>'Base de données indicateurs1'!AG9</f>
        <v>1264494.6399999999</v>
      </c>
      <c r="AH31" s="4">
        <f>'Base de données indicateurs1'!AH9</f>
        <v>283597</v>
      </c>
      <c r="AI31" s="4">
        <f>'Base de données indicateurs1'!AI9</f>
        <v>74.5</v>
      </c>
      <c r="AJ31" s="4">
        <f>'Base de données indicateurs1'!AJ9</f>
        <v>43246.05</v>
      </c>
      <c r="AK31" s="4">
        <f>'Base de données indicateurs1'!AK9</f>
        <v>341865.4</v>
      </c>
      <c r="AL31" s="4">
        <f>'Base de données indicateurs1'!AL9</f>
        <v>320246</v>
      </c>
      <c r="AM31" s="4">
        <f>'Base de données indicateurs1'!AM9</f>
        <v>179595.55</v>
      </c>
      <c r="AN31" s="4">
        <f>'Base de données indicateurs1'!AN9</f>
        <v>30726.94</v>
      </c>
      <c r="AO31" s="4">
        <f>'Base de données indicateurs1'!AO9</f>
        <v>1175364.1000000001</v>
      </c>
      <c r="AP31" s="4">
        <f>'Base de données indicateurs1'!AP9</f>
        <v>352732.84</v>
      </c>
      <c r="AQ31" s="4">
        <f>'Base de données indicateurs1'!AQ9</f>
        <v>135768</v>
      </c>
      <c r="AR31" s="4">
        <f>'Base de données indicateurs1'!AR9</f>
        <v>320325.25</v>
      </c>
      <c r="AS31" s="4">
        <f>'Base de données indicateurs1'!AS9</f>
        <v>362403.69</v>
      </c>
      <c r="AT31" s="4">
        <f>'Base de données indicateurs1'!AT9</f>
        <v>212758.25</v>
      </c>
      <c r="AU31" s="4">
        <f>'Base de données indicateurs1'!AU9</f>
        <v>47182.1</v>
      </c>
      <c r="AV31" s="4">
        <f>'Base de données indicateurs1'!AV9</f>
        <v>526840.46</v>
      </c>
      <c r="AW31" s="4">
        <f>'Base de données indicateurs1'!AW9</f>
        <v>125306.3</v>
      </c>
      <c r="AX31" s="4">
        <f>'Base de données indicateurs1'!AX9</f>
        <v>18759.349999999999</v>
      </c>
      <c r="AY31" s="4">
        <f>'Base de données indicateurs1'!AY9</f>
        <v>110841.3</v>
      </c>
      <c r="AZ31" s="4">
        <f>'Base de données indicateurs1'!AZ9</f>
        <v>1391754.4</v>
      </c>
      <c r="BA31" s="4">
        <f>'Base de données indicateurs1'!BA9</f>
        <v>34063.440000000002</v>
      </c>
      <c r="BB31" s="4">
        <f>'Base de données indicateurs1'!BB9</f>
        <v>1010318.05</v>
      </c>
      <c r="BC31" s="4">
        <f>'Base de données indicateurs1'!BC9</f>
        <v>57543.88</v>
      </c>
      <c r="BD31" s="4">
        <f>'Base de données indicateurs1'!BD9</f>
        <v>2244759.54</v>
      </c>
      <c r="BE31" s="4">
        <f>'Base de données indicateurs1'!BE9</f>
        <v>403308.85</v>
      </c>
      <c r="BF31" s="4">
        <f t="shared" si="0"/>
        <v>11404019.119999997</v>
      </c>
      <c r="BG31" s="4">
        <f t="shared" si="1"/>
        <v>15004423.770000003</v>
      </c>
      <c r="BH31" s="4">
        <f t="shared" si="2"/>
        <v>9402463.6899999995</v>
      </c>
    </row>
    <row r="32" spans="1:60" x14ac:dyDescent="0.3">
      <c r="A32" s="114" t="s">
        <v>261</v>
      </c>
      <c r="B32" s="115" t="s">
        <v>231</v>
      </c>
      <c r="C32" s="114">
        <v>201</v>
      </c>
      <c r="D32" s="116">
        <f>'Base de données indicateurs1'!BF10</f>
        <v>98715493.190000013</v>
      </c>
      <c r="E32" s="4">
        <f>'Base de données indicateurs1'!E10</f>
        <v>3909040.76</v>
      </c>
      <c r="F32" s="4">
        <f>'Base de données indicateurs1'!F10</f>
        <v>74260</v>
      </c>
      <c r="G32" s="4">
        <f>'Base de données indicateurs1'!G10</f>
        <v>180090.75</v>
      </c>
      <c r="H32" s="4">
        <f>'Base de données indicateurs1'!H10</f>
        <v>352998.33</v>
      </c>
      <c r="I32" s="4">
        <f>'Base de données indicateurs1'!I10</f>
        <v>4511771</v>
      </c>
      <c r="J32" s="4">
        <f>'Base de données indicateurs1'!J10</f>
        <v>5336550</v>
      </c>
      <c r="K32" s="4">
        <f>'Base de données indicateurs1'!K10</f>
        <v>0</v>
      </c>
      <c r="L32" s="4">
        <f>'Base de données indicateurs1'!L10</f>
        <v>49004578.5</v>
      </c>
      <c r="M32" s="4">
        <f>'Base de données indicateurs1'!M10</f>
        <v>213200</v>
      </c>
      <c r="N32" s="4">
        <f>'Base de données indicateurs1'!N10</f>
        <v>0</v>
      </c>
      <c r="O32" s="4">
        <f>'Base de données indicateurs1'!O10</f>
        <v>3586455.24</v>
      </c>
      <c r="P32" s="4">
        <f>'Base de données indicateurs1'!P10</f>
        <v>1264473.8700000001</v>
      </c>
      <c r="Q32" s="4">
        <f>'Base de données indicateurs1'!Q10</f>
        <v>125256.5</v>
      </c>
      <c r="R32" s="4">
        <f>'Base de données indicateurs1'!R10</f>
        <v>0</v>
      </c>
      <c r="S32" s="4">
        <f>'Base de données indicateurs1'!S10</f>
        <v>2512156.62</v>
      </c>
      <c r="T32" s="4">
        <f>'Base de données indicateurs1'!T10</f>
        <v>0</v>
      </c>
      <c r="U32" s="4">
        <f>'Base de données indicateurs1'!U10</f>
        <v>160308.07999999999</v>
      </c>
      <c r="V32" s="4">
        <f>'Base de données indicateurs1'!V10</f>
        <v>675483.74</v>
      </c>
      <c r="W32" s="4">
        <f>'Base de données indicateurs1'!W10</f>
        <v>0</v>
      </c>
      <c r="X32" s="4">
        <f>'Base de données indicateurs1'!X10</f>
        <v>63507</v>
      </c>
      <c r="Y32" s="4">
        <f>'Base de données indicateurs1'!Y10</f>
        <v>0</v>
      </c>
      <c r="Z32" s="4">
        <f>'Base de données indicateurs1'!Z10</f>
        <v>0</v>
      </c>
      <c r="AA32" s="4">
        <f>'Base de données indicateurs1'!AA10</f>
        <v>0</v>
      </c>
      <c r="AB32" s="4">
        <f>'Base de données indicateurs1'!AB10</f>
        <v>0</v>
      </c>
      <c r="AC32" s="4">
        <f>'Base de données indicateurs1'!AC10</f>
        <v>795091.5</v>
      </c>
      <c r="AD32" s="4">
        <f>'Base de données indicateurs1'!AD10</f>
        <v>87760.01</v>
      </c>
      <c r="AE32" s="4">
        <f>'Base de données indicateurs1'!AE10</f>
        <v>195428.94</v>
      </c>
      <c r="AF32" s="4">
        <f>'Base de données indicateurs1'!AF10</f>
        <v>484090.65</v>
      </c>
      <c r="AG32" s="4">
        <f>'Base de données indicateurs1'!AG10</f>
        <v>1436720.75</v>
      </c>
      <c r="AH32" s="4">
        <f>'Base de données indicateurs1'!AH10</f>
        <v>7465504</v>
      </c>
      <c r="AI32" s="4">
        <f>'Base de données indicateurs1'!AI10</f>
        <v>-28418</v>
      </c>
      <c r="AJ32" s="4">
        <f>'Base de données indicateurs1'!AJ10</f>
        <v>16520</v>
      </c>
      <c r="AK32" s="4">
        <f>'Base de données indicateurs1'!AK10</f>
        <v>0</v>
      </c>
      <c r="AL32" s="4">
        <f>'Base de données indicateurs1'!AL10</f>
        <v>512379</v>
      </c>
      <c r="AM32" s="4">
        <f>'Base de données indicateurs1'!AM10</f>
        <v>438479.73</v>
      </c>
      <c r="AN32" s="4">
        <f>'Base de données indicateurs1'!AN10</f>
        <v>0</v>
      </c>
      <c r="AO32" s="4">
        <f>'Base de données indicateurs1'!AO10</f>
        <v>1000000</v>
      </c>
      <c r="AP32" s="4">
        <f>'Base de données indicateurs1'!AP10</f>
        <v>50050</v>
      </c>
      <c r="AQ32" s="4">
        <f>'Base de données indicateurs1'!AQ10</f>
        <v>334240</v>
      </c>
      <c r="AR32" s="4">
        <f>'Base de données indicateurs1'!AR10</f>
        <v>32000</v>
      </c>
      <c r="AS32" s="4">
        <f>'Base de données indicateurs1'!AS10</f>
        <v>333359.06</v>
      </c>
      <c r="AT32" s="4">
        <f>'Base de données indicateurs1'!AT10</f>
        <v>276059</v>
      </c>
      <c r="AU32" s="4">
        <f>'Base de données indicateurs1'!AU10</f>
        <v>19300</v>
      </c>
      <c r="AV32" s="4">
        <f>'Base de données indicateurs1'!AV10</f>
        <v>0</v>
      </c>
      <c r="AW32" s="4">
        <f>'Base de données indicateurs1'!AW10</f>
        <v>1227600</v>
      </c>
      <c r="AX32" s="4">
        <f>'Base de données indicateurs1'!AX10</f>
        <v>10000</v>
      </c>
      <c r="AY32" s="4">
        <f>'Base de données indicateurs1'!AY10</f>
        <v>235243.64</v>
      </c>
      <c r="AZ32" s="4">
        <f>'Base de données indicateurs1'!AZ10</f>
        <v>530829.82999999996</v>
      </c>
      <c r="BA32" s="4">
        <f>'Base de données indicateurs1'!BA10</f>
        <v>306582.07</v>
      </c>
      <c r="BB32" s="4">
        <f>'Base de données indicateurs1'!BB10</f>
        <v>725276.54</v>
      </c>
      <c r="BC32" s="4">
        <f>'Base de données indicateurs1'!BC10</f>
        <v>0</v>
      </c>
      <c r="BD32" s="4">
        <f>'Base de données indicateurs1'!BD10</f>
        <v>10110840.08</v>
      </c>
      <c r="BE32" s="4">
        <f>'Base de données indicateurs1'!BE10</f>
        <v>150426</v>
      </c>
      <c r="BF32" s="4">
        <f t="shared" si="0"/>
        <v>71906623.390000001</v>
      </c>
      <c r="BG32" s="4">
        <f t="shared" si="1"/>
        <v>10516204.85</v>
      </c>
      <c r="BH32" s="4">
        <f t="shared" si="2"/>
        <v>16292664.949999999</v>
      </c>
    </row>
    <row r="33" spans="1:60" x14ac:dyDescent="0.3">
      <c r="A33" s="114" t="s">
        <v>276</v>
      </c>
      <c r="B33" s="115" t="s">
        <v>232</v>
      </c>
      <c r="C33" s="114">
        <v>2016</v>
      </c>
      <c r="D33" s="116">
        <f>'Base de données indicateurs1'!BF11</f>
        <v>162300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162300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162300</v>
      </c>
    </row>
    <row r="34" spans="1:60" x14ac:dyDescent="0.3">
      <c r="A34" s="114" t="s">
        <v>264</v>
      </c>
      <c r="B34" s="115" t="s">
        <v>231</v>
      </c>
      <c r="C34" s="114">
        <v>206</v>
      </c>
      <c r="D34" s="116">
        <f>'Base de données indicateurs1'!BF12</f>
        <v>404350735.29000002</v>
      </c>
      <c r="E34" s="4">
        <f>'Base de données indicateurs1'!E12</f>
        <v>3449574.66</v>
      </c>
      <c r="F34" s="4">
        <f>'Base de données indicateurs1'!F12</f>
        <v>1575200.85</v>
      </c>
      <c r="G34" s="4">
        <f>'Base de données indicateurs1'!G12</f>
        <v>5302040</v>
      </c>
      <c r="H34" s="4">
        <f>'Base de données indicateurs1'!H12</f>
        <v>3739314.97</v>
      </c>
      <c r="I34" s="4">
        <f>'Base de données indicateurs1'!I12</f>
        <v>17801406</v>
      </c>
      <c r="J34" s="4">
        <f>'Base de données indicateurs1'!J12</f>
        <v>14552620</v>
      </c>
      <c r="K34" s="4">
        <f>'Base de données indicateurs1'!K12</f>
        <v>6615738.4900000002</v>
      </c>
      <c r="L34" s="4">
        <f>'Base de données indicateurs1'!L12</f>
        <v>66513986.549999997</v>
      </c>
      <c r="M34" s="4">
        <f>'Base de données indicateurs1'!M12</f>
        <v>5198699.75</v>
      </c>
      <c r="N34" s="4">
        <f>'Base de données indicateurs1'!N12</f>
        <v>0</v>
      </c>
      <c r="O34" s="4">
        <f>'Base de données indicateurs1'!O12</f>
        <v>32997633.300000001</v>
      </c>
      <c r="P34" s="4">
        <f>'Base de données indicateurs1'!P12</f>
        <v>1797463.35</v>
      </c>
      <c r="Q34" s="4">
        <f>'Base de données indicateurs1'!Q12</f>
        <v>385600</v>
      </c>
      <c r="R34" s="4">
        <f>'Base de données indicateurs1'!R12</f>
        <v>3046722.25</v>
      </c>
      <c r="S34" s="4">
        <f>'Base de données indicateurs1'!S12</f>
        <v>1129011</v>
      </c>
      <c r="T34" s="4">
        <f>'Base de données indicateurs1'!T12</f>
        <v>5103900</v>
      </c>
      <c r="U34" s="4">
        <f>'Base de données indicateurs1'!U12</f>
        <v>280221.77</v>
      </c>
      <c r="V34" s="4">
        <f>'Base de données indicateurs1'!V12</f>
        <v>1847698.1</v>
      </c>
      <c r="W34" s="4">
        <f>'Base de données indicateurs1'!W12</f>
        <v>12761720</v>
      </c>
      <c r="X34" s="4">
        <f>'Base de données indicateurs1'!X12</f>
        <v>504064</v>
      </c>
      <c r="Y34" s="4">
        <f>'Base de données indicateurs1'!Y12</f>
        <v>3210200</v>
      </c>
      <c r="Z34" s="4">
        <f>'Base de données indicateurs1'!Z12</f>
        <v>4729200</v>
      </c>
      <c r="AA34" s="4">
        <f>'Base de données indicateurs1'!AA12</f>
        <v>610190</v>
      </c>
      <c r="AB34" s="4">
        <f>'Base de données indicateurs1'!AB12</f>
        <v>1200000</v>
      </c>
      <c r="AC34" s="4">
        <f>'Base de données indicateurs1'!AC12</f>
        <v>1985134.62</v>
      </c>
      <c r="AD34" s="4">
        <f>'Base de données indicateurs1'!AD12</f>
        <v>6970357.2800000003</v>
      </c>
      <c r="AE34" s="4">
        <f>'Base de données indicateurs1'!AE12</f>
        <v>3642000</v>
      </c>
      <c r="AF34" s="4">
        <f>'Base de données indicateurs1'!AF12</f>
        <v>515000</v>
      </c>
      <c r="AG34" s="4">
        <f>'Base de données indicateurs1'!AG12</f>
        <v>4377400</v>
      </c>
      <c r="AH34" s="4">
        <f>'Base de données indicateurs1'!AH12</f>
        <v>11523397</v>
      </c>
      <c r="AI34" s="4">
        <f>'Base de données indicateurs1'!AI12</f>
        <v>913401</v>
      </c>
      <c r="AJ34" s="4">
        <f>'Base de données indicateurs1'!AJ12</f>
        <v>659260</v>
      </c>
      <c r="AK34" s="4">
        <f>'Base de données indicateurs1'!AK12</f>
        <v>16838944.620000001</v>
      </c>
      <c r="AL34" s="4">
        <f>'Base de données indicateurs1'!AL12</f>
        <v>5808800</v>
      </c>
      <c r="AM34" s="4">
        <f>'Base de données indicateurs1'!AM12</f>
        <v>10805793.380000001</v>
      </c>
      <c r="AN34" s="4">
        <f>'Base de données indicateurs1'!AN12</f>
        <v>1600000</v>
      </c>
      <c r="AO34" s="4">
        <f>'Base de données indicateurs1'!AO12</f>
        <v>7922475</v>
      </c>
      <c r="AP34" s="4">
        <f>'Base de données indicateurs1'!AP12</f>
        <v>4736229.05</v>
      </c>
      <c r="AQ34" s="4">
        <f>'Base de données indicateurs1'!AQ12</f>
        <v>3968985</v>
      </c>
      <c r="AR34" s="4">
        <f>'Base de données indicateurs1'!AR12</f>
        <v>9008304.7300000004</v>
      </c>
      <c r="AS34" s="4">
        <f>'Base de données indicateurs1'!AS12</f>
        <v>4813702</v>
      </c>
      <c r="AT34" s="4">
        <f>'Base de données indicateurs1'!AT12</f>
        <v>7532739.1200000001</v>
      </c>
      <c r="AU34" s="4">
        <f>'Base de données indicateurs1'!AU12</f>
        <v>1825965</v>
      </c>
      <c r="AV34" s="4">
        <f>'Base de données indicateurs1'!AV12</f>
        <v>13357775</v>
      </c>
      <c r="AW34" s="4">
        <f>'Base de données indicateurs1'!AW12</f>
        <v>4368892</v>
      </c>
      <c r="AX34" s="4">
        <f>'Base de données indicateurs1'!AX12</f>
        <v>798406.85</v>
      </c>
      <c r="AY34" s="4">
        <f>'Base de données indicateurs1'!AY12</f>
        <v>1660900</v>
      </c>
      <c r="AZ34" s="4">
        <f>'Base de données indicateurs1'!AZ12</f>
        <v>18633004.399999999</v>
      </c>
      <c r="BA34" s="4">
        <f>'Base de données indicateurs1'!BA12</f>
        <v>871280</v>
      </c>
      <c r="BB34" s="4">
        <f>'Base de données indicateurs1'!BB12</f>
        <v>8489385.5500000007</v>
      </c>
      <c r="BC34" s="4">
        <f>'Base de données indicateurs1'!BC12</f>
        <v>148745.70000000001</v>
      </c>
      <c r="BD34" s="4">
        <f>'Base de données indicateurs1'!BD12</f>
        <v>52347931</v>
      </c>
      <c r="BE34" s="4">
        <f>'Base de données indicateurs1'!BE12</f>
        <v>3874321.95</v>
      </c>
      <c r="BF34" s="4">
        <f t="shared" si="0"/>
        <v>184098551.04000002</v>
      </c>
      <c r="BG34" s="4">
        <f t="shared" si="1"/>
        <v>40839603.900000006</v>
      </c>
      <c r="BH34" s="4">
        <f t="shared" si="2"/>
        <v>179412580.34999999</v>
      </c>
    </row>
    <row r="35" spans="1:60" ht="15" thickBot="1" x14ac:dyDescent="0.35">
      <c r="B35" s="121"/>
      <c r="D35" s="4"/>
      <c r="BF35" s="4"/>
      <c r="BG35" s="4"/>
      <c r="BH35" s="4"/>
    </row>
    <row r="36" spans="1:60" ht="15" thickBot="1" x14ac:dyDescent="0.35">
      <c r="A36" s="7" t="s">
        <v>536</v>
      </c>
      <c r="B36" s="64"/>
      <c r="C36" s="7"/>
      <c r="D36" s="120">
        <f>SUM(D31:D32,D34)-D33</f>
        <v>538714835.06000006</v>
      </c>
      <c r="E36" s="144">
        <f>SUM(E31:E32,E34)-E33</f>
        <v>7362387.0700000003</v>
      </c>
      <c r="F36" s="129">
        <f t="shared" ref="F36:BE36" si="6">SUM(F31:F32,F34)-F33</f>
        <v>1694059.85</v>
      </c>
      <c r="G36" s="129">
        <f t="shared" si="6"/>
        <v>5594890.2999999998</v>
      </c>
      <c r="H36" s="129">
        <f t="shared" si="6"/>
        <v>4325953.6500000004</v>
      </c>
      <c r="I36" s="129">
        <f t="shared" si="6"/>
        <v>22913378</v>
      </c>
      <c r="J36" s="129">
        <f t="shared" si="6"/>
        <v>20840155.5</v>
      </c>
      <c r="K36" s="129">
        <f t="shared" si="6"/>
        <v>6817290.6900000004</v>
      </c>
      <c r="L36" s="129">
        <f t="shared" si="6"/>
        <v>119224424.16999999</v>
      </c>
      <c r="M36" s="129">
        <f t="shared" si="6"/>
        <v>5654444.4800000004</v>
      </c>
      <c r="N36" s="129">
        <f t="shared" si="6"/>
        <v>0</v>
      </c>
      <c r="O36" s="129">
        <f t="shared" si="6"/>
        <v>38037365.759999998</v>
      </c>
      <c r="P36" s="129">
        <f t="shared" si="6"/>
        <v>3153128.1900000004</v>
      </c>
      <c r="Q36" s="129">
        <f t="shared" si="6"/>
        <v>536394.25</v>
      </c>
      <c r="R36" s="129">
        <f t="shared" si="6"/>
        <v>3313530.66</v>
      </c>
      <c r="S36" s="129">
        <f t="shared" si="6"/>
        <v>4204776.53</v>
      </c>
      <c r="T36" s="129">
        <f t="shared" si="6"/>
        <v>5505378.5700000003</v>
      </c>
      <c r="U36" s="129">
        <f t="shared" si="6"/>
        <v>653720.47</v>
      </c>
      <c r="V36" s="129">
        <f t="shared" si="6"/>
        <v>2744898.29</v>
      </c>
      <c r="W36" s="129">
        <f t="shared" si="6"/>
        <v>14833017.120000001</v>
      </c>
      <c r="X36" s="129">
        <f t="shared" si="6"/>
        <v>567706</v>
      </c>
      <c r="Y36" s="129">
        <f t="shared" si="6"/>
        <v>12076989.98</v>
      </c>
      <c r="Z36" s="129">
        <f t="shared" si="6"/>
        <v>8118224.96</v>
      </c>
      <c r="AA36" s="129">
        <f t="shared" si="6"/>
        <v>644147</v>
      </c>
      <c r="AB36" s="129">
        <f t="shared" si="6"/>
        <v>1231444.1299999999</v>
      </c>
      <c r="AC36" s="129">
        <f t="shared" si="6"/>
        <v>3067383.23</v>
      </c>
      <c r="AD36" s="129">
        <f t="shared" si="6"/>
        <v>7698969.8399999999</v>
      </c>
      <c r="AE36" s="129">
        <f t="shared" si="6"/>
        <v>3837428.94</v>
      </c>
      <c r="AF36" s="129">
        <f t="shared" si="6"/>
        <v>1162741.5</v>
      </c>
      <c r="AG36" s="129">
        <f t="shared" si="6"/>
        <v>7078615.3899999997</v>
      </c>
      <c r="AH36" s="129">
        <f t="shared" si="6"/>
        <v>19272498</v>
      </c>
      <c r="AI36" s="129">
        <f t="shared" si="6"/>
        <v>885057.5</v>
      </c>
      <c r="AJ36" s="129">
        <f t="shared" si="6"/>
        <v>719026.05</v>
      </c>
      <c r="AK36" s="129">
        <f t="shared" si="6"/>
        <v>17180810.02</v>
      </c>
      <c r="AL36" s="129">
        <f t="shared" si="6"/>
        <v>6479125</v>
      </c>
      <c r="AM36" s="129">
        <f t="shared" si="6"/>
        <v>11423868.66</v>
      </c>
      <c r="AN36" s="129">
        <f t="shared" si="6"/>
        <v>1630726.94</v>
      </c>
      <c r="AO36" s="129">
        <f t="shared" si="6"/>
        <v>10097839.1</v>
      </c>
      <c r="AP36" s="129">
        <f t="shared" si="6"/>
        <v>5139011.8899999997</v>
      </c>
      <c r="AQ36" s="129">
        <f t="shared" si="6"/>
        <v>4438993</v>
      </c>
      <c r="AR36" s="129">
        <f t="shared" si="6"/>
        <v>9360629.9800000004</v>
      </c>
      <c r="AS36" s="129">
        <f t="shared" si="6"/>
        <v>5509464.75</v>
      </c>
      <c r="AT36" s="129">
        <f t="shared" si="6"/>
        <v>8021556.3700000001</v>
      </c>
      <c r="AU36" s="129">
        <f t="shared" si="6"/>
        <v>1892447.1</v>
      </c>
      <c r="AV36" s="129">
        <f t="shared" si="6"/>
        <v>13884615.460000001</v>
      </c>
      <c r="AW36" s="129">
        <f t="shared" si="6"/>
        <v>5721798.2999999998</v>
      </c>
      <c r="AX36" s="129">
        <f t="shared" si="6"/>
        <v>827166.2</v>
      </c>
      <c r="AY36" s="129">
        <f t="shared" si="6"/>
        <v>2006984.94</v>
      </c>
      <c r="AZ36" s="129">
        <f t="shared" si="6"/>
        <v>20555588.629999999</v>
      </c>
      <c r="BA36" s="129">
        <f t="shared" si="6"/>
        <v>1211925.51</v>
      </c>
      <c r="BB36" s="129">
        <f t="shared" si="6"/>
        <v>10224980.140000001</v>
      </c>
      <c r="BC36" s="129">
        <f t="shared" si="6"/>
        <v>206289.58000000002</v>
      </c>
      <c r="BD36" s="129">
        <f t="shared" si="6"/>
        <v>64703530.620000005</v>
      </c>
      <c r="BE36" s="129">
        <f t="shared" si="6"/>
        <v>4428056.8</v>
      </c>
      <c r="BF36" s="4">
        <f t="shared" si="0"/>
        <v>267409193.54999995</v>
      </c>
      <c r="BG36" s="4">
        <f t="shared" si="1"/>
        <v>66360232.519999996</v>
      </c>
      <c r="BH36" s="4">
        <f t="shared" si="2"/>
        <v>204945408.99000004</v>
      </c>
    </row>
    <row r="37" spans="1:60" ht="15" thickBot="1" x14ac:dyDescent="0.35">
      <c r="B37" s="110"/>
      <c r="D37" s="4"/>
      <c r="E37" s="151"/>
      <c r="BF37" s="4"/>
      <c r="BG37" s="4"/>
      <c r="BH37" s="4"/>
    </row>
    <row r="38" spans="1:60" ht="15" thickBot="1" x14ac:dyDescent="0.35">
      <c r="A38" s="7" t="s">
        <v>532</v>
      </c>
      <c r="B38" s="125"/>
      <c r="C38" s="7"/>
      <c r="D38" s="120">
        <f>D23</f>
        <v>211051448.30999997</v>
      </c>
      <c r="E38" s="144">
        <f>E23</f>
        <v>3316356.05</v>
      </c>
      <c r="F38" s="129">
        <f t="shared" ref="F38:BE38" si="7">F23</f>
        <v>708479.36</v>
      </c>
      <c r="G38" s="129">
        <f t="shared" si="7"/>
        <v>1151250.3</v>
      </c>
      <c r="H38" s="129">
        <f t="shared" si="7"/>
        <v>1031246.7000000001</v>
      </c>
      <c r="I38" s="129">
        <f t="shared" si="7"/>
        <v>7505998</v>
      </c>
      <c r="J38" s="129">
        <f t="shared" si="7"/>
        <v>9386117.5500000007</v>
      </c>
      <c r="K38" s="129">
        <f t="shared" si="7"/>
        <v>7074662.6100000003</v>
      </c>
      <c r="L38" s="129">
        <f t="shared" si="7"/>
        <v>36177201.799999997</v>
      </c>
      <c r="M38" s="129">
        <f t="shared" si="7"/>
        <v>3378882.63</v>
      </c>
      <c r="N38" s="129">
        <f t="shared" si="7"/>
        <v>0</v>
      </c>
      <c r="O38" s="129">
        <f t="shared" si="7"/>
        <v>16408899.699999999</v>
      </c>
      <c r="P38" s="129">
        <f t="shared" si="7"/>
        <v>1223857</v>
      </c>
      <c r="Q38" s="129">
        <f t="shared" si="7"/>
        <v>187655.7</v>
      </c>
      <c r="R38" s="129">
        <f t="shared" si="7"/>
        <v>989182.65</v>
      </c>
      <c r="S38" s="129">
        <f t="shared" si="7"/>
        <v>722909.15</v>
      </c>
      <c r="T38" s="129">
        <f t="shared" si="7"/>
        <v>1998942.1</v>
      </c>
      <c r="U38" s="129">
        <f t="shared" si="7"/>
        <v>596548.80000000005</v>
      </c>
      <c r="V38" s="129">
        <f t="shared" si="7"/>
        <v>1298541.25</v>
      </c>
      <c r="W38" s="129">
        <f t="shared" si="7"/>
        <v>7360026.75</v>
      </c>
      <c r="X38" s="129">
        <f t="shared" si="7"/>
        <v>848811</v>
      </c>
      <c r="Y38" s="129">
        <f t="shared" si="7"/>
        <v>3758598.17</v>
      </c>
      <c r="Z38" s="129">
        <f t="shared" si="7"/>
        <v>9516564.6999999993</v>
      </c>
      <c r="AA38" s="129">
        <f t="shared" si="7"/>
        <v>50942</v>
      </c>
      <c r="AB38" s="129">
        <f t="shared" si="7"/>
        <v>286207.2</v>
      </c>
      <c r="AC38" s="129">
        <f t="shared" si="7"/>
        <v>857901.03</v>
      </c>
      <c r="AD38" s="129">
        <f t="shared" si="7"/>
        <v>1168568.55</v>
      </c>
      <c r="AE38" s="129">
        <f t="shared" si="7"/>
        <v>1230165.25</v>
      </c>
      <c r="AF38" s="129">
        <f t="shared" si="7"/>
        <v>1252296.1499999999</v>
      </c>
      <c r="AG38" s="129">
        <f t="shared" si="7"/>
        <v>6915032.8499999996</v>
      </c>
      <c r="AH38" s="129">
        <f t="shared" si="7"/>
        <v>7675902</v>
      </c>
      <c r="AI38" s="129">
        <f t="shared" si="7"/>
        <v>521416.35</v>
      </c>
      <c r="AJ38" s="129">
        <f t="shared" si="7"/>
        <v>298886.64999999997</v>
      </c>
      <c r="AK38" s="129">
        <f t="shared" si="7"/>
        <v>5427042.9000000004</v>
      </c>
      <c r="AL38" s="129">
        <f t="shared" si="7"/>
        <v>2482113.44</v>
      </c>
      <c r="AM38" s="129">
        <f t="shared" si="7"/>
        <v>2961017.4</v>
      </c>
      <c r="AN38" s="129">
        <f t="shared" si="7"/>
        <v>334540.34999999998</v>
      </c>
      <c r="AO38" s="129">
        <f t="shared" si="7"/>
        <v>6828835.9500000002</v>
      </c>
      <c r="AP38" s="129">
        <f t="shared" si="7"/>
        <v>1931797.0799999998</v>
      </c>
      <c r="AQ38" s="129">
        <f t="shared" si="7"/>
        <v>1951760</v>
      </c>
      <c r="AR38" s="129">
        <f t="shared" si="7"/>
        <v>3322751.6</v>
      </c>
      <c r="AS38" s="129">
        <f t="shared" si="7"/>
        <v>1689242</v>
      </c>
      <c r="AT38" s="129">
        <f t="shared" si="7"/>
        <v>2391707.9500000002</v>
      </c>
      <c r="AU38" s="129">
        <f t="shared" si="7"/>
        <v>2254217.35</v>
      </c>
      <c r="AV38" s="129">
        <f t="shared" si="7"/>
        <v>5553039.5300000003</v>
      </c>
      <c r="AW38" s="129">
        <f t="shared" si="7"/>
        <v>2202056.9</v>
      </c>
      <c r="AX38" s="129">
        <f t="shared" si="7"/>
        <v>378808.9</v>
      </c>
      <c r="AY38" s="129">
        <f t="shared" si="7"/>
        <v>902646.45</v>
      </c>
      <c r="AZ38" s="129">
        <f t="shared" si="7"/>
        <v>4857539.6000000006</v>
      </c>
      <c r="BA38" s="129">
        <f t="shared" si="7"/>
        <v>984706.9</v>
      </c>
      <c r="BB38" s="129">
        <f t="shared" si="7"/>
        <v>3613483.71</v>
      </c>
      <c r="BC38" s="129">
        <f t="shared" si="7"/>
        <v>341683.35</v>
      </c>
      <c r="BD38" s="129">
        <f t="shared" si="7"/>
        <v>24686130.600000001</v>
      </c>
      <c r="BE38" s="129">
        <f t="shared" si="7"/>
        <v>1058276.3500000001</v>
      </c>
      <c r="BF38" s="4">
        <f t="shared" si="0"/>
        <v>100516758.10000001</v>
      </c>
      <c r="BG38" s="4">
        <f t="shared" si="1"/>
        <v>34381291.899999999</v>
      </c>
      <c r="BH38" s="4">
        <f t="shared" si="2"/>
        <v>76153398.310000002</v>
      </c>
    </row>
    <row r="39" spans="1:60" ht="15" thickBot="1" x14ac:dyDescent="0.35">
      <c r="B39" s="110"/>
      <c r="D39" s="4"/>
      <c r="E39" s="151"/>
      <c r="BF39" s="4"/>
      <c r="BG39" s="4"/>
      <c r="BH39" s="4"/>
    </row>
    <row r="40" spans="1:60" ht="15" thickBot="1" x14ac:dyDescent="0.35">
      <c r="A40" s="7" t="s">
        <v>537</v>
      </c>
      <c r="B40" s="125"/>
      <c r="C40" s="7"/>
      <c r="D40" s="120">
        <f>IF(D38&lt;&gt;0,D36/D38,"")*100</f>
        <v>255.25284918619286</v>
      </c>
      <c r="E40" s="144">
        <f>IF(E38&lt;&gt;0,E36/E38,"")*100</f>
        <v>222.00231094004522</v>
      </c>
      <c r="F40" s="129">
        <f t="shared" ref="F40:BH40" si="8">IF(F38&lt;&gt;0,F36/F38,"")*100</f>
        <v>239.11209636368235</v>
      </c>
      <c r="G40" s="129">
        <f t="shared" si="8"/>
        <v>485.98382992820933</v>
      </c>
      <c r="H40" s="129">
        <f t="shared" si="8"/>
        <v>419.48775690627667</v>
      </c>
      <c r="I40" s="129">
        <f t="shared" si="8"/>
        <v>305.26757401214337</v>
      </c>
      <c r="J40" s="129">
        <f t="shared" si="8"/>
        <v>222.03169083472639</v>
      </c>
      <c r="K40" s="129">
        <f t="shared" si="8"/>
        <v>96.362060861585036</v>
      </c>
      <c r="L40" s="129">
        <f t="shared" si="8"/>
        <v>329.5567878055179</v>
      </c>
      <c r="M40" s="129">
        <f t="shared" si="8"/>
        <v>167.34657871202828</v>
      </c>
      <c r="N40" s="129" t="e">
        <f t="shared" si="8"/>
        <v>#VALUE!</v>
      </c>
      <c r="O40" s="129">
        <f t="shared" si="8"/>
        <v>231.80936233037005</v>
      </c>
      <c r="P40" s="129">
        <f t="shared" si="8"/>
        <v>257.63861219080337</v>
      </c>
      <c r="Q40" s="129">
        <f t="shared" si="8"/>
        <v>285.83957215261779</v>
      </c>
      <c r="R40" s="129">
        <f t="shared" si="8"/>
        <v>334.97662539875728</v>
      </c>
      <c r="S40" s="129">
        <f t="shared" si="8"/>
        <v>581.64660524769954</v>
      </c>
      <c r="T40" s="129">
        <f t="shared" si="8"/>
        <v>275.41460905746095</v>
      </c>
      <c r="U40" s="129">
        <f t="shared" si="8"/>
        <v>109.58373732375289</v>
      </c>
      <c r="V40" s="129">
        <f t="shared" si="8"/>
        <v>211.38321866941078</v>
      </c>
      <c r="W40" s="129">
        <f t="shared" si="8"/>
        <v>201.53482621513569</v>
      </c>
      <c r="X40" s="129">
        <f t="shared" si="8"/>
        <v>66.882497988362545</v>
      </c>
      <c r="Y40" s="129">
        <f t="shared" si="8"/>
        <v>321.31633746844506</v>
      </c>
      <c r="Z40" s="129">
        <f t="shared" si="8"/>
        <v>85.306255102747315</v>
      </c>
      <c r="AA40" s="129">
        <f t="shared" si="8"/>
        <v>1264.4713595854109</v>
      </c>
      <c r="AB40" s="129">
        <f t="shared" si="8"/>
        <v>430.2631555041242</v>
      </c>
      <c r="AC40" s="129">
        <f t="shared" si="8"/>
        <v>357.5451156644491</v>
      </c>
      <c r="AD40" s="129">
        <f t="shared" si="8"/>
        <v>658.83767280918175</v>
      </c>
      <c r="AE40" s="129">
        <f t="shared" si="8"/>
        <v>311.94418310873277</v>
      </c>
      <c r="AF40" s="129">
        <f t="shared" si="8"/>
        <v>92.848764247977613</v>
      </c>
      <c r="AG40" s="129">
        <f t="shared" si="8"/>
        <v>102.36560756179199</v>
      </c>
      <c r="AH40" s="129">
        <f t="shared" si="8"/>
        <v>251.07795800415377</v>
      </c>
      <c r="AI40" s="129">
        <f t="shared" si="8"/>
        <v>169.74103324531347</v>
      </c>
      <c r="AJ40" s="129">
        <f t="shared" si="8"/>
        <v>240.56813845650186</v>
      </c>
      <c r="AK40" s="129">
        <f t="shared" si="8"/>
        <v>316.57774476041084</v>
      </c>
      <c r="AL40" s="129">
        <f t="shared" si="8"/>
        <v>261.03259003343538</v>
      </c>
      <c r="AM40" s="129">
        <f t="shared" si="8"/>
        <v>385.80890000849035</v>
      </c>
      <c r="AN40" s="129">
        <f t="shared" si="8"/>
        <v>487.4529903492957</v>
      </c>
      <c r="AO40" s="129">
        <f t="shared" si="8"/>
        <v>147.87057668298502</v>
      </c>
      <c r="AP40" s="129">
        <f t="shared" si="8"/>
        <v>266.02234485207941</v>
      </c>
      <c r="AQ40" s="129">
        <f t="shared" si="8"/>
        <v>227.43539164651389</v>
      </c>
      <c r="AR40" s="129">
        <f t="shared" si="8"/>
        <v>281.71320359908935</v>
      </c>
      <c r="AS40" s="129">
        <f t="shared" si="8"/>
        <v>326.15011644275955</v>
      </c>
      <c r="AT40" s="129">
        <f t="shared" si="8"/>
        <v>335.39029587621678</v>
      </c>
      <c r="AU40" s="129">
        <f t="shared" si="8"/>
        <v>83.95140335513787</v>
      </c>
      <c r="AV40" s="129">
        <f t="shared" si="8"/>
        <v>250.0363158769014</v>
      </c>
      <c r="AW40" s="129">
        <f t="shared" si="8"/>
        <v>259.83880343873039</v>
      </c>
      <c r="AX40" s="129">
        <f t="shared" si="8"/>
        <v>218.3597587068308</v>
      </c>
      <c r="AY40" s="129">
        <f t="shared" si="8"/>
        <v>222.34452259796734</v>
      </c>
      <c r="AZ40" s="129">
        <f t="shared" si="8"/>
        <v>423.16872990597949</v>
      </c>
      <c r="BA40" s="129">
        <f t="shared" si="8"/>
        <v>123.07474538870397</v>
      </c>
      <c r="BB40" s="129">
        <f t="shared" si="8"/>
        <v>282.9673788677465</v>
      </c>
      <c r="BC40" s="129">
        <f t="shared" si="8"/>
        <v>60.374490006609925</v>
      </c>
      <c r="BD40" s="129">
        <f t="shared" si="8"/>
        <v>262.10478939943715</v>
      </c>
      <c r="BE40" s="129">
        <f t="shared" si="8"/>
        <v>418.42159658958639</v>
      </c>
      <c r="BF40" s="129">
        <f t="shared" si="8"/>
        <v>266.03443903748416</v>
      </c>
      <c r="BG40" s="129">
        <f t="shared" si="8"/>
        <v>193.0126206804928</v>
      </c>
      <c r="BH40" s="129">
        <f t="shared" si="8"/>
        <v>269.12181667287177</v>
      </c>
    </row>
    <row r="41" spans="1:60" x14ac:dyDescent="0.3">
      <c r="A41" s="123" t="s">
        <v>538</v>
      </c>
      <c r="B41" s="110"/>
      <c r="D41" s="4"/>
    </row>
    <row r="42" spans="1:60" x14ac:dyDescent="0.3">
      <c r="B42" s="110"/>
      <c r="D42" s="4"/>
    </row>
    <row r="43" spans="1:60" x14ac:dyDescent="0.3">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24"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8" spans="1:60" ht="18" x14ac:dyDescent="0.35">
      <c r="A8" s="220" t="s">
        <v>505</v>
      </c>
      <c r="B8" s="220"/>
      <c r="C8" s="220"/>
      <c r="D8" s="220"/>
    </row>
    <row r="10" spans="1:60" x14ac:dyDescent="0.3">
      <c r="A10" s="7" t="s">
        <v>539</v>
      </c>
      <c r="B10" s="110"/>
      <c r="C10" s="65" t="s">
        <v>507</v>
      </c>
      <c r="D10" s="65" t="s">
        <v>508</v>
      </c>
      <c r="E10" s="29">
        <f>'4.1 Comptes 2020 natures'!E2</f>
        <v>923</v>
      </c>
      <c r="F10" s="29">
        <f>'4.1 Comptes 2020 natures'!F2</f>
        <v>270</v>
      </c>
      <c r="G10" s="29">
        <f>'4.1 Comptes 2020 natures'!G2</f>
        <v>485</v>
      </c>
      <c r="H10" s="29">
        <f>'4.1 Comptes 2020 natures'!H2</f>
        <v>446</v>
      </c>
      <c r="I10" s="29">
        <f>'4.1 Comptes 2020 natures'!I2</f>
        <v>3631</v>
      </c>
      <c r="J10" s="29">
        <f>'4.1 Comptes 2020 natures'!J2</f>
        <v>3313</v>
      </c>
      <c r="K10" s="29">
        <f>'4.1 Comptes 2020 natures'!K2</f>
        <v>2644</v>
      </c>
      <c r="L10" s="30">
        <f>'4.1 Comptes 2020 natures'!L2</f>
        <v>12618</v>
      </c>
      <c r="M10" s="30">
        <f>'4.1 Comptes 2020 natures'!M2</f>
        <v>1371</v>
      </c>
      <c r="N10" s="30">
        <f>'4.1 Comptes 2020 natures'!N2</f>
        <v>118</v>
      </c>
      <c r="O10" s="30">
        <f>'4.1 Comptes 2020 natures'!O2</f>
        <v>7167</v>
      </c>
      <c r="P10" s="30">
        <f>'4.1 Comptes 2020 natures'!P2</f>
        <v>528</v>
      </c>
      <c r="Q10" s="30">
        <f>'4.1 Comptes 2020 natures'!Q2</f>
        <v>108</v>
      </c>
      <c r="R10" s="30">
        <f>'4.1 Comptes 2020 natures'!R2</f>
        <v>415</v>
      </c>
      <c r="S10" s="30">
        <f>'4.1 Comptes 2020 natures'!S2</f>
        <v>349</v>
      </c>
      <c r="T10" s="30">
        <f>'4.1 Comptes 2020 natures'!T2</f>
        <v>687</v>
      </c>
      <c r="U10" s="30">
        <f>'4.1 Comptes 2020 natures'!U2</f>
        <v>255</v>
      </c>
      <c r="V10" s="30">
        <f>'4.1 Comptes 2020 natures'!V2</f>
        <v>436</v>
      </c>
      <c r="W10" s="30">
        <f>'4.1 Comptes 2020 natures'!W2</f>
        <v>3190</v>
      </c>
      <c r="X10" s="26">
        <f>'4.1 Comptes 2020 natures'!X2</f>
        <v>324</v>
      </c>
      <c r="Y10" s="26">
        <f>'4.1 Comptes 2020 natures'!Y2</f>
        <v>1246</v>
      </c>
      <c r="Z10" s="26">
        <f>'4.1 Comptes 2020 natures'!Z2</f>
        <v>1528</v>
      </c>
      <c r="AA10" s="26">
        <f>'4.1 Comptes 2020 natures'!AA2</f>
        <v>96</v>
      </c>
      <c r="AB10" s="26">
        <f>'4.1 Comptes 2020 natures'!AB2</f>
        <v>149</v>
      </c>
      <c r="AC10" s="26">
        <f>'4.1 Comptes 2020 natures'!AC2</f>
        <v>516</v>
      </c>
      <c r="AD10" s="26">
        <f>'4.1 Comptes 2020 natures'!AD2</f>
        <v>671</v>
      </c>
      <c r="AE10" s="26">
        <f>'4.1 Comptes 2020 natures'!AE2</f>
        <v>572</v>
      </c>
      <c r="AF10" s="26">
        <f>'4.1 Comptes 2020 natures'!AF2</f>
        <v>490</v>
      </c>
      <c r="AG10" s="26">
        <f>'4.1 Comptes 2020 natures'!AG2</f>
        <v>1914</v>
      </c>
      <c r="AH10" s="26">
        <f>'4.1 Comptes 2020 natures'!AH2</f>
        <v>2615</v>
      </c>
      <c r="AI10" s="26">
        <f>'4.1 Comptes 2020 natures'!AI2</f>
        <v>227</v>
      </c>
      <c r="AJ10" s="26">
        <f>'4.1 Comptes 2020 natures'!AJ2</f>
        <v>131</v>
      </c>
      <c r="AK10" s="32">
        <f>'4.1 Comptes 2020 natures'!AK2</f>
        <v>1895</v>
      </c>
      <c r="AL10" s="32">
        <f>'4.1 Comptes 2020 natures'!AL2</f>
        <v>1135</v>
      </c>
      <c r="AM10" s="32">
        <f>'4.1 Comptes 2020 natures'!AM2</f>
        <v>1241</v>
      </c>
      <c r="AN10" s="32">
        <f>'4.1 Comptes 2020 natures'!AN2</f>
        <v>119</v>
      </c>
      <c r="AO10" s="32">
        <f>'4.1 Comptes 2020 natures'!AO2</f>
        <v>1195</v>
      </c>
      <c r="AP10" s="32">
        <f>'4.1 Comptes 2020 natures'!AP2</f>
        <v>663</v>
      </c>
      <c r="AQ10" s="32">
        <f>'4.1 Comptes 2020 natures'!AQ2</f>
        <v>645</v>
      </c>
      <c r="AR10" s="32">
        <f>'4.1 Comptes 2020 natures'!AR2</f>
        <v>1263</v>
      </c>
      <c r="AS10" s="32">
        <f>'4.1 Comptes 2020 natures'!AS2</f>
        <v>740</v>
      </c>
      <c r="AT10" s="32">
        <f>'4.1 Comptes 2020 natures'!AT2</f>
        <v>1028</v>
      </c>
      <c r="AU10" s="32">
        <f>'4.1 Comptes 2020 natures'!AU2</f>
        <v>314</v>
      </c>
      <c r="AV10" s="32">
        <f>'4.1 Comptes 2020 natures'!AV2</f>
        <v>2400</v>
      </c>
      <c r="AW10" s="32">
        <f>'4.1 Comptes 2020 natures'!AW2</f>
        <v>755</v>
      </c>
      <c r="AX10" s="32">
        <f>'4.1 Comptes 2020 natures'!AX2</f>
        <v>181</v>
      </c>
      <c r="AY10" s="32">
        <f>'4.1 Comptes 2020 natures'!AY2</f>
        <v>347</v>
      </c>
      <c r="AZ10" s="32">
        <f>'4.1 Comptes 2020 natures'!AZ2</f>
        <v>1690</v>
      </c>
      <c r="BA10" s="32">
        <f>'4.1 Comptes 2020 natures'!BA2</f>
        <v>387</v>
      </c>
      <c r="BB10" s="32">
        <f>'4.1 Comptes 2020 natures'!BB2</f>
        <v>1096</v>
      </c>
      <c r="BC10" s="16">
        <f>'4.1 Comptes 2020 natures'!BC2</f>
        <v>188</v>
      </c>
      <c r="BD10" s="16">
        <f>'4.1 Comptes 2020 natures'!BD2</f>
        <v>6434</v>
      </c>
      <c r="BE10" s="32">
        <f>'4.1 Comptes 2020 natures'!BE2</f>
        <v>560</v>
      </c>
      <c r="BF10" s="1">
        <f>'4.1 Comptes 2020 natures'!BG2</f>
        <v>38954</v>
      </c>
      <c r="BG10" s="1">
        <f>'4.1 Comptes 2020 natures'!BH2</f>
        <v>10479</v>
      </c>
      <c r="BH10" s="1">
        <f>'4.1 Comptes 2020 natures'!BI2</f>
        <v>24276</v>
      </c>
    </row>
    <row r="11" spans="1:60" x14ac:dyDescent="0.3">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3">
      <c r="A12" s="7" t="s">
        <v>540</v>
      </c>
      <c r="B12" s="64"/>
      <c r="C12" s="67">
        <v>690</v>
      </c>
      <c r="D12" s="126">
        <f>'Base de données indicateurs1'!BF58</f>
        <v>36707355.689999998</v>
      </c>
      <c r="E12" s="4">
        <f>'Base de données indicateurs1'!E58</f>
        <v>593862.55000000005</v>
      </c>
      <c r="F12" s="4">
        <f>'Base de données indicateurs1'!F58</f>
        <v>5186.8500000000004</v>
      </c>
      <c r="G12" s="4">
        <f>'Base de données indicateurs1'!G58</f>
        <v>2700857.55</v>
      </c>
      <c r="H12" s="4">
        <f>'Base de données indicateurs1'!H58</f>
        <v>225335</v>
      </c>
      <c r="I12" s="4">
        <f>'Base de données indicateurs1'!I58</f>
        <v>2251481</v>
      </c>
      <c r="J12" s="4">
        <f>'Base de données indicateurs1'!J58</f>
        <v>2280577.79</v>
      </c>
      <c r="K12" s="4">
        <f>'Base de données indicateurs1'!K58</f>
        <v>1266529.24</v>
      </c>
      <c r="L12" s="4">
        <f>'Base de données indicateurs1'!L58</f>
        <v>10477858.529999999</v>
      </c>
      <c r="M12" s="4">
        <f>'Base de données indicateurs1'!M58</f>
        <v>184436.45</v>
      </c>
      <c r="N12" s="4">
        <f>'Base de données indicateurs1'!N58</f>
        <v>41267.75</v>
      </c>
      <c r="O12" s="4">
        <f>'Base de données indicateurs1'!O58</f>
        <v>2081646.1</v>
      </c>
      <c r="P12" s="4">
        <f>'Base de données indicateurs1'!P58</f>
        <v>175184.23</v>
      </c>
      <c r="Q12" s="4">
        <f>'Base de données indicateurs1'!Q58</f>
        <v>0</v>
      </c>
      <c r="R12" s="4">
        <f>'Base de données indicateurs1'!R58</f>
        <v>15814</v>
      </c>
      <c r="S12" s="4">
        <f>'Base de données indicateurs1'!S58</f>
        <v>171236.7</v>
      </c>
      <c r="T12" s="4">
        <f>'Base de données indicateurs1'!T58</f>
        <v>217977.15</v>
      </c>
      <c r="U12" s="4">
        <f>'Base de données indicateurs1'!U58</f>
        <v>82785</v>
      </c>
      <c r="V12" s="4">
        <f>'Base de données indicateurs1'!V58</f>
        <v>312999.09999999998</v>
      </c>
      <c r="W12" s="4">
        <f>'Base de données indicateurs1'!W58</f>
        <v>1022304.45</v>
      </c>
      <c r="X12" s="4">
        <f>'Base de données indicateurs1'!X58</f>
        <v>65578.350000000006</v>
      </c>
      <c r="Y12" s="4">
        <f>'Base de données indicateurs1'!Y58</f>
        <v>128183.25</v>
      </c>
      <c r="Z12" s="4">
        <f>'Base de données indicateurs1'!Z58</f>
        <v>503623.38</v>
      </c>
      <c r="AA12" s="4">
        <f>'Base de données indicateurs1'!AA58</f>
        <v>0</v>
      </c>
      <c r="AB12" s="4">
        <f>'Base de données indicateurs1'!AB58</f>
        <v>64645.15</v>
      </c>
      <c r="AC12" s="4">
        <f>'Base de données indicateurs1'!AC58</f>
        <v>100268.8</v>
      </c>
      <c r="AD12" s="4">
        <f>'Base de données indicateurs1'!AD58</f>
        <v>144435.91</v>
      </c>
      <c r="AE12" s="4">
        <f>'Base de données indicateurs1'!AE58</f>
        <v>40403.800000000003</v>
      </c>
      <c r="AF12" s="4">
        <f>'Base de données indicateurs1'!AF58</f>
        <v>727420.4</v>
      </c>
      <c r="AG12" s="4">
        <f>'Base de données indicateurs1'!AG58</f>
        <v>678259.1</v>
      </c>
      <c r="AH12" s="4">
        <f>'Base de données indicateurs1'!AH58</f>
        <v>347396.95</v>
      </c>
      <c r="AI12" s="4">
        <f>'Base de données indicateurs1'!AI58</f>
        <v>0</v>
      </c>
      <c r="AJ12" s="4">
        <f>'Base de données indicateurs1'!AJ58</f>
        <v>0</v>
      </c>
      <c r="AK12" s="4">
        <f>'Base de données indicateurs1'!AK58</f>
        <v>1969762.48</v>
      </c>
      <c r="AL12" s="4">
        <f>'Base de données indicateurs1'!AL58</f>
        <v>373870</v>
      </c>
      <c r="AM12" s="4">
        <f>'Base de données indicateurs1'!AM58</f>
        <v>293387.90000000002</v>
      </c>
      <c r="AN12" s="4">
        <f>'Base de données indicateurs1'!AN58</f>
        <v>612014</v>
      </c>
      <c r="AO12" s="4">
        <f>'Base de données indicateurs1'!AO58</f>
        <v>858933.3</v>
      </c>
      <c r="AP12" s="4">
        <f>'Base de données indicateurs1'!AP58</f>
        <v>387302.1</v>
      </c>
      <c r="AQ12" s="4">
        <f>'Base de données indicateurs1'!AQ58</f>
        <v>49042.1</v>
      </c>
      <c r="AR12" s="4">
        <f>'Base de données indicateurs1'!AR58</f>
        <v>449074.2</v>
      </c>
      <c r="AS12" s="4">
        <f>'Base de données indicateurs1'!AS58</f>
        <v>71436</v>
      </c>
      <c r="AT12" s="4">
        <f>'Base de données indicateurs1'!AT58</f>
        <v>236030.35</v>
      </c>
      <c r="AU12" s="4">
        <f>'Base de données indicateurs1'!AU58</f>
        <v>290607.3</v>
      </c>
      <c r="AV12" s="4">
        <f>'Base de données indicateurs1'!AV58</f>
        <v>617598.75</v>
      </c>
      <c r="AW12" s="4">
        <f>'Base de données indicateurs1'!AW58</f>
        <v>57242.400000000001</v>
      </c>
      <c r="AX12" s="4">
        <f>'Base de données indicateurs1'!AX58</f>
        <v>0</v>
      </c>
      <c r="AY12" s="4">
        <f>'Base de données indicateurs1'!AY58</f>
        <v>0</v>
      </c>
      <c r="AZ12" s="4">
        <f>'Base de données indicateurs1'!AZ58</f>
        <v>0</v>
      </c>
      <c r="BA12" s="4">
        <f>'Base de données indicateurs1'!BA58</f>
        <v>176794.95</v>
      </c>
      <c r="BB12" s="4">
        <f>'Base de données indicateurs1'!BB58</f>
        <v>374230.1</v>
      </c>
      <c r="BC12" s="4">
        <f>'Base de données indicateurs1'!BC58</f>
        <v>0</v>
      </c>
      <c r="BD12" s="4">
        <f>'Base de données indicateurs1'!BD58</f>
        <v>2976255.58</v>
      </c>
      <c r="BE12" s="4">
        <f>'Base de données indicateurs1'!BE58</f>
        <v>6219.65</v>
      </c>
      <c r="BF12" s="4">
        <f>SUM(E12:W12)</f>
        <v>24107339.439999998</v>
      </c>
      <c r="BG12" s="4">
        <f>SUM(X12:AJ12)</f>
        <v>2800215.0900000003</v>
      </c>
      <c r="BH12" s="4">
        <f>SUM(AK12:BE12)</f>
        <v>9799801.1599999983</v>
      </c>
    </row>
    <row r="13" spans="1:60" x14ac:dyDescent="0.3">
      <c r="B13" s="121"/>
      <c r="D13" s="4"/>
      <c r="BF13" s="4"/>
      <c r="BG13" s="4"/>
      <c r="BH13" s="4"/>
    </row>
    <row r="14" spans="1:60" x14ac:dyDescent="0.3">
      <c r="A14" s="111" t="s">
        <v>283</v>
      </c>
      <c r="B14" s="112" t="s">
        <v>231</v>
      </c>
      <c r="C14" s="111">
        <v>30</v>
      </c>
      <c r="D14" s="113">
        <f>'Base de données indicateurs1'!BF17</f>
        <v>62392442.430000007</v>
      </c>
      <c r="E14" s="4">
        <f>'Base de données indicateurs1'!E17</f>
        <v>470114.3</v>
      </c>
      <c r="F14" s="4">
        <f>'Base de données indicateurs1'!F17</f>
        <v>33790.6</v>
      </c>
      <c r="G14" s="4">
        <f>'Base de données indicateurs1'!G17</f>
        <v>132370.54999999999</v>
      </c>
      <c r="H14" s="4">
        <f>'Base de données indicateurs1'!H17</f>
        <v>234232.2</v>
      </c>
      <c r="I14" s="4">
        <f>'Base de données indicateurs1'!I17</f>
        <v>2614007</v>
      </c>
      <c r="J14" s="4">
        <f>'Base de données indicateurs1'!J17</f>
        <v>2914897.7</v>
      </c>
      <c r="K14" s="4">
        <f>'Base de données indicateurs1'!K17</f>
        <v>1052579.25</v>
      </c>
      <c r="L14" s="4">
        <f>'Base de données indicateurs1'!L17</f>
        <v>19606286.829999998</v>
      </c>
      <c r="M14" s="4">
        <f>'Base de données indicateurs1'!M17</f>
        <v>1235277.3</v>
      </c>
      <c r="N14" s="4">
        <f>'Base de données indicateurs1'!N17</f>
        <v>0</v>
      </c>
      <c r="O14" s="4">
        <f>'Base de données indicateurs1'!O17</f>
        <v>3355866.1</v>
      </c>
      <c r="P14" s="4">
        <f>'Base de données indicateurs1'!P17</f>
        <v>166881.04999999999</v>
      </c>
      <c r="Q14" s="4">
        <f>'Base de données indicateurs1'!Q17</f>
        <v>69596.649999999994</v>
      </c>
      <c r="R14" s="4">
        <f>'Base de données indicateurs1'!R17</f>
        <v>238242.75</v>
      </c>
      <c r="S14" s="4">
        <f>'Base de données indicateurs1'!S17</f>
        <v>120756.95</v>
      </c>
      <c r="T14" s="4">
        <f>'Base de données indicateurs1'!T17</f>
        <v>287755</v>
      </c>
      <c r="U14" s="4">
        <f>'Base de données indicateurs1'!U17</f>
        <v>106789</v>
      </c>
      <c r="V14" s="4">
        <f>'Base de données indicateurs1'!V17</f>
        <v>333879.65000000002</v>
      </c>
      <c r="W14" s="4">
        <f>'Base de données indicateurs1'!W17</f>
        <v>2111725.83</v>
      </c>
      <c r="X14" s="4">
        <f>'Base de données indicateurs1'!X17</f>
        <v>99579</v>
      </c>
      <c r="Y14" s="4">
        <f>'Base de données indicateurs1'!Y17</f>
        <v>1191421.6000000001</v>
      </c>
      <c r="Z14" s="4">
        <f>'Base de données indicateurs1'!Z17</f>
        <v>1513460.5</v>
      </c>
      <c r="AA14" s="4">
        <f>'Base de données indicateurs1'!AA17</f>
        <v>93557</v>
      </c>
      <c r="AB14" s="4">
        <f>'Base de données indicateurs1'!AB17</f>
        <v>58454.1</v>
      </c>
      <c r="AC14" s="4">
        <f>'Base de données indicateurs1'!AC17</f>
        <v>238202.45</v>
      </c>
      <c r="AD14" s="4">
        <f>'Base de données indicateurs1'!AD17</f>
        <v>545174.19999999995</v>
      </c>
      <c r="AE14" s="4">
        <f>'Base de données indicateurs1'!AE17</f>
        <v>297597.05</v>
      </c>
      <c r="AF14" s="4">
        <f>'Base de données indicateurs1'!AF17</f>
        <v>357056.9</v>
      </c>
      <c r="AG14" s="4">
        <f>'Base de données indicateurs1'!AG17</f>
        <v>837538.1</v>
      </c>
      <c r="AH14" s="4">
        <f>'Base de données indicateurs1'!AH17</f>
        <v>1592396</v>
      </c>
      <c r="AI14" s="4">
        <f>'Base de données indicateurs1'!AI17</f>
        <v>83492</v>
      </c>
      <c r="AJ14" s="4">
        <f>'Base de données indicateurs1'!AJ17</f>
        <v>58225.8</v>
      </c>
      <c r="AK14" s="4">
        <f>'Base de données indicateurs1'!AK17</f>
        <v>684219.85</v>
      </c>
      <c r="AL14" s="4">
        <f>'Base de données indicateurs1'!AL17</f>
        <v>420037</v>
      </c>
      <c r="AM14" s="4">
        <f>'Base de données indicateurs1'!AM17</f>
        <v>494732.75</v>
      </c>
      <c r="AN14" s="4">
        <f>'Base de données indicateurs1'!AN17</f>
        <v>66430.3</v>
      </c>
      <c r="AO14" s="4">
        <f>'Base de données indicateurs1'!AO17</f>
        <v>1213438.1399999999</v>
      </c>
      <c r="AP14" s="4">
        <f>'Base de données indicateurs1'!AP17</f>
        <v>784212.55</v>
      </c>
      <c r="AQ14" s="4">
        <f>'Base de données indicateurs1'!AQ17</f>
        <v>234203</v>
      </c>
      <c r="AR14" s="4">
        <f>'Base de données indicateurs1'!AR17</f>
        <v>1090599.7</v>
      </c>
      <c r="AS14" s="4">
        <f>'Base de données indicateurs1'!AS17</f>
        <v>440814.85</v>
      </c>
      <c r="AT14" s="4">
        <f>'Base de données indicateurs1'!AT17</f>
        <v>411550.05</v>
      </c>
      <c r="AU14" s="4">
        <f>'Base de données indicateurs1'!AU17</f>
        <v>107092.01</v>
      </c>
      <c r="AV14" s="4">
        <f>'Base de données indicateurs1'!AV17</f>
        <v>988286.2</v>
      </c>
      <c r="AW14" s="4">
        <f>'Base de données indicateurs1'!AW17</f>
        <v>451651.45</v>
      </c>
      <c r="AX14" s="4">
        <f>'Base de données indicateurs1'!AX17</f>
        <v>86578.74</v>
      </c>
      <c r="AY14" s="4">
        <f>'Base de données indicateurs1'!AY17</f>
        <v>136178.70000000001</v>
      </c>
      <c r="AZ14" s="4">
        <f>'Base de données indicateurs1'!AZ17</f>
        <v>861631.8</v>
      </c>
      <c r="BA14" s="4">
        <f>'Base de données indicateurs1'!BA17</f>
        <v>118392.9</v>
      </c>
      <c r="BB14" s="4">
        <f>'Base de données indicateurs1'!BB17</f>
        <v>1272093.46</v>
      </c>
      <c r="BC14" s="4">
        <f>'Base de données indicateurs1'!BC17</f>
        <v>72984.600000000006</v>
      </c>
      <c r="BD14" s="4">
        <f>'Base de données indicateurs1'!BD17</f>
        <v>10089330.32</v>
      </c>
      <c r="BE14" s="4">
        <f>'Base de données indicateurs1'!BE17</f>
        <v>316780.65000000002</v>
      </c>
      <c r="BF14" s="4">
        <f t="shared" ref="BF14:BF41" si="0">SUM(E14:W14)</f>
        <v>35085048.710000001</v>
      </c>
      <c r="BG14" s="4">
        <f t="shared" ref="BG14:BG41" si="1">SUM(X14:AJ14)</f>
        <v>6966154.7000000002</v>
      </c>
      <c r="BH14" s="4">
        <f t="shared" ref="BH14:BH41" si="2">SUM(AK14:BE14)</f>
        <v>20341239.019999996</v>
      </c>
    </row>
    <row r="15" spans="1:60" x14ac:dyDescent="0.3">
      <c r="A15" s="114" t="s">
        <v>541</v>
      </c>
      <c r="B15" s="115" t="s">
        <v>231</v>
      </c>
      <c r="C15" s="114">
        <v>31</v>
      </c>
      <c r="D15" s="116">
        <f>'Base de données indicateurs1'!BF18</f>
        <v>41966595.910000004</v>
      </c>
      <c r="E15" s="4">
        <f>'Base de données indicateurs1'!E18</f>
        <v>427006.53</v>
      </c>
      <c r="F15" s="4">
        <f>'Base de données indicateurs1'!F18</f>
        <v>109341.55</v>
      </c>
      <c r="G15" s="4">
        <f>'Base de données indicateurs1'!G18</f>
        <v>162658.44</v>
      </c>
      <c r="H15" s="4">
        <f>'Base de données indicateurs1'!H18</f>
        <v>169499.04</v>
      </c>
      <c r="I15" s="4">
        <f>'Base de données indicateurs1'!I18</f>
        <v>1351042</v>
      </c>
      <c r="J15" s="4">
        <f>'Base de données indicateurs1'!J18</f>
        <v>989580.55</v>
      </c>
      <c r="K15" s="4">
        <f>'Base de données indicateurs1'!K18</f>
        <v>870080.81</v>
      </c>
      <c r="L15" s="4">
        <f>'Base de données indicateurs1'!L18</f>
        <v>6472698.6500000004</v>
      </c>
      <c r="M15" s="4">
        <f>'Base de données indicateurs1'!M18</f>
        <v>455373.48</v>
      </c>
      <c r="N15" s="4">
        <f>'Base de données indicateurs1'!N18</f>
        <v>0</v>
      </c>
      <c r="O15" s="4">
        <f>'Base de données indicateurs1'!O18</f>
        <v>2262722.02</v>
      </c>
      <c r="P15" s="4">
        <f>'Base de données indicateurs1'!P18</f>
        <v>488433.9</v>
      </c>
      <c r="Q15" s="4">
        <f>'Base de données indicateurs1'!Q18</f>
        <v>47140</v>
      </c>
      <c r="R15" s="4">
        <f>'Base de données indicateurs1'!R18</f>
        <v>156580.06</v>
      </c>
      <c r="S15" s="4">
        <f>'Base de données indicateurs1'!S18</f>
        <v>386409.94</v>
      </c>
      <c r="T15" s="4">
        <f>'Base de données indicateurs1'!T18</f>
        <v>296090.25</v>
      </c>
      <c r="U15" s="4">
        <f>'Base de données indicateurs1'!U18</f>
        <v>142237</v>
      </c>
      <c r="V15" s="4">
        <f>'Base de données indicateurs1'!V18</f>
        <v>463620.3</v>
      </c>
      <c r="W15" s="4">
        <f>'Base de données indicateurs1'!W18</f>
        <v>1491682.19</v>
      </c>
      <c r="X15" s="4">
        <f>'Base de données indicateurs1'!X18</f>
        <v>490521</v>
      </c>
      <c r="Y15" s="4">
        <f>'Base de données indicateurs1'!Y18</f>
        <v>705013.06</v>
      </c>
      <c r="Z15" s="4">
        <f>'Base de données indicateurs1'!Z18</f>
        <v>1897606.49</v>
      </c>
      <c r="AA15" s="4">
        <f>'Base de données indicateurs1'!AA18</f>
        <v>81902</v>
      </c>
      <c r="AB15" s="4">
        <f>'Base de données indicateurs1'!AB18</f>
        <v>145386.71</v>
      </c>
      <c r="AC15" s="4">
        <f>'Base de données indicateurs1'!AC18</f>
        <v>521420.78</v>
      </c>
      <c r="AD15" s="4">
        <f>'Base de données indicateurs1'!AD18</f>
        <v>566829.05000000005</v>
      </c>
      <c r="AE15" s="4">
        <f>'Base de données indicateurs1'!AE18</f>
        <v>887967.67</v>
      </c>
      <c r="AF15" s="4">
        <f>'Base de données indicateurs1'!AF18</f>
        <v>923720.35</v>
      </c>
      <c r="AG15" s="4">
        <f>'Base de données indicateurs1'!AG18</f>
        <v>898217.02</v>
      </c>
      <c r="AH15" s="4">
        <f>'Base de données indicateurs1'!AH18</f>
        <v>1522013</v>
      </c>
      <c r="AI15" s="4">
        <f>'Base de données indicateurs1'!AI18</f>
        <v>104066</v>
      </c>
      <c r="AJ15" s="4">
        <f>'Base de données indicateurs1'!AJ18</f>
        <v>120434.1</v>
      </c>
      <c r="AK15" s="4">
        <f>'Base de données indicateurs1'!AK18</f>
        <v>900963.89</v>
      </c>
      <c r="AL15" s="4">
        <f>'Base de données indicateurs1'!AL18</f>
        <v>619988</v>
      </c>
      <c r="AM15" s="4">
        <f>'Base de données indicateurs1'!AM18</f>
        <v>1016617.37</v>
      </c>
      <c r="AN15" s="4">
        <f>'Base de données indicateurs1'!AN18</f>
        <v>135760.01</v>
      </c>
      <c r="AO15" s="4">
        <f>'Base de données indicateurs1'!AO18</f>
        <v>1214719.8500000001</v>
      </c>
      <c r="AP15" s="4">
        <f>'Base de données indicateurs1'!AP18</f>
        <v>215224.04</v>
      </c>
      <c r="AQ15" s="4">
        <f>'Base de données indicateurs1'!AQ18</f>
        <v>286519</v>
      </c>
      <c r="AR15" s="4">
        <f>'Base de données indicateurs1'!AR18</f>
        <v>990421.36</v>
      </c>
      <c r="AS15" s="4">
        <f>'Base de données indicateurs1'!AS18</f>
        <v>393121.48</v>
      </c>
      <c r="AT15" s="4">
        <f>'Base de données indicateurs1'!AT18</f>
        <v>437216.28</v>
      </c>
      <c r="AU15" s="4">
        <f>'Base de données indicateurs1'!AU18</f>
        <v>398705.82</v>
      </c>
      <c r="AV15" s="4">
        <f>'Base de données indicateurs1'!AV18</f>
        <v>1090158.54</v>
      </c>
      <c r="AW15" s="4">
        <f>'Base de données indicateurs1'!AW18</f>
        <v>438452.33</v>
      </c>
      <c r="AX15" s="4">
        <f>'Base de données indicateurs1'!AX18</f>
        <v>69188.600000000006</v>
      </c>
      <c r="AY15" s="4">
        <f>'Base de données indicateurs1'!AY18</f>
        <v>206333.94</v>
      </c>
      <c r="AZ15" s="4">
        <f>'Base de données indicateurs1'!AZ18</f>
        <v>650080.6</v>
      </c>
      <c r="BA15" s="4">
        <f>'Base de données indicateurs1'!BA18</f>
        <v>515024.4</v>
      </c>
      <c r="BB15" s="4">
        <f>'Base de données indicateurs1'!BB18</f>
        <v>1480527.4</v>
      </c>
      <c r="BC15" s="4">
        <f>'Base de données indicateurs1'!BC18</f>
        <v>137825.35999999999</v>
      </c>
      <c r="BD15" s="4">
        <f>'Base de données indicateurs1'!BD18</f>
        <v>4850554.4000000004</v>
      </c>
      <c r="BE15" s="4">
        <f>'Base de données indicateurs1'!BE18</f>
        <v>311899.3</v>
      </c>
      <c r="BF15" s="4">
        <f t="shared" si="0"/>
        <v>16742196.710000001</v>
      </c>
      <c r="BG15" s="4">
        <f t="shared" si="1"/>
        <v>8865097.2299999986</v>
      </c>
      <c r="BH15" s="4">
        <f t="shared" si="2"/>
        <v>16359301.970000001</v>
      </c>
    </row>
    <row r="16" spans="1:60" x14ac:dyDescent="0.3">
      <c r="A16" s="114" t="s">
        <v>286</v>
      </c>
      <c r="B16" s="115" t="s">
        <v>232</v>
      </c>
      <c r="C16" s="114">
        <v>3180</v>
      </c>
      <c r="D16" s="116">
        <f>'Base de données indicateurs1'!BF19</f>
        <v>-432404.06000000017</v>
      </c>
      <c r="E16" s="4">
        <f>'Base de données indicateurs1'!E19</f>
        <v>89412.95</v>
      </c>
      <c r="F16" s="4">
        <f>'Base de données indicateurs1'!F19</f>
        <v>-22573.3</v>
      </c>
      <c r="G16" s="4">
        <f>'Base de données indicateurs1'!G19</f>
        <v>0</v>
      </c>
      <c r="H16" s="4">
        <f>'Base de données indicateurs1'!H19</f>
        <v>0</v>
      </c>
      <c r="I16" s="4">
        <f>'Base de données indicateurs1'!I19</f>
        <v>0</v>
      </c>
      <c r="J16" s="4">
        <f>'Base de données indicateurs1'!J19</f>
        <v>69066.95</v>
      </c>
      <c r="K16" s="4">
        <f>'Base de données indicateurs1'!K19</f>
        <v>8573.0499999999993</v>
      </c>
      <c r="L16" s="4">
        <f>'Base de données indicateurs1'!L19</f>
        <v>-750000</v>
      </c>
      <c r="M16" s="4">
        <f>'Base de données indicateurs1'!M19</f>
        <v>-79432.399999999994</v>
      </c>
      <c r="N16" s="4">
        <f>'Base de données indicateurs1'!N19</f>
        <v>0</v>
      </c>
      <c r="O16" s="4">
        <f>'Base de données indicateurs1'!O19</f>
        <v>-356022.92</v>
      </c>
      <c r="P16" s="4">
        <f>'Base de données indicateurs1'!P19</f>
        <v>214.85</v>
      </c>
      <c r="Q16" s="4">
        <f>'Base de données indicateurs1'!Q19</f>
        <v>0</v>
      </c>
      <c r="R16" s="4">
        <f>'Base de données indicateurs1'!R19</f>
        <v>0</v>
      </c>
      <c r="S16" s="4">
        <f>'Base de données indicateurs1'!S19</f>
        <v>0</v>
      </c>
      <c r="T16" s="4">
        <f>'Base de données indicateurs1'!T19</f>
        <v>0</v>
      </c>
      <c r="U16" s="4">
        <f>'Base de données indicateurs1'!U19</f>
        <v>-2945.1</v>
      </c>
      <c r="V16" s="4">
        <f>'Base de données indicateurs1'!V19</f>
        <v>2081.6</v>
      </c>
      <c r="W16" s="4">
        <f>'Base de données indicateurs1'!W19</f>
        <v>51965.66</v>
      </c>
      <c r="X16" s="4">
        <f>'Base de données indicateurs1'!X19</f>
        <v>11000</v>
      </c>
      <c r="Y16" s="4">
        <f>'Base de données indicateurs1'!Y19</f>
        <v>0.5</v>
      </c>
      <c r="Z16" s="4">
        <f>'Base de données indicateurs1'!Z19</f>
        <v>0</v>
      </c>
      <c r="AA16" s="4">
        <f>'Base de données indicateurs1'!AA19</f>
        <v>0</v>
      </c>
      <c r="AB16" s="4">
        <f>'Base de données indicateurs1'!AB19</f>
        <v>0</v>
      </c>
      <c r="AC16" s="4">
        <f>'Base de données indicateurs1'!AC19</f>
        <v>20500</v>
      </c>
      <c r="AD16" s="4">
        <f>'Base de données indicateurs1'!AD19</f>
        <v>24341.87</v>
      </c>
      <c r="AE16" s="4">
        <f>'Base de données indicateurs1'!AE19</f>
        <v>0</v>
      </c>
      <c r="AF16" s="4">
        <f>'Base de données indicateurs1'!AF19</f>
        <v>7116.5</v>
      </c>
      <c r="AG16" s="4">
        <f>'Base de données indicateurs1'!AG19</f>
        <v>100</v>
      </c>
      <c r="AH16" s="4">
        <f>'Base de données indicateurs1'!AH19</f>
        <v>0</v>
      </c>
      <c r="AI16" s="4">
        <f>'Base de données indicateurs1'!AI19</f>
        <v>8346.4</v>
      </c>
      <c r="AJ16" s="4">
        <f>'Base de données indicateurs1'!AJ19</f>
        <v>0</v>
      </c>
      <c r="AK16" s="4">
        <f>'Base de données indicateurs1'!AK19</f>
        <v>64499.65</v>
      </c>
      <c r="AL16" s="4">
        <f>'Base de données indicateurs1'!AL19</f>
        <v>230770</v>
      </c>
      <c r="AM16" s="4">
        <f>'Base de données indicateurs1'!AM19</f>
        <v>36930</v>
      </c>
      <c r="AN16" s="4">
        <f>'Base de données indicateurs1'!AN19</f>
        <v>0</v>
      </c>
      <c r="AO16" s="4">
        <f>'Base de données indicateurs1'!AO19</f>
        <v>193723.5</v>
      </c>
      <c r="AP16" s="4">
        <f>'Base de données indicateurs1'!AP19</f>
        <v>-147064.94</v>
      </c>
      <c r="AQ16" s="4">
        <f>'Base de données indicateurs1'!AQ19</f>
        <v>0</v>
      </c>
      <c r="AR16" s="4">
        <f>'Base de données indicateurs1'!AR19</f>
        <v>0</v>
      </c>
      <c r="AS16" s="4">
        <f>'Base de données indicateurs1'!AS19</f>
        <v>12355.1</v>
      </c>
      <c r="AT16" s="4">
        <f>'Base de données indicateurs1'!AT19</f>
        <v>-30292.01</v>
      </c>
      <c r="AU16" s="4">
        <f>'Base de données indicateurs1'!AU19</f>
        <v>64000</v>
      </c>
      <c r="AV16" s="4">
        <f>'Base de données indicateurs1'!AV19</f>
        <v>0</v>
      </c>
      <c r="AW16" s="4">
        <f>'Base de données indicateurs1'!AW19</f>
        <v>4673.78</v>
      </c>
      <c r="AX16" s="4">
        <f>'Base de données indicateurs1'!AX19</f>
        <v>0</v>
      </c>
      <c r="AY16" s="4">
        <f>'Base de données indicateurs1'!AY19</f>
        <v>2015.25</v>
      </c>
      <c r="AZ16" s="4">
        <f>'Base de données indicateurs1'!AZ19</f>
        <v>0</v>
      </c>
      <c r="BA16" s="4">
        <f>'Base de données indicateurs1'!BA19</f>
        <v>0</v>
      </c>
      <c r="BB16" s="4">
        <f>'Base de données indicateurs1'!BB19</f>
        <v>33200</v>
      </c>
      <c r="BC16" s="4">
        <f>'Base de données indicateurs1'!BC19</f>
        <v>0</v>
      </c>
      <c r="BD16" s="4">
        <f>'Base de données indicateurs1'!BD19</f>
        <v>0</v>
      </c>
      <c r="BE16" s="4">
        <f>'Base de données indicateurs1'!BE19</f>
        <v>21039</v>
      </c>
      <c r="BF16" s="4">
        <f t="shared" si="0"/>
        <v>-989658.66000000015</v>
      </c>
      <c r="BG16" s="4">
        <f t="shared" si="1"/>
        <v>71405.26999999999</v>
      </c>
      <c r="BH16" s="4">
        <f t="shared" si="2"/>
        <v>485849.33</v>
      </c>
    </row>
    <row r="17" spans="1:60" x14ac:dyDescent="0.3">
      <c r="A17" s="114" t="s">
        <v>101</v>
      </c>
      <c r="B17" s="115" t="s">
        <v>231</v>
      </c>
      <c r="C17" s="114">
        <v>34</v>
      </c>
      <c r="D17" s="116">
        <f>'Base de données indicateurs1'!BF21</f>
        <v>7270594.0700000003</v>
      </c>
      <c r="E17" s="4">
        <f>'Base de données indicateurs1'!E21</f>
        <v>25957.09</v>
      </c>
      <c r="F17" s="4">
        <f>'Base de données indicateurs1'!F21</f>
        <v>53622.65</v>
      </c>
      <c r="G17" s="4">
        <f>'Base de données indicateurs1'!G21</f>
        <v>109242.38</v>
      </c>
      <c r="H17" s="4">
        <f>'Base de données indicateurs1'!H21</f>
        <v>79602.070000000007</v>
      </c>
      <c r="I17" s="4">
        <f>'Base de données indicateurs1'!I21</f>
        <v>167746</v>
      </c>
      <c r="J17" s="4">
        <f>'Base de données indicateurs1'!J21</f>
        <v>353755.02</v>
      </c>
      <c r="K17" s="4">
        <f>'Base de données indicateurs1'!K21</f>
        <v>190806.37</v>
      </c>
      <c r="L17" s="4">
        <f>'Base de données indicateurs1'!L21</f>
        <v>1293539.25</v>
      </c>
      <c r="M17" s="4">
        <f>'Base de données indicateurs1'!M21</f>
        <v>62498.61</v>
      </c>
      <c r="N17" s="4">
        <f>'Base de données indicateurs1'!N21</f>
        <v>0</v>
      </c>
      <c r="O17" s="4">
        <f>'Base de données indicateurs1'!O21</f>
        <v>409269.4</v>
      </c>
      <c r="P17" s="4">
        <f>'Base de données indicateurs1'!P21</f>
        <v>49806.81</v>
      </c>
      <c r="Q17" s="4">
        <f>'Base de données indicateurs1'!Q21</f>
        <v>9325.5300000000007</v>
      </c>
      <c r="R17" s="4">
        <f>'Base de données indicateurs1'!R21</f>
        <v>38513.269999999997</v>
      </c>
      <c r="S17" s="4">
        <f>'Base de données indicateurs1'!S21</f>
        <v>62506.13</v>
      </c>
      <c r="T17" s="4">
        <f>'Base de données indicateurs1'!T21</f>
        <v>106712.1</v>
      </c>
      <c r="U17" s="4">
        <f>'Base de données indicateurs1'!U21</f>
        <v>10641</v>
      </c>
      <c r="V17" s="4">
        <f>'Base de données indicateurs1'!V21</f>
        <v>64002.95</v>
      </c>
      <c r="W17" s="4">
        <f>'Base de données indicateurs1'!W21</f>
        <v>206751.8</v>
      </c>
      <c r="X17" s="4">
        <f>'Base de données indicateurs1'!X21</f>
        <v>17824</v>
      </c>
      <c r="Y17" s="4">
        <f>'Base de données indicateurs1'!Y21</f>
        <v>161629.54999999999</v>
      </c>
      <c r="Z17" s="4">
        <f>'Base de données indicateurs1'!Z21</f>
        <v>49245.58</v>
      </c>
      <c r="AA17" s="4">
        <f>'Base de données indicateurs1'!AA21</f>
        <v>4961</v>
      </c>
      <c r="AB17" s="4">
        <f>'Base de données indicateurs1'!AB21</f>
        <v>14428.89</v>
      </c>
      <c r="AC17" s="4">
        <f>'Base de données indicateurs1'!AC21</f>
        <v>36916.46</v>
      </c>
      <c r="AD17" s="4">
        <f>'Base de données indicateurs1'!AD21</f>
        <v>126012.01</v>
      </c>
      <c r="AE17" s="4">
        <f>'Base de données indicateurs1'!AE21</f>
        <v>38360.71</v>
      </c>
      <c r="AF17" s="4">
        <f>'Base de données indicateurs1'!AF21</f>
        <v>53662.75</v>
      </c>
      <c r="AG17" s="4">
        <f>'Base de données indicateurs1'!AG21</f>
        <v>135089.70000000001</v>
      </c>
      <c r="AH17" s="4">
        <f>'Base de données indicateurs1'!AH21</f>
        <v>309966</v>
      </c>
      <c r="AI17" s="4">
        <f>'Base de données indicateurs1'!AI21</f>
        <v>20703</v>
      </c>
      <c r="AJ17" s="4">
        <f>'Base de données indicateurs1'!AJ21</f>
        <v>42883.78</v>
      </c>
      <c r="AK17" s="4">
        <f>'Base de données indicateurs1'!AK21</f>
        <v>202458.52</v>
      </c>
      <c r="AL17" s="4">
        <f>'Base de données indicateurs1'!AL21</f>
        <v>35284</v>
      </c>
      <c r="AM17" s="4">
        <f>'Base de données indicateurs1'!AM21</f>
        <v>163768.79999999999</v>
      </c>
      <c r="AN17" s="4">
        <f>'Base de données indicateurs1'!AN21</f>
        <v>28646.12</v>
      </c>
      <c r="AO17" s="4">
        <f>'Base de données indicateurs1'!AO21</f>
        <v>251870.98</v>
      </c>
      <c r="AP17" s="4">
        <f>'Base de données indicateurs1'!AP21</f>
        <v>59393.55</v>
      </c>
      <c r="AQ17" s="4">
        <f>'Base de données indicateurs1'!AQ21</f>
        <v>47702</v>
      </c>
      <c r="AR17" s="4">
        <f>'Base de données indicateurs1'!AR21</f>
        <v>253950.22</v>
      </c>
      <c r="AS17" s="4">
        <f>'Base de données indicateurs1'!AS21</f>
        <v>105100.13</v>
      </c>
      <c r="AT17" s="4">
        <f>'Base de données indicateurs1'!AT21</f>
        <v>150456.45000000001</v>
      </c>
      <c r="AU17" s="4">
        <f>'Base de données indicateurs1'!AU21</f>
        <v>23204.25</v>
      </c>
      <c r="AV17" s="4">
        <f>'Base de données indicateurs1'!AV21</f>
        <v>205298.78</v>
      </c>
      <c r="AW17" s="4">
        <f>'Base de données indicateurs1'!AW21</f>
        <v>48284.98</v>
      </c>
      <c r="AX17" s="4">
        <f>'Base de données indicateurs1'!AX21</f>
        <v>12648.8</v>
      </c>
      <c r="AY17" s="4">
        <f>'Base de données indicateurs1'!AY21</f>
        <v>16514.060000000001</v>
      </c>
      <c r="AZ17" s="4">
        <f>'Base de données indicateurs1'!AZ21</f>
        <v>249349.03</v>
      </c>
      <c r="BA17" s="4">
        <f>'Base de données indicateurs1'!BA21</f>
        <v>12565.11</v>
      </c>
      <c r="BB17" s="4">
        <f>'Base de données indicateurs1'!BB21</f>
        <v>114102.89</v>
      </c>
      <c r="BC17" s="4">
        <f>'Base de données indicateurs1'!BC21</f>
        <v>450.2</v>
      </c>
      <c r="BD17" s="4">
        <f>'Base de données indicateurs1'!BD21</f>
        <v>962411.89</v>
      </c>
      <c r="BE17" s="4">
        <f>'Base de données indicateurs1'!BE21</f>
        <v>21151.45</v>
      </c>
      <c r="BF17" s="4">
        <f t="shared" si="0"/>
        <v>3294298.4299999997</v>
      </c>
      <c r="BG17" s="4">
        <f t="shared" si="1"/>
        <v>1011683.4300000002</v>
      </c>
      <c r="BH17" s="4">
        <f t="shared" si="2"/>
        <v>2964612.21</v>
      </c>
    </row>
    <row r="18" spans="1:60" x14ac:dyDescent="0.3">
      <c r="A18" s="114" t="s">
        <v>106</v>
      </c>
      <c r="B18" s="115" t="s">
        <v>232</v>
      </c>
      <c r="C18" s="114">
        <v>344</v>
      </c>
      <c r="D18" s="116">
        <f>'Base de données indicateurs1'!BF23</f>
        <v>73615.600000000006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31600</v>
      </c>
      <c r="K18" s="4">
        <f>'Base de données indicateurs1'!K23</f>
        <v>2471.9</v>
      </c>
      <c r="L18" s="4">
        <f>'Base de données indicateurs1'!L23</f>
        <v>600</v>
      </c>
      <c r="M18" s="4">
        <f>'Base de données indicateurs1'!M23</f>
        <v>0</v>
      </c>
      <c r="N18" s="4">
        <f>'Base de données indicateurs1'!N23</f>
        <v>0</v>
      </c>
      <c r="O18" s="4">
        <f>'Base de données indicateurs1'!O23</f>
        <v>4462.8999999999996</v>
      </c>
      <c r="P18" s="4">
        <f>'Base de données indicateurs1'!P23</f>
        <v>0</v>
      </c>
      <c r="Q18" s="4">
        <f>'Base de données indicateurs1'!Q23</f>
        <v>40</v>
      </c>
      <c r="R18" s="4">
        <f>'Base de données indicateurs1'!R23</f>
        <v>0</v>
      </c>
      <c r="S18" s="4">
        <f>'Base de données indicateurs1'!S23</f>
        <v>4800</v>
      </c>
      <c r="T18" s="4">
        <f>'Base de données indicateurs1'!T23</f>
        <v>12853.8</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40</v>
      </c>
      <c r="AE18" s="4">
        <f>'Base de données indicateurs1'!AE23</f>
        <v>200</v>
      </c>
      <c r="AF18" s="4">
        <f>'Base de données indicateurs1'!AF23</f>
        <v>0</v>
      </c>
      <c r="AG18" s="4">
        <f>'Base de données indicateurs1'!AG23</f>
        <v>0</v>
      </c>
      <c r="AH18" s="4">
        <f>'Base de données indicateurs1'!AH23</f>
        <v>0</v>
      </c>
      <c r="AI18" s="4">
        <f>'Base de données indicateurs1'!AI23</f>
        <v>5130.8500000000004</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22.15</v>
      </c>
      <c r="AT18" s="4">
        <f>'Base de données indicateurs1'!AT23</f>
        <v>0</v>
      </c>
      <c r="AU18" s="4">
        <f>'Base de données indicateurs1'!AU23</f>
        <v>0</v>
      </c>
      <c r="AV18" s="4">
        <f>'Base de données indicateurs1'!AV23</f>
        <v>4999</v>
      </c>
      <c r="AW18" s="4">
        <f>'Base de données indicateurs1'!AW23</f>
        <v>0</v>
      </c>
      <c r="AX18" s="4">
        <f>'Base de données indicateurs1'!AX23</f>
        <v>5300</v>
      </c>
      <c r="AY18" s="4">
        <f>'Base de données indicateurs1'!AY23</f>
        <v>0</v>
      </c>
      <c r="AZ18" s="4">
        <f>'Base de données indicateurs1'!AZ23</f>
        <v>0</v>
      </c>
      <c r="BA18" s="4">
        <f>'Base de données indicateurs1'!BA23</f>
        <v>0</v>
      </c>
      <c r="BB18" s="4">
        <f>'Base de données indicateurs1'!BB23</f>
        <v>1080</v>
      </c>
      <c r="BC18" s="4">
        <f>'Base de données indicateurs1'!BC23</f>
        <v>15</v>
      </c>
      <c r="BD18" s="4">
        <f>'Base de données indicateurs1'!BD23</f>
        <v>0</v>
      </c>
      <c r="BE18" s="4">
        <f>'Base de données indicateurs1'!BE23</f>
        <v>0</v>
      </c>
      <c r="BF18" s="4">
        <f t="shared" si="0"/>
        <v>56828.600000000006</v>
      </c>
      <c r="BG18" s="4">
        <f t="shared" si="1"/>
        <v>5370.85</v>
      </c>
      <c r="BH18" s="4">
        <f t="shared" si="2"/>
        <v>11416.15</v>
      </c>
    </row>
    <row r="19" spans="1:60" x14ac:dyDescent="0.3">
      <c r="A19" s="114" t="s">
        <v>293</v>
      </c>
      <c r="B19" s="115" t="s">
        <v>231</v>
      </c>
      <c r="C19" s="114">
        <v>36</v>
      </c>
      <c r="D19" s="116">
        <f>'Base de données indicateurs1'!BF25</f>
        <v>172100466.74999994</v>
      </c>
      <c r="E19" s="4">
        <f>'Base de données indicateurs1'!E25</f>
        <v>1999065.78</v>
      </c>
      <c r="F19" s="4">
        <f>'Base de données indicateurs1'!F25</f>
        <v>576026.65</v>
      </c>
      <c r="G19" s="4">
        <f>'Base de données indicateurs1'!G25</f>
        <v>1159845.23</v>
      </c>
      <c r="H19" s="4">
        <f>'Base de données indicateurs1'!H25</f>
        <v>843401.01</v>
      </c>
      <c r="I19" s="4">
        <f>'Base de données indicateurs1'!I25</f>
        <v>6545591</v>
      </c>
      <c r="J19" s="4">
        <f>'Base de données indicateurs1'!J25</f>
        <v>6377951.0800000001</v>
      </c>
      <c r="K19" s="4">
        <f>'Base de données indicateurs1'!K25</f>
        <v>6076386.7599999998</v>
      </c>
      <c r="L19" s="4">
        <f>'Base de données indicateurs1'!L25</f>
        <v>34426017.450000003</v>
      </c>
      <c r="M19" s="4">
        <f>'Base de données indicateurs1'!M25</f>
        <v>2891860.82</v>
      </c>
      <c r="N19" s="4">
        <f>'Base de données indicateurs1'!N25</f>
        <v>0</v>
      </c>
      <c r="O19" s="4">
        <f>'Base de données indicateurs1'!O25</f>
        <v>15252198.060000001</v>
      </c>
      <c r="P19" s="4">
        <f>'Base de données indicateurs1'!P25</f>
        <v>1094747.1000000001</v>
      </c>
      <c r="Q19" s="4">
        <f>'Base de données indicateurs1'!Q25</f>
        <v>239708.1</v>
      </c>
      <c r="R19" s="4">
        <f>'Base de données indicateurs1'!R25</f>
        <v>862630.35</v>
      </c>
      <c r="S19" s="4">
        <f>'Base de données indicateurs1'!S25</f>
        <v>719129.4</v>
      </c>
      <c r="T19" s="4">
        <f>'Base de données indicateurs1'!T25</f>
        <v>1411870.5</v>
      </c>
      <c r="U19" s="4">
        <f>'Base de données indicateurs1'!U25</f>
        <v>568635</v>
      </c>
      <c r="V19" s="4">
        <f>'Base de données indicateurs1'!V25</f>
        <v>1206071.1299999999</v>
      </c>
      <c r="W19" s="4">
        <f>'Base de données indicateurs1'!W25</f>
        <v>5823642.21</v>
      </c>
      <c r="X19" s="4">
        <f>'Base de données indicateurs1'!X25</f>
        <v>637067</v>
      </c>
      <c r="Y19" s="4">
        <f>'Base de données indicateurs1'!Y25</f>
        <v>2728584.74</v>
      </c>
      <c r="Z19" s="4">
        <f>'Base de données indicateurs1'!Z25</f>
        <v>5878218.6100000003</v>
      </c>
      <c r="AA19" s="4">
        <f>'Base de données indicateurs1'!AA25</f>
        <v>197997</v>
      </c>
      <c r="AB19" s="4">
        <f>'Base de données indicateurs1'!AB25</f>
        <v>320531.08</v>
      </c>
      <c r="AC19" s="4">
        <f>'Base de données indicateurs1'!AC25</f>
        <v>1309529.98</v>
      </c>
      <c r="AD19" s="4">
        <f>'Base de données indicateurs1'!AD25</f>
        <v>1583761.05</v>
      </c>
      <c r="AE19" s="4">
        <f>'Base de données indicateurs1'!AE25</f>
        <v>1252974.6399999999</v>
      </c>
      <c r="AF19" s="4">
        <f>'Base de données indicateurs1'!AF25</f>
        <v>1188304.51</v>
      </c>
      <c r="AG19" s="4">
        <f>'Base de données indicateurs1'!AG25</f>
        <v>4829110.0199999996</v>
      </c>
      <c r="AH19" s="4">
        <f>'Base de données indicateurs1'!AH25</f>
        <v>5432323</v>
      </c>
      <c r="AI19" s="4">
        <f>'Base de données indicateurs1'!AI25</f>
        <v>475508</v>
      </c>
      <c r="AJ19" s="4">
        <f>'Base de données indicateurs1'!AJ25</f>
        <v>258095.72</v>
      </c>
      <c r="AK19" s="4">
        <f>'Base de données indicateurs1'!AK25</f>
        <v>4576125.83</v>
      </c>
      <c r="AL19" s="4">
        <f>'Base de données indicateurs1'!AL25</f>
        <v>402529</v>
      </c>
      <c r="AM19" s="4">
        <f>'Base de données indicateurs1'!AM25</f>
        <v>2583987</v>
      </c>
      <c r="AN19" s="4">
        <f>'Base de données indicateurs1'!AN25</f>
        <v>312725.96999999997</v>
      </c>
      <c r="AO19" s="4">
        <f>'Base de données indicateurs1'!AO25</f>
        <v>4537846.6900000004</v>
      </c>
      <c r="AP19" s="4">
        <f>'Base de données indicateurs1'!AP25</f>
        <v>1679129.55</v>
      </c>
      <c r="AQ19" s="4">
        <f>'Base de données indicateurs1'!AQ25</f>
        <v>1310051</v>
      </c>
      <c r="AR19" s="4">
        <f>'Base de données indicateurs1'!AR25</f>
        <v>2970777.7</v>
      </c>
      <c r="AS19" s="4">
        <f>'Base de données indicateurs1'!AS25</f>
        <v>1483835.4</v>
      </c>
      <c r="AT19" s="4">
        <f>'Base de données indicateurs1'!AT25</f>
        <v>2633624.35</v>
      </c>
      <c r="AU19" s="4">
        <f>'Base de données indicateurs1'!AU25</f>
        <v>770045</v>
      </c>
      <c r="AV19" s="4">
        <f>'Base de données indicateurs1'!AV25</f>
        <v>5209458.53</v>
      </c>
      <c r="AW19" s="4">
        <f>'Base de données indicateurs1'!AW25</f>
        <v>1586217.05</v>
      </c>
      <c r="AX19" s="4">
        <f>'Base de données indicateurs1'!AX25</f>
        <v>390124.75</v>
      </c>
      <c r="AY19" s="4">
        <f>'Base de données indicateurs1'!AY25</f>
        <v>671138.15</v>
      </c>
      <c r="AZ19" s="4">
        <f>'Base de données indicateurs1'!AZ25</f>
        <v>3774199.92</v>
      </c>
      <c r="BA19" s="4">
        <f>'Base de données indicateurs1'!BA25</f>
        <v>841600.12</v>
      </c>
      <c r="BB19" s="4">
        <f>'Base de données indicateurs1'!BB25</f>
        <v>2700481.75</v>
      </c>
      <c r="BC19" s="4">
        <f>'Base de données indicateurs1'!BC25</f>
        <v>409932.67</v>
      </c>
      <c r="BD19" s="4">
        <f>'Base de données indicateurs1'!BD25</f>
        <v>17780151.140000001</v>
      </c>
      <c r="BE19" s="4">
        <f>'Base de données indicateurs1'!BE25</f>
        <v>1309702.2</v>
      </c>
      <c r="BF19" s="4">
        <f t="shared" si="0"/>
        <v>88074777.62999998</v>
      </c>
      <c r="BG19" s="4">
        <f t="shared" si="1"/>
        <v>26092005.350000001</v>
      </c>
      <c r="BH19" s="4">
        <f t="shared" si="2"/>
        <v>57933683.770000003</v>
      </c>
    </row>
    <row r="20" spans="1:60" x14ac:dyDescent="0.3">
      <c r="A20" s="114" t="s">
        <v>542</v>
      </c>
      <c r="B20" s="115" t="s">
        <v>232</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3">
      <c r="A21" s="114" t="s">
        <v>116</v>
      </c>
      <c r="B21" s="115" t="s">
        <v>232</v>
      </c>
      <c r="C21" s="122">
        <v>365</v>
      </c>
      <c r="D21" s="116">
        <f>'Base de données indicateurs1'!BF29</f>
        <v>8100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8100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8100</v>
      </c>
      <c r="BG21" s="4">
        <f t="shared" si="1"/>
        <v>0</v>
      </c>
      <c r="BH21" s="4">
        <f t="shared" si="2"/>
        <v>0</v>
      </c>
    </row>
    <row r="22" spans="1:60" x14ac:dyDescent="0.3">
      <c r="A22" s="114" t="s">
        <v>543</v>
      </c>
      <c r="B22" s="115" t="s">
        <v>232</v>
      </c>
      <c r="C22" s="114">
        <v>366</v>
      </c>
      <c r="D22" s="116">
        <f>'Base de données indicateurs1'!BF30</f>
        <v>15247.55</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15247.55</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15247.55</v>
      </c>
      <c r="BG22" s="4">
        <f t="shared" si="1"/>
        <v>0</v>
      </c>
      <c r="BH22" s="4">
        <f t="shared" si="2"/>
        <v>0</v>
      </c>
    </row>
    <row r="23" spans="1:60" ht="15" thickBot="1" x14ac:dyDescent="0.35">
      <c r="A23" s="117"/>
      <c r="B23" s="118"/>
      <c r="C23" s="117"/>
      <c r="D23" s="119"/>
      <c r="BF23" s="4"/>
      <c r="BG23" s="4"/>
      <c r="BH23" s="4"/>
    </row>
    <row r="24" spans="1:60" ht="15" thickBot="1" x14ac:dyDescent="0.35">
      <c r="A24" s="7" t="s">
        <v>544</v>
      </c>
      <c r="B24" s="64"/>
      <c r="C24" s="7"/>
      <c r="D24" s="127">
        <f>SUM(D14:D15,D17,D19)-SUM(D16,D18,D20:D22)+D12</f>
        <v>320772895.75999999</v>
      </c>
      <c r="E24" s="144">
        <f>SUM(E14:E15,E17,E19)-SUM(E16,E18,E20:E22)+E12</f>
        <v>3426593.3</v>
      </c>
      <c r="F24" s="129">
        <f t="shared" ref="F24:BE24" si="3">SUM(F14:F15,F17,F19)-SUM(F16,F18,F20:F22)+F12</f>
        <v>800541.6</v>
      </c>
      <c r="G24" s="129">
        <f t="shared" si="3"/>
        <v>4264974.1500000004</v>
      </c>
      <c r="H24" s="129">
        <f t="shared" si="3"/>
        <v>1552069.32</v>
      </c>
      <c r="I24" s="129">
        <f t="shared" si="3"/>
        <v>12929867</v>
      </c>
      <c r="J24" s="129">
        <f t="shared" si="3"/>
        <v>12816095.190000001</v>
      </c>
      <c r="K24" s="129">
        <f t="shared" si="3"/>
        <v>9445337.4799999986</v>
      </c>
      <c r="L24" s="129">
        <f t="shared" si="3"/>
        <v>73025800.709999993</v>
      </c>
      <c r="M24" s="129">
        <f t="shared" si="3"/>
        <v>4908879.0600000005</v>
      </c>
      <c r="N24" s="129">
        <f t="shared" si="3"/>
        <v>41267.75</v>
      </c>
      <c r="O24" s="129">
        <f t="shared" si="3"/>
        <v>23698014.150000002</v>
      </c>
      <c r="P24" s="129">
        <f t="shared" si="3"/>
        <v>1974838.24</v>
      </c>
      <c r="Q24" s="129">
        <f t="shared" si="3"/>
        <v>365730.28</v>
      </c>
      <c r="R24" s="129">
        <f t="shared" si="3"/>
        <v>1311780.43</v>
      </c>
      <c r="S24" s="129">
        <f t="shared" si="3"/>
        <v>1455239.1199999999</v>
      </c>
      <c r="T24" s="129">
        <f t="shared" si="3"/>
        <v>2307551.2000000002</v>
      </c>
      <c r="U24" s="129">
        <f t="shared" si="3"/>
        <v>905932.1</v>
      </c>
      <c r="V24" s="129">
        <f t="shared" si="3"/>
        <v>2378491.5299999998</v>
      </c>
      <c r="W24" s="129">
        <f t="shared" si="3"/>
        <v>10604140.819999998</v>
      </c>
      <c r="X24" s="129">
        <f t="shared" si="3"/>
        <v>1299569.3500000001</v>
      </c>
      <c r="Y24" s="129">
        <f t="shared" si="3"/>
        <v>4914831.7</v>
      </c>
      <c r="Z24" s="129">
        <f t="shared" si="3"/>
        <v>9842154.5600000005</v>
      </c>
      <c r="AA24" s="129">
        <f t="shared" si="3"/>
        <v>378417</v>
      </c>
      <c r="AB24" s="129">
        <f t="shared" si="3"/>
        <v>603445.93000000005</v>
      </c>
      <c r="AC24" s="129">
        <f t="shared" si="3"/>
        <v>2185838.4699999997</v>
      </c>
      <c r="AD24" s="129">
        <f t="shared" si="3"/>
        <v>2941830.35</v>
      </c>
      <c r="AE24" s="129">
        <f t="shared" si="3"/>
        <v>2517103.8699999996</v>
      </c>
      <c r="AF24" s="129">
        <f t="shared" si="3"/>
        <v>3243048.4099999997</v>
      </c>
      <c r="AG24" s="129">
        <f t="shared" si="3"/>
        <v>7378113.9399999995</v>
      </c>
      <c r="AH24" s="129">
        <f t="shared" si="3"/>
        <v>9204094.9499999993</v>
      </c>
      <c r="AI24" s="129">
        <f t="shared" si="3"/>
        <v>670291.75</v>
      </c>
      <c r="AJ24" s="129">
        <f t="shared" si="3"/>
        <v>479639.4</v>
      </c>
      <c r="AK24" s="129">
        <f t="shared" si="3"/>
        <v>8269030.9199999999</v>
      </c>
      <c r="AL24" s="129">
        <f t="shared" si="3"/>
        <v>1620938</v>
      </c>
      <c r="AM24" s="129">
        <f t="shared" si="3"/>
        <v>4515563.82</v>
      </c>
      <c r="AN24" s="129">
        <f t="shared" si="3"/>
        <v>1155576.3999999999</v>
      </c>
      <c r="AO24" s="129">
        <f t="shared" si="3"/>
        <v>7883085.46</v>
      </c>
      <c r="AP24" s="129">
        <f t="shared" si="3"/>
        <v>3272326.7300000004</v>
      </c>
      <c r="AQ24" s="129">
        <f t="shared" si="3"/>
        <v>1927517.1</v>
      </c>
      <c r="AR24" s="129">
        <f t="shared" si="3"/>
        <v>5754823.1800000006</v>
      </c>
      <c r="AS24" s="129">
        <f t="shared" si="3"/>
        <v>2481930.61</v>
      </c>
      <c r="AT24" s="129">
        <f t="shared" si="3"/>
        <v>3899169.4899999998</v>
      </c>
      <c r="AU24" s="129">
        <f t="shared" si="3"/>
        <v>1525654.3800000001</v>
      </c>
      <c r="AV24" s="129">
        <f t="shared" si="3"/>
        <v>8105801.8000000007</v>
      </c>
      <c r="AW24" s="129">
        <f t="shared" si="3"/>
        <v>2577174.4300000002</v>
      </c>
      <c r="AX24" s="129">
        <f t="shared" si="3"/>
        <v>553240.89</v>
      </c>
      <c r="AY24" s="129">
        <f t="shared" si="3"/>
        <v>1028149.6000000001</v>
      </c>
      <c r="AZ24" s="129">
        <f t="shared" si="3"/>
        <v>5535261.3499999996</v>
      </c>
      <c r="BA24" s="129">
        <f t="shared" si="3"/>
        <v>1664377.48</v>
      </c>
      <c r="BB24" s="129">
        <f t="shared" si="3"/>
        <v>5907155.5999999996</v>
      </c>
      <c r="BC24" s="129">
        <f t="shared" si="3"/>
        <v>621177.82999999996</v>
      </c>
      <c r="BD24" s="129">
        <f t="shared" si="3"/>
        <v>36658703.329999998</v>
      </c>
      <c r="BE24" s="129">
        <f t="shared" si="3"/>
        <v>1944714.2499999998</v>
      </c>
      <c r="BF24" s="4">
        <f t="shared" si="0"/>
        <v>168213143.43000001</v>
      </c>
      <c r="BG24" s="4">
        <f t="shared" si="1"/>
        <v>45658379.68</v>
      </c>
      <c r="BH24" s="4">
        <f t="shared" si="2"/>
        <v>106901372.65000001</v>
      </c>
    </row>
    <row r="25" spans="1:60" ht="15" thickBot="1" x14ac:dyDescent="0.35">
      <c r="B25" s="121"/>
      <c r="D25" s="4"/>
      <c r="BF25" s="4"/>
      <c r="BG25" s="4"/>
      <c r="BH25" s="4"/>
    </row>
    <row r="26" spans="1:60" ht="15" thickBot="1" x14ac:dyDescent="0.35">
      <c r="A26" s="7" t="s">
        <v>545</v>
      </c>
      <c r="B26" s="121"/>
      <c r="D26" s="120">
        <f>IF(D24&lt;&gt;0,D12/D24,"")*100</f>
        <v>11.443409394995824</v>
      </c>
      <c r="E26" s="144">
        <f>IF(E24&lt;&gt;0,E12/E24,"")*100</f>
        <v>17.330990228691572</v>
      </c>
      <c r="F26" s="129">
        <f t="shared" ref="F26:BH26" si="4">IF(F24&lt;&gt;0,F12/F24,"")*100</f>
        <v>0.64791760977818025</v>
      </c>
      <c r="G26" s="129">
        <f t="shared" si="4"/>
        <v>63.326469399585918</v>
      </c>
      <c r="H26" s="129">
        <f t="shared" si="4"/>
        <v>14.518359270190329</v>
      </c>
      <c r="I26" s="129">
        <f t="shared" si="4"/>
        <v>17.413025207451863</v>
      </c>
      <c r="J26" s="129">
        <f t="shared" si="4"/>
        <v>17.794638352713417</v>
      </c>
      <c r="K26" s="129">
        <f t="shared" si="4"/>
        <v>13.40904168518921</v>
      </c>
      <c r="L26" s="129">
        <f t="shared" si="4"/>
        <v>14.348159730024273</v>
      </c>
      <c r="M26" s="129">
        <f t="shared" si="4"/>
        <v>3.7572009362153644</v>
      </c>
      <c r="N26" s="129">
        <f t="shared" si="4"/>
        <v>100</v>
      </c>
      <c r="O26" s="129">
        <f t="shared" si="4"/>
        <v>8.7840529034370576</v>
      </c>
      <c r="P26" s="129">
        <f t="shared" si="4"/>
        <v>8.8708141483020917</v>
      </c>
      <c r="Q26" s="129">
        <f t="shared" si="4"/>
        <v>0</v>
      </c>
      <c r="R26" s="129">
        <f t="shared" si="4"/>
        <v>1.2055371187386901</v>
      </c>
      <c r="S26" s="129">
        <f t="shared" si="4"/>
        <v>11.76691154371936</v>
      </c>
      <c r="T26" s="129">
        <f t="shared" si="4"/>
        <v>9.446254106951125</v>
      </c>
      <c r="U26" s="129">
        <f t="shared" si="4"/>
        <v>9.13810207188817</v>
      </c>
      <c r="V26" s="129">
        <f t="shared" si="4"/>
        <v>13.15956336409573</v>
      </c>
      <c r="W26" s="129">
        <f t="shared" si="4"/>
        <v>9.6406155609691364</v>
      </c>
      <c r="X26" s="129">
        <f t="shared" si="4"/>
        <v>5.046160099112833</v>
      </c>
      <c r="Y26" s="129">
        <f t="shared" si="4"/>
        <v>2.6080903238253303</v>
      </c>
      <c r="Z26" s="129">
        <f t="shared" si="4"/>
        <v>5.1170033647591895</v>
      </c>
      <c r="AA26" s="129">
        <f t="shared" si="4"/>
        <v>0</v>
      </c>
      <c r="AB26" s="129">
        <f t="shared" si="4"/>
        <v>10.712666501868693</v>
      </c>
      <c r="AC26" s="129">
        <f t="shared" si="4"/>
        <v>4.5872008099482313</v>
      </c>
      <c r="AD26" s="129">
        <f t="shared" si="4"/>
        <v>4.9097294138664385</v>
      </c>
      <c r="AE26" s="129">
        <f t="shared" si="4"/>
        <v>1.6051701513612948</v>
      </c>
      <c r="AF26" s="129">
        <f t="shared" si="4"/>
        <v>22.430143125738912</v>
      </c>
      <c r="AG26" s="129">
        <f t="shared" si="4"/>
        <v>9.1928520691834166</v>
      </c>
      <c r="AH26" s="129">
        <f t="shared" si="4"/>
        <v>3.7743738182535811</v>
      </c>
      <c r="AI26" s="129">
        <f t="shared" si="4"/>
        <v>0</v>
      </c>
      <c r="AJ26" s="129">
        <f t="shared" si="4"/>
        <v>0</v>
      </c>
      <c r="AK26" s="129">
        <f t="shared" si="4"/>
        <v>23.820959179579411</v>
      </c>
      <c r="AL26" s="129">
        <f t="shared" si="4"/>
        <v>23.065040118746062</v>
      </c>
      <c r="AM26" s="129">
        <f t="shared" si="4"/>
        <v>6.4972595160885129</v>
      </c>
      <c r="AN26" s="129">
        <f t="shared" si="4"/>
        <v>52.961794650704185</v>
      </c>
      <c r="AO26" s="129">
        <f t="shared" si="4"/>
        <v>10.89590242752487</v>
      </c>
      <c r="AP26" s="129">
        <f t="shared" si="4"/>
        <v>11.835679379118719</v>
      </c>
      <c r="AQ26" s="129">
        <f t="shared" si="4"/>
        <v>2.5443146522539277</v>
      </c>
      <c r="AR26" s="129">
        <f t="shared" si="4"/>
        <v>7.8034404525353276</v>
      </c>
      <c r="AS26" s="129">
        <f t="shared" si="4"/>
        <v>2.8782432398462583</v>
      </c>
      <c r="AT26" s="129">
        <f t="shared" si="4"/>
        <v>6.0533493249097008</v>
      </c>
      <c r="AU26" s="129">
        <f t="shared" si="4"/>
        <v>19.048042847030661</v>
      </c>
      <c r="AV26" s="129">
        <f t="shared" si="4"/>
        <v>7.6192184960653737</v>
      </c>
      <c r="AW26" s="129">
        <f t="shared" si="4"/>
        <v>2.2211302166303115</v>
      </c>
      <c r="AX26" s="129">
        <f t="shared" si="4"/>
        <v>0</v>
      </c>
      <c r="AY26" s="129">
        <f t="shared" si="4"/>
        <v>0</v>
      </c>
      <c r="AZ26" s="129">
        <f t="shared" si="4"/>
        <v>0</v>
      </c>
      <c r="BA26" s="129">
        <f t="shared" si="4"/>
        <v>10.62228683844004</v>
      </c>
      <c r="BB26" s="129">
        <f t="shared" si="4"/>
        <v>6.3351996348293245</v>
      </c>
      <c r="BC26" s="129">
        <f t="shared" si="4"/>
        <v>0</v>
      </c>
      <c r="BD26" s="129">
        <f t="shared" si="4"/>
        <v>8.1188239344089208</v>
      </c>
      <c r="BE26" s="129">
        <f t="shared" si="4"/>
        <v>0.31982333651332068</v>
      </c>
      <c r="BF26" s="129">
        <f t="shared" si="4"/>
        <v>14.331424375308696</v>
      </c>
      <c r="BG26" s="129">
        <f t="shared" si="4"/>
        <v>6.1329707922740724</v>
      </c>
      <c r="BH26" s="129">
        <f t="shared" si="4"/>
        <v>9.1671424950594389</v>
      </c>
    </row>
    <row r="27" spans="1:60" x14ac:dyDescent="0.3">
      <c r="A27" s="123" t="s">
        <v>546</v>
      </c>
      <c r="B27" s="121"/>
      <c r="D27" s="4"/>
      <c r="BF27" s="4"/>
      <c r="BG27" s="4"/>
      <c r="BH27" s="4"/>
    </row>
    <row r="28" spans="1:60" x14ac:dyDescent="0.3">
      <c r="A28" s="123"/>
      <c r="B28" s="121"/>
      <c r="D28" s="4"/>
      <c r="BF28" s="4"/>
      <c r="BG28" s="4"/>
      <c r="BH28" s="4"/>
    </row>
    <row r="29" spans="1:60" x14ac:dyDescent="0.3">
      <c r="D29" s="4"/>
      <c r="BF29" s="4"/>
      <c r="BG29" s="4"/>
      <c r="BH29" s="4"/>
    </row>
    <row r="30" spans="1:60" x14ac:dyDescent="0.3">
      <c r="A30" s="7" t="s">
        <v>547</v>
      </c>
      <c r="B30" s="110"/>
      <c r="C30" s="65" t="s">
        <v>507</v>
      </c>
      <c r="D30" s="128" t="s">
        <v>508</v>
      </c>
      <c r="BF30" s="4"/>
      <c r="BG30" s="4"/>
      <c r="BH30" s="4"/>
    </row>
    <row r="31" spans="1:60" x14ac:dyDescent="0.3">
      <c r="B31" s="110"/>
      <c r="D31" s="4"/>
      <c r="BF31" s="4"/>
      <c r="BG31" s="4"/>
      <c r="BH31" s="4"/>
    </row>
    <row r="32" spans="1:60" x14ac:dyDescent="0.3">
      <c r="A32" s="111" t="s">
        <v>289</v>
      </c>
      <c r="B32" s="112" t="s">
        <v>231</v>
      </c>
      <c r="C32" s="111">
        <v>340</v>
      </c>
      <c r="D32" s="113">
        <f>'Base de données indicateurs1'!BF22</f>
        <v>5808716.3200000003</v>
      </c>
      <c r="E32" s="4">
        <f>'Base de données indicateurs1'!E22</f>
        <v>25957.09</v>
      </c>
      <c r="F32" s="4">
        <f>'Base de données indicateurs1'!F22</f>
        <v>34741.199999999997</v>
      </c>
      <c r="G32" s="4">
        <f>'Base de données indicateurs1'!G22</f>
        <v>63086.15</v>
      </c>
      <c r="H32" s="4">
        <f>'Base de données indicateurs1'!H22</f>
        <v>62822.720000000001</v>
      </c>
      <c r="I32" s="4">
        <f>'Base de données indicateurs1'!I22</f>
        <v>313671</v>
      </c>
      <c r="J32" s="4">
        <f>'Base de données indicateurs1'!J22</f>
        <v>230949.12</v>
      </c>
      <c r="K32" s="4">
        <f>'Base de données indicateurs1'!K22</f>
        <v>94301.96</v>
      </c>
      <c r="L32" s="4">
        <f>'Base de données indicateurs1'!L22</f>
        <v>1098788.75</v>
      </c>
      <c r="M32" s="4">
        <f>'Base de données indicateurs1'!M22</f>
        <v>52189.760000000002</v>
      </c>
      <c r="N32" s="4">
        <f>'Base de données indicateurs1'!N22</f>
        <v>0</v>
      </c>
      <c r="O32" s="4">
        <f>'Base de données indicateurs1'!O22</f>
        <v>281598.65000000002</v>
      </c>
      <c r="P32" s="4">
        <f>'Base de données indicateurs1'!P22</f>
        <v>39215.760000000002</v>
      </c>
      <c r="Q32" s="4">
        <f>'Base de données indicateurs1'!Q22</f>
        <v>9095.5300000000007</v>
      </c>
      <c r="R32" s="4">
        <f>'Base de données indicateurs1'!R22</f>
        <v>36877.370000000003</v>
      </c>
      <c r="S32" s="4">
        <f>'Base de données indicateurs1'!S22</f>
        <v>56844.93</v>
      </c>
      <c r="T32" s="4">
        <f>'Base de données indicateurs1'!T22</f>
        <v>52274.2</v>
      </c>
      <c r="U32" s="4">
        <f>'Base de données indicateurs1'!U22</f>
        <v>5116.74</v>
      </c>
      <c r="V32" s="4">
        <f>'Base de données indicateurs1'!V22</f>
        <v>54207.25</v>
      </c>
      <c r="W32" s="4">
        <f>'Base de données indicateurs1'!W22</f>
        <v>194511.55</v>
      </c>
      <c r="X32" s="4">
        <f>'Base de données indicateurs1'!X22</f>
        <v>1027</v>
      </c>
      <c r="Y32" s="4">
        <f>'Base de données indicateurs1'!Y22</f>
        <v>161777.70000000001</v>
      </c>
      <c r="Z32" s="4">
        <f>'Base de données indicateurs1'!Z22</f>
        <v>12098.93</v>
      </c>
      <c r="AA32" s="4">
        <f>'Base de données indicateurs1'!AA22</f>
        <v>4856</v>
      </c>
      <c r="AB32" s="4">
        <f>'Base de données indicateurs1'!AB22</f>
        <v>3291.6</v>
      </c>
      <c r="AC32" s="4">
        <f>'Base de données indicateurs1'!AC22</f>
        <v>30053.56</v>
      </c>
      <c r="AD32" s="4">
        <f>'Base de données indicateurs1'!AD22</f>
        <v>97145.66</v>
      </c>
      <c r="AE32" s="4">
        <f>'Base de données indicateurs1'!AE22</f>
        <v>38160.71</v>
      </c>
      <c r="AF32" s="4">
        <f>'Base de données indicateurs1'!AF22</f>
        <v>2733</v>
      </c>
      <c r="AG32" s="4">
        <f>'Base de données indicateurs1'!AG22</f>
        <v>88080.1</v>
      </c>
      <c r="AH32" s="4">
        <f>'Base de données indicateurs1'!AH22</f>
        <v>187345</v>
      </c>
      <c r="AI32" s="4">
        <f>'Base de données indicateurs1'!AI22</f>
        <v>14551.37</v>
      </c>
      <c r="AJ32" s="4">
        <f>'Base de données indicateurs1'!AJ22</f>
        <v>4665.28</v>
      </c>
      <c r="AK32" s="4">
        <f>'Base de données indicateurs1'!AK22</f>
        <v>143147.37</v>
      </c>
      <c r="AL32" s="4">
        <f>'Base de données indicateurs1'!AL22</f>
        <v>114622</v>
      </c>
      <c r="AM32" s="4">
        <f>'Base de données indicateurs1'!AM22</f>
        <v>109327.4</v>
      </c>
      <c r="AN32" s="4">
        <f>'Base de données indicateurs1'!AN22</f>
        <v>0</v>
      </c>
      <c r="AO32" s="4">
        <f>'Base de données indicateurs1'!AO22</f>
        <v>71278.63</v>
      </c>
      <c r="AP32" s="4">
        <f>'Base de données indicateurs1'!AP22</f>
        <v>53670.15</v>
      </c>
      <c r="AQ32" s="4">
        <f>'Base de données indicateurs1'!AQ22</f>
        <v>47702</v>
      </c>
      <c r="AR32" s="4">
        <f>'Base de données indicateurs1'!AR22</f>
        <v>89632.52</v>
      </c>
      <c r="AS32" s="4">
        <f>'Base de données indicateurs1'!AS22</f>
        <v>75220.63</v>
      </c>
      <c r="AT32" s="4">
        <f>'Base de données indicateurs1'!AT22</f>
        <v>121767.45</v>
      </c>
      <c r="AU32" s="4">
        <f>'Base de données indicateurs1'!AU22</f>
        <v>23204.25</v>
      </c>
      <c r="AV32" s="4">
        <f>'Base de données indicateurs1'!AV22</f>
        <v>200299.78</v>
      </c>
      <c r="AW32" s="4">
        <f>'Base de données indicateurs1'!AW22</f>
        <v>47265.91</v>
      </c>
      <c r="AX32" s="4">
        <f>'Base de données indicateurs1'!AX22</f>
        <v>7348.8</v>
      </c>
      <c r="AY32" s="4">
        <f>'Base de données indicateurs1'!AY22</f>
        <v>16514.060000000001</v>
      </c>
      <c r="AZ32" s="4">
        <f>'Base de données indicateurs1'!AZ22</f>
        <v>317070.18</v>
      </c>
      <c r="BA32" s="4">
        <f>'Base de données indicateurs1'!BA22</f>
        <v>10122.76</v>
      </c>
      <c r="BB32" s="4">
        <f>'Base de données indicateurs1'!BB22</f>
        <v>91910.14</v>
      </c>
      <c r="BC32" s="4">
        <f>'Base de données indicateurs1'!BC22</f>
        <v>0</v>
      </c>
      <c r="BD32" s="4">
        <f>'Base de données indicateurs1'!BD22</f>
        <v>868835</v>
      </c>
      <c r="BE32" s="4">
        <f>'Base de données indicateurs1'!BE22</f>
        <v>47741.65</v>
      </c>
      <c r="BF32" s="4">
        <f t="shared" si="0"/>
        <v>2706249.73</v>
      </c>
      <c r="BG32" s="4">
        <f t="shared" si="1"/>
        <v>645785.91</v>
      </c>
      <c r="BH32" s="4">
        <f t="shared" si="2"/>
        <v>2456680.6799999997</v>
      </c>
    </row>
    <row r="33" spans="1:60" x14ac:dyDescent="0.3">
      <c r="A33" s="114" t="s">
        <v>288</v>
      </c>
      <c r="B33" s="115" t="s">
        <v>232</v>
      </c>
      <c r="C33" s="114">
        <v>440</v>
      </c>
      <c r="D33" s="116">
        <f>'Base de données indicateurs1'!BF41</f>
        <v>2762183.310000001</v>
      </c>
      <c r="E33" s="4">
        <f>'Base de données indicateurs1'!E41</f>
        <v>23418.3</v>
      </c>
      <c r="F33" s="4">
        <f>'Base de données indicateurs1'!F41</f>
        <v>14462.33</v>
      </c>
      <c r="G33" s="4">
        <f>'Base de données indicateurs1'!G41</f>
        <v>8419.7000000000007</v>
      </c>
      <c r="H33" s="4">
        <f>'Base de données indicateurs1'!H41</f>
        <v>8186.86</v>
      </c>
      <c r="I33" s="4">
        <f>'Base de données indicateurs1'!I41</f>
        <v>153171</v>
      </c>
      <c r="J33" s="4">
        <f>'Base de données indicateurs1'!J41</f>
        <v>129767.64</v>
      </c>
      <c r="K33" s="4">
        <f>'Base de données indicateurs1'!K41</f>
        <v>41256.25</v>
      </c>
      <c r="L33" s="4">
        <f>'Base de données indicateurs1'!L41</f>
        <v>889346.59</v>
      </c>
      <c r="M33" s="4">
        <f>'Base de données indicateurs1'!M41</f>
        <v>40171.1</v>
      </c>
      <c r="N33" s="4">
        <f>'Base de données indicateurs1'!N41</f>
        <v>0</v>
      </c>
      <c r="O33" s="4">
        <f>'Base de données indicateurs1'!O41</f>
        <v>135941.74</v>
      </c>
      <c r="P33" s="4">
        <f>'Base de données indicateurs1'!P41</f>
        <v>9076.1</v>
      </c>
      <c r="Q33" s="4">
        <f>'Base de données indicateurs1'!Q41</f>
        <v>4220.45</v>
      </c>
      <c r="R33" s="4">
        <f>'Base de données indicateurs1'!R41</f>
        <v>158.27000000000001</v>
      </c>
      <c r="S33" s="4">
        <f>'Base de données indicateurs1'!S41</f>
        <v>6042.65</v>
      </c>
      <c r="T33" s="4">
        <f>'Base de données indicateurs1'!T41</f>
        <v>18851.05</v>
      </c>
      <c r="U33" s="4">
        <f>'Base de données indicateurs1'!U41</f>
        <v>6215.75</v>
      </c>
      <c r="V33" s="4">
        <f>'Base de données indicateurs1'!V41</f>
        <v>10386.93</v>
      </c>
      <c r="W33" s="4">
        <f>'Base de données indicateurs1'!W41</f>
        <v>79792.3</v>
      </c>
      <c r="X33" s="4">
        <f>'Base de données indicateurs1'!X41</f>
        <v>3271</v>
      </c>
      <c r="Y33" s="4">
        <f>'Base de données indicateurs1'!Y41</f>
        <v>41377.25</v>
      </c>
      <c r="Z33" s="4">
        <f>'Base de données indicateurs1'!Z41</f>
        <v>36248.74</v>
      </c>
      <c r="AA33" s="4">
        <f>'Base de données indicateurs1'!AA41</f>
        <v>562</v>
      </c>
      <c r="AB33" s="4">
        <f>'Base de données indicateurs1'!AB41</f>
        <v>2678</v>
      </c>
      <c r="AC33" s="4">
        <f>'Base de données indicateurs1'!AC41</f>
        <v>8518.5499999999993</v>
      </c>
      <c r="AD33" s="4">
        <f>'Base de données indicateurs1'!AD41</f>
        <v>115681.05</v>
      </c>
      <c r="AE33" s="4">
        <f>'Base de données indicateurs1'!AE41</f>
        <v>10361.08</v>
      </c>
      <c r="AF33" s="4">
        <f>'Base de données indicateurs1'!AF41</f>
        <v>296.7</v>
      </c>
      <c r="AG33" s="4">
        <f>'Base de données indicateurs1'!AG41</f>
        <v>29889.65</v>
      </c>
      <c r="AH33" s="4">
        <f>'Base de données indicateurs1'!AH41</f>
        <v>41227.97</v>
      </c>
      <c r="AI33" s="4">
        <f>'Base de données indicateurs1'!AI41</f>
        <v>12342.43</v>
      </c>
      <c r="AJ33" s="4">
        <f>'Base de données indicateurs1'!AJ41</f>
        <v>4175.1000000000004</v>
      </c>
      <c r="AK33" s="4">
        <f>'Base de données indicateurs1'!AK41</f>
        <v>105842.76</v>
      </c>
      <c r="AL33" s="4">
        <f>'Base de données indicateurs1'!AL41</f>
        <v>26934</v>
      </c>
      <c r="AM33" s="4">
        <f>'Base de données indicateurs1'!AM41</f>
        <v>42752.800000000003</v>
      </c>
      <c r="AN33" s="4">
        <f>'Base de données indicateurs1'!AN41</f>
        <v>6870.04</v>
      </c>
      <c r="AO33" s="4">
        <f>'Base de données indicateurs1'!AO41</f>
        <v>28354.12</v>
      </c>
      <c r="AP33" s="4">
        <f>'Base de données indicateurs1'!AP41</f>
        <v>25847.45</v>
      </c>
      <c r="AQ33" s="4">
        <f>'Base de données indicateurs1'!AQ41</f>
        <v>16980.400000000001</v>
      </c>
      <c r="AR33" s="4">
        <f>'Base de données indicateurs1'!AR41</f>
        <v>31166.18</v>
      </c>
      <c r="AS33" s="4">
        <f>'Base de données indicateurs1'!AS41</f>
        <v>43080.91</v>
      </c>
      <c r="AT33" s="4">
        <f>'Base de données indicateurs1'!AT41</f>
        <v>66001.039999999994</v>
      </c>
      <c r="AU33" s="4">
        <f>'Base de données indicateurs1'!AU41</f>
        <v>4916.3500000000004</v>
      </c>
      <c r="AV33" s="4">
        <f>'Base de données indicateurs1'!AV41</f>
        <v>51808.72</v>
      </c>
      <c r="AW33" s="4">
        <f>'Base de données indicateurs1'!AW41</f>
        <v>15471.29</v>
      </c>
      <c r="AX33" s="4">
        <f>'Base de données indicateurs1'!AX41</f>
        <v>3549.64</v>
      </c>
      <c r="AY33" s="4">
        <f>'Base de données indicateurs1'!AY41</f>
        <v>8404.1</v>
      </c>
      <c r="AZ33" s="4">
        <f>'Base de données indicateurs1'!AZ41</f>
        <v>52198.84</v>
      </c>
      <c r="BA33" s="4">
        <f>'Base de données indicateurs1'!BA41</f>
        <v>12193.98</v>
      </c>
      <c r="BB33" s="4">
        <f>'Base de données indicateurs1'!BB41</f>
        <v>38820</v>
      </c>
      <c r="BC33" s="4">
        <f>'Base de données indicateurs1'!BC41</f>
        <v>3699.85</v>
      </c>
      <c r="BD33" s="4">
        <f>'Base de données indicateurs1'!BD41</f>
        <v>268547.32</v>
      </c>
      <c r="BE33" s="4">
        <f>'Base de données indicateurs1'!BE41</f>
        <v>23228.99</v>
      </c>
      <c r="BF33" s="4">
        <f t="shared" si="0"/>
        <v>1578885.01</v>
      </c>
      <c r="BG33" s="4">
        <f t="shared" si="1"/>
        <v>306629.51999999996</v>
      </c>
      <c r="BH33" s="4">
        <f t="shared" si="2"/>
        <v>876668.78</v>
      </c>
    </row>
    <row r="34" spans="1:60" x14ac:dyDescent="0.3">
      <c r="A34" s="114" t="s">
        <v>548</v>
      </c>
      <c r="B34" s="115" t="s">
        <v>231</v>
      </c>
      <c r="C34" s="114">
        <v>33</v>
      </c>
      <c r="D34" s="116">
        <f>'Base de données indicateurs1'!BF20</f>
        <v>17465661.400000006</v>
      </c>
      <c r="E34" s="4">
        <f>'Base de données indicateurs1'!E20</f>
        <v>487774.58</v>
      </c>
      <c r="F34" s="4">
        <f>'Base de données indicateurs1'!F20</f>
        <v>50349</v>
      </c>
      <c r="G34" s="4">
        <f>'Base de données indicateurs1'!G20</f>
        <v>26490.3</v>
      </c>
      <c r="H34" s="4">
        <f>'Base de données indicateurs1'!H20</f>
        <v>93840</v>
      </c>
      <c r="I34" s="4">
        <f>'Base de données indicateurs1'!I20</f>
        <v>497197</v>
      </c>
      <c r="J34" s="4">
        <f>'Base de données indicateurs1'!J20</f>
        <v>834227.87</v>
      </c>
      <c r="K34" s="4">
        <f>'Base de données indicateurs1'!K20</f>
        <v>436693.95</v>
      </c>
      <c r="L34" s="4">
        <f>'Base de données indicateurs1'!L20</f>
        <v>3184573.05</v>
      </c>
      <c r="M34" s="4">
        <f>'Base de données indicateurs1'!M20</f>
        <v>192920</v>
      </c>
      <c r="N34" s="4">
        <f>'Base de données indicateurs1'!N20</f>
        <v>0</v>
      </c>
      <c r="O34" s="4">
        <f>'Base de données indicateurs1'!O20</f>
        <v>1048101.7</v>
      </c>
      <c r="P34" s="4">
        <f>'Base de données indicateurs1'!P20</f>
        <v>137078</v>
      </c>
      <c r="Q34" s="4">
        <f>'Base de données indicateurs1'!Q20</f>
        <v>12845</v>
      </c>
      <c r="R34" s="4">
        <f>'Base de données indicateurs1'!R20</f>
        <v>81200</v>
      </c>
      <c r="S34" s="4">
        <f>'Base de données indicateurs1'!S20</f>
        <v>67550</v>
      </c>
      <c r="T34" s="4">
        <f>'Base de données indicateurs1'!T20</f>
        <v>102560</v>
      </c>
      <c r="U34" s="4">
        <f>'Base de données indicateurs1'!U20</f>
        <v>21086</v>
      </c>
      <c r="V34" s="4">
        <f>'Base de données indicateurs1'!V20</f>
        <v>149609.54999999999</v>
      </c>
      <c r="W34" s="4">
        <f>'Base de données indicateurs1'!W20</f>
        <v>849975.67</v>
      </c>
      <c r="X34" s="4">
        <f>'Base de données indicateurs1'!X20</f>
        <v>51671</v>
      </c>
      <c r="Y34" s="4">
        <f>'Base de données indicateurs1'!Y20</f>
        <v>216817</v>
      </c>
      <c r="Z34" s="4">
        <f>'Base de données indicateurs1'!Z20</f>
        <v>268500</v>
      </c>
      <c r="AA34" s="4">
        <f>'Base de données indicateurs1'!AA20</f>
        <v>40237</v>
      </c>
      <c r="AB34" s="4">
        <f>'Base de données indicateurs1'!AB20</f>
        <v>700</v>
      </c>
      <c r="AC34" s="4">
        <f>'Base de données indicateurs1'!AC20</f>
        <v>59546.8</v>
      </c>
      <c r="AD34" s="4">
        <f>'Base de données indicateurs1'!AD20</f>
        <v>118375</v>
      </c>
      <c r="AE34" s="4">
        <f>'Base de données indicateurs1'!AE20</f>
        <v>112900</v>
      </c>
      <c r="AF34" s="4">
        <f>'Base de données indicateurs1'!AF20</f>
        <v>46101.55</v>
      </c>
      <c r="AG34" s="4">
        <f>'Base de données indicateurs1'!AG20</f>
        <v>439539</v>
      </c>
      <c r="AH34" s="4">
        <f>'Base de données indicateurs1'!AH20</f>
        <v>966285</v>
      </c>
      <c r="AI34" s="4">
        <f>'Base de données indicateurs1'!AI20</f>
        <v>47194</v>
      </c>
      <c r="AJ34" s="4">
        <f>'Base de données indicateurs1'!AJ20</f>
        <v>4720</v>
      </c>
      <c r="AK34" s="4">
        <f>'Base de données indicateurs1'!AK20</f>
        <v>0</v>
      </c>
      <c r="AL34" s="4">
        <f>'Base de données indicateurs1'!AL20</f>
        <v>236997</v>
      </c>
      <c r="AM34" s="4">
        <f>'Base de données indicateurs1'!AM20</f>
        <v>172530</v>
      </c>
      <c r="AN34" s="4">
        <f>'Base de données indicateurs1'!AN20</f>
        <v>18600</v>
      </c>
      <c r="AO34" s="4">
        <f>'Base de données indicateurs1'!AO20</f>
        <v>371459</v>
      </c>
      <c r="AP34" s="4">
        <f>'Base de données indicateurs1'!AP20</f>
        <v>54350</v>
      </c>
      <c r="AQ34" s="4">
        <f>'Base de données indicateurs1'!AQ20</f>
        <v>151720</v>
      </c>
      <c r="AR34" s="4">
        <f>'Base de données indicateurs1'!AR20</f>
        <v>509414.85</v>
      </c>
      <c r="AS34" s="4">
        <f>'Base de données indicateurs1'!AS20</f>
        <v>99234.8</v>
      </c>
      <c r="AT34" s="4">
        <f>'Base de données indicateurs1'!AT20</f>
        <v>150006.67000000001</v>
      </c>
      <c r="AU34" s="4">
        <f>'Base de données indicateurs1'!AU20</f>
        <v>432093.9</v>
      </c>
      <c r="AV34" s="4">
        <f>'Base de données indicateurs1'!AV20</f>
        <v>337553.91</v>
      </c>
      <c r="AW34" s="4">
        <f>'Base de données indicateurs1'!AW20</f>
        <v>70004.160000000003</v>
      </c>
      <c r="AX34" s="4">
        <f>'Base de données indicateurs1'!AX20</f>
        <v>11750</v>
      </c>
      <c r="AY34" s="4">
        <f>'Base de données indicateurs1'!AY20</f>
        <v>141500</v>
      </c>
      <c r="AZ34" s="4">
        <f>'Base de données indicateurs1'!AZ20</f>
        <v>451323.05</v>
      </c>
      <c r="BA34" s="4">
        <f>'Base de données indicateurs1'!BA20</f>
        <v>29040</v>
      </c>
      <c r="BB34" s="4">
        <f>'Base de données indicateurs1'!BB20</f>
        <v>381409.63</v>
      </c>
      <c r="BC34" s="4">
        <f>'Base de données indicateurs1'!BC20</f>
        <v>12476</v>
      </c>
      <c r="BD34" s="4">
        <f>'Base de données indicateurs1'!BD20</f>
        <v>3089940.09</v>
      </c>
      <c r="BE34" s="4">
        <f>'Base de données indicateurs1'!BE20</f>
        <v>97600.320000000007</v>
      </c>
      <c r="BF34" s="4">
        <f t="shared" si="0"/>
        <v>8274071.6699999999</v>
      </c>
      <c r="BG34" s="4">
        <f t="shared" si="1"/>
        <v>2372586.35</v>
      </c>
      <c r="BH34" s="4">
        <f t="shared" si="2"/>
        <v>6819003.3800000008</v>
      </c>
    </row>
    <row r="35" spans="1:60" x14ac:dyDescent="0.3">
      <c r="A35" s="114" t="s">
        <v>542</v>
      </c>
      <c r="B35" s="115" t="s">
        <v>231</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3">
      <c r="A36" s="114" t="s">
        <v>116</v>
      </c>
      <c r="B36" s="115" t="s">
        <v>231</v>
      </c>
      <c r="C36" s="114">
        <v>365</v>
      </c>
      <c r="D36" s="116">
        <f>'Base de données indicateurs1'!BF29</f>
        <v>8100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8100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8100</v>
      </c>
      <c r="BG36" s="4">
        <f t="shared" si="1"/>
        <v>0</v>
      </c>
      <c r="BH36" s="4">
        <f t="shared" si="2"/>
        <v>0</v>
      </c>
    </row>
    <row r="37" spans="1:60" x14ac:dyDescent="0.3">
      <c r="A37" s="114" t="s">
        <v>549</v>
      </c>
      <c r="B37" s="115" t="s">
        <v>231</v>
      </c>
      <c r="C37" s="114">
        <v>366</v>
      </c>
      <c r="D37" s="116">
        <f>'Base de données indicateurs1'!BF30</f>
        <v>15247.55</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15247.55</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15247.55</v>
      </c>
      <c r="BG37" s="4">
        <f t="shared" si="1"/>
        <v>0</v>
      </c>
      <c r="BH37" s="4">
        <f t="shared" si="2"/>
        <v>0</v>
      </c>
    </row>
    <row r="38" spans="1:60" ht="15" thickBot="1" x14ac:dyDescent="0.35">
      <c r="A38" s="117"/>
      <c r="B38" s="118"/>
      <c r="C38" s="117"/>
      <c r="D38" s="119"/>
      <c r="BF38" s="4"/>
      <c r="BG38" s="4"/>
      <c r="BH38" s="4"/>
    </row>
    <row r="39" spans="1:60" ht="15" thickBot="1" x14ac:dyDescent="0.35">
      <c r="A39" s="7" t="s">
        <v>550</v>
      </c>
      <c r="B39" s="64"/>
      <c r="C39" s="7"/>
      <c r="D39" s="120">
        <f>SUM(D32,D34:D37)-D33</f>
        <v>20535541.960000005</v>
      </c>
      <c r="E39" s="144">
        <f>SUM(E32,E34:E37)-E33</f>
        <v>490313.37000000005</v>
      </c>
      <c r="F39" s="129">
        <f t="shared" ref="F39:BE39" si="5">SUM(F32,F34:F37)-F33</f>
        <v>70627.87</v>
      </c>
      <c r="G39" s="129">
        <f t="shared" si="5"/>
        <v>81156.75</v>
      </c>
      <c r="H39" s="129">
        <f t="shared" si="5"/>
        <v>148475.86000000002</v>
      </c>
      <c r="I39" s="129">
        <f t="shared" si="5"/>
        <v>657697</v>
      </c>
      <c r="J39" s="129">
        <f t="shared" si="5"/>
        <v>935409.35</v>
      </c>
      <c r="K39" s="129">
        <f t="shared" si="5"/>
        <v>489739.66000000003</v>
      </c>
      <c r="L39" s="129">
        <f t="shared" si="5"/>
        <v>3394015.21</v>
      </c>
      <c r="M39" s="129">
        <f t="shared" si="5"/>
        <v>204938.66</v>
      </c>
      <c r="N39" s="129">
        <f t="shared" si="5"/>
        <v>0</v>
      </c>
      <c r="O39" s="129">
        <f t="shared" si="5"/>
        <v>1209006.1600000001</v>
      </c>
      <c r="P39" s="129">
        <f t="shared" si="5"/>
        <v>167217.66</v>
      </c>
      <c r="Q39" s="129">
        <f t="shared" si="5"/>
        <v>17720.079999999998</v>
      </c>
      <c r="R39" s="129">
        <f t="shared" si="5"/>
        <v>117919.09999999999</v>
      </c>
      <c r="S39" s="129">
        <f t="shared" si="5"/>
        <v>118352.28</v>
      </c>
      <c r="T39" s="129">
        <f t="shared" si="5"/>
        <v>135983.15000000002</v>
      </c>
      <c r="U39" s="129">
        <f t="shared" si="5"/>
        <v>28086.989999999998</v>
      </c>
      <c r="V39" s="129">
        <f t="shared" si="5"/>
        <v>193429.87</v>
      </c>
      <c r="W39" s="129">
        <f t="shared" si="5"/>
        <v>964694.91999999993</v>
      </c>
      <c r="X39" s="129">
        <f t="shared" si="5"/>
        <v>49427</v>
      </c>
      <c r="Y39" s="129">
        <f t="shared" si="5"/>
        <v>337217.45</v>
      </c>
      <c r="Z39" s="129">
        <f t="shared" si="5"/>
        <v>244350.19</v>
      </c>
      <c r="AA39" s="129">
        <f t="shared" si="5"/>
        <v>44531</v>
      </c>
      <c r="AB39" s="129">
        <f t="shared" si="5"/>
        <v>1313.6</v>
      </c>
      <c r="AC39" s="129">
        <f t="shared" si="5"/>
        <v>81081.81</v>
      </c>
      <c r="AD39" s="129">
        <f t="shared" si="5"/>
        <v>99839.61</v>
      </c>
      <c r="AE39" s="129">
        <f t="shared" si="5"/>
        <v>140699.63</v>
      </c>
      <c r="AF39" s="129">
        <f t="shared" si="5"/>
        <v>48537.850000000006</v>
      </c>
      <c r="AG39" s="129">
        <f t="shared" si="5"/>
        <v>497729.44999999995</v>
      </c>
      <c r="AH39" s="129">
        <f t="shared" si="5"/>
        <v>1112402.03</v>
      </c>
      <c r="AI39" s="129">
        <f t="shared" si="5"/>
        <v>49402.94</v>
      </c>
      <c r="AJ39" s="129">
        <f t="shared" si="5"/>
        <v>5210.1799999999985</v>
      </c>
      <c r="AK39" s="129">
        <f t="shared" si="5"/>
        <v>37304.61</v>
      </c>
      <c r="AL39" s="129">
        <f t="shared" si="5"/>
        <v>324685</v>
      </c>
      <c r="AM39" s="129">
        <f t="shared" si="5"/>
        <v>239104.60000000003</v>
      </c>
      <c r="AN39" s="129">
        <f t="shared" si="5"/>
        <v>11729.96</v>
      </c>
      <c r="AO39" s="129">
        <f t="shared" si="5"/>
        <v>414383.51</v>
      </c>
      <c r="AP39" s="129">
        <f t="shared" si="5"/>
        <v>82172.7</v>
      </c>
      <c r="AQ39" s="129">
        <f t="shared" si="5"/>
        <v>182441.60000000001</v>
      </c>
      <c r="AR39" s="129">
        <f t="shared" si="5"/>
        <v>567881.18999999994</v>
      </c>
      <c r="AS39" s="129">
        <f t="shared" si="5"/>
        <v>131374.51999999999</v>
      </c>
      <c r="AT39" s="129">
        <f t="shared" si="5"/>
        <v>205773.08000000002</v>
      </c>
      <c r="AU39" s="129">
        <f t="shared" si="5"/>
        <v>450381.80000000005</v>
      </c>
      <c r="AV39" s="129">
        <f t="shared" si="5"/>
        <v>486044.97</v>
      </c>
      <c r="AW39" s="129">
        <f t="shared" si="5"/>
        <v>101798.78</v>
      </c>
      <c r="AX39" s="129">
        <f t="shared" si="5"/>
        <v>15549.16</v>
      </c>
      <c r="AY39" s="129">
        <f t="shared" si="5"/>
        <v>149609.96</v>
      </c>
      <c r="AZ39" s="129">
        <f t="shared" si="5"/>
        <v>716194.39</v>
      </c>
      <c r="BA39" s="129">
        <f t="shared" si="5"/>
        <v>26968.780000000002</v>
      </c>
      <c r="BB39" s="129">
        <f t="shared" si="5"/>
        <v>434499.77</v>
      </c>
      <c r="BC39" s="129">
        <f t="shared" si="5"/>
        <v>8776.15</v>
      </c>
      <c r="BD39" s="129">
        <f t="shared" si="5"/>
        <v>3690227.77</v>
      </c>
      <c r="BE39" s="129">
        <f t="shared" si="5"/>
        <v>122112.98</v>
      </c>
      <c r="BF39" s="4">
        <f t="shared" si="0"/>
        <v>9424783.9400000013</v>
      </c>
      <c r="BG39" s="4">
        <f t="shared" si="1"/>
        <v>2711742.74</v>
      </c>
      <c r="BH39" s="4">
        <f t="shared" si="2"/>
        <v>8399015.2800000012</v>
      </c>
    </row>
    <row r="40" spans="1:60" ht="15" thickBot="1" x14ac:dyDescent="0.35">
      <c r="A40" s="7"/>
      <c r="B40" s="64"/>
      <c r="C40" s="7"/>
      <c r="D40" s="129"/>
      <c r="BF40" s="4"/>
      <c r="BG40" s="4"/>
      <c r="BH40" s="4"/>
    </row>
    <row r="41" spans="1:60" ht="15" thickBot="1" x14ac:dyDescent="0.35">
      <c r="A41" s="7" t="s">
        <v>532</v>
      </c>
      <c r="B41" s="64"/>
      <c r="C41" s="7"/>
      <c r="D41" s="141">
        <f>'Quotité d''intéret + revenus det'!D23</f>
        <v>211051448.30999997</v>
      </c>
      <c r="E41" s="4">
        <f>'Quotité d''intéret + revenus det'!E23</f>
        <v>3316356.05</v>
      </c>
      <c r="F41" s="4">
        <f>'Quotité d''intéret + revenus det'!F23</f>
        <v>708479.36</v>
      </c>
      <c r="G41" s="4">
        <f>'Quotité d''intéret + revenus det'!G23</f>
        <v>1151250.3</v>
      </c>
      <c r="H41" s="4">
        <f>'Quotité d''intéret + revenus det'!H23</f>
        <v>1031246.7000000001</v>
      </c>
      <c r="I41" s="4">
        <f>'Quotité d''intéret + revenus det'!I23</f>
        <v>7505998</v>
      </c>
      <c r="J41" s="4">
        <f>'Quotité d''intéret + revenus det'!J23</f>
        <v>9386117.5500000007</v>
      </c>
      <c r="K41" s="4">
        <f>'Quotité d''intéret + revenus det'!K23</f>
        <v>7074662.6100000003</v>
      </c>
      <c r="L41" s="4">
        <f>'Quotité d''intéret + revenus det'!L23</f>
        <v>36177201.799999997</v>
      </c>
      <c r="M41" s="4">
        <f>'Quotité d''intéret + revenus det'!M23</f>
        <v>3378882.63</v>
      </c>
      <c r="N41" s="4">
        <f>'Quotité d''intéret + revenus det'!N23</f>
        <v>0</v>
      </c>
      <c r="O41" s="4">
        <f>'Quotité d''intéret + revenus det'!O23</f>
        <v>16408899.699999999</v>
      </c>
      <c r="P41" s="4">
        <f>'Quotité d''intéret + revenus det'!P23</f>
        <v>1223857</v>
      </c>
      <c r="Q41" s="4">
        <f>'Quotité d''intéret + revenus det'!Q23</f>
        <v>187655.7</v>
      </c>
      <c r="R41" s="4">
        <f>'Quotité d''intéret + revenus det'!R23</f>
        <v>989182.65</v>
      </c>
      <c r="S41" s="4">
        <f>'Quotité d''intéret + revenus det'!S23</f>
        <v>722909.15</v>
      </c>
      <c r="T41" s="4">
        <f>'Quotité d''intéret + revenus det'!T23</f>
        <v>1998942.1</v>
      </c>
      <c r="U41" s="4">
        <f>'Quotité d''intéret + revenus det'!U23</f>
        <v>596548.80000000005</v>
      </c>
      <c r="V41" s="4">
        <f>'Quotité d''intéret + revenus det'!V23</f>
        <v>1298541.25</v>
      </c>
      <c r="W41" s="4">
        <f>'Quotité d''intéret + revenus det'!W23</f>
        <v>7360026.75</v>
      </c>
      <c r="X41" s="4">
        <f>'Quotité d''intéret + revenus det'!X23</f>
        <v>848811</v>
      </c>
      <c r="Y41" s="4">
        <f>'Quotité d''intéret + revenus det'!Y23</f>
        <v>3758598.17</v>
      </c>
      <c r="Z41" s="4">
        <f>'Quotité d''intéret + revenus det'!Z23</f>
        <v>9516564.6999999993</v>
      </c>
      <c r="AA41" s="4">
        <f>'Quotité d''intéret + revenus det'!AA23</f>
        <v>50942</v>
      </c>
      <c r="AB41" s="4">
        <f>'Quotité d''intéret + revenus det'!AB23</f>
        <v>286207.2</v>
      </c>
      <c r="AC41" s="4">
        <f>'Quotité d''intéret + revenus det'!AC23</f>
        <v>857901.03</v>
      </c>
      <c r="AD41" s="4">
        <f>'Quotité d''intéret + revenus det'!AD23</f>
        <v>1168568.55</v>
      </c>
      <c r="AE41" s="4">
        <f>'Quotité d''intéret + revenus det'!AE23</f>
        <v>1230165.25</v>
      </c>
      <c r="AF41" s="4">
        <f>'Quotité d''intéret + revenus det'!AF23</f>
        <v>1252296.1499999999</v>
      </c>
      <c r="AG41" s="4">
        <f>'Quotité d''intéret + revenus det'!AG23</f>
        <v>6915032.8499999996</v>
      </c>
      <c r="AH41" s="4">
        <f>'Quotité d''intéret + revenus det'!AH23</f>
        <v>7675902</v>
      </c>
      <c r="AI41" s="4">
        <f>'Quotité d''intéret + revenus det'!AI23</f>
        <v>521416.35</v>
      </c>
      <c r="AJ41" s="4">
        <f>'Quotité d''intéret + revenus det'!AJ23</f>
        <v>298886.64999999997</v>
      </c>
      <c r="AK41" s="4">
        <f>'Quotité d''intéret + revenus det'!AK23</f>
        <v>5427042.9000000004</v>
      </c>
      <c r="AL41" s="4">
        <f>'Quotité d''intéret + revenus det'!AL23</f>
        <v>2482113.44</v>
      </c>
      <c r="AM41" s="4">
        <f>'Quotité d''intéret + revenus det'!AM23</f>
        <v>2961017.4</v>
      </c>
      <c r="AN41" s="4">
        <f>'Quotité d''intéret + revenus det'!AN23</f>
        <v>334540.34999999998</v>
      </c>
      <c r="AO41" s="4">
        <f>'Quotité d''intéret + revenus det'!AO23</f>
        <v>6828835.9500000002</v>
      </c>
      <c r="AP41" s="4">
        <f>'Quotité d''intéret + revenus det'!AP23</f>
        <v>1931797.0799999998</v>
      </c>
      <c r="AQ41" s="4">
        <f>'Quotité d''intéret + revenus det'!AQ23</f>
        <v>1951760</v>
      </c>
      <c r="AR41" s="4">
        <f>'Quotité d''intéret + revenus det'!AR23</f>
        <v>3322751.6</v>
      </c>
      <c r="AS41" s="4">
        <f>'Quotité d''intéret + revenus det'!AS23</f>
        <v>1689242</v>
      </c>
      <c r="AT41" s="4">
        <f>'Quotité d''intéret + revenus det'!AT23</f>
        <v>2391707.9500000002</v>
      </c>
      <c r="AU41" s="4">
        <f>'Quotité d''intéret + revenus det'!AU23</f>
        <v>2254217.35</v>
      </c>
      <c r="AV41" s="4">
        <f>'Quotité d''intéret + revenus det'!AV23</f>
        <v>5553039.5300000003</v>
      </c>
      <c r="AW41" s="4">
        <f>'Quotité d''intéret + revenus det'!AW23</f>
        <v>2202056.9</v>
      </c>
      <c r="AX41" s="4">
        <f>'Quotité d''intéret + revenus det'!AX23</f>
        <v>378808.9</v>
      </c>
      <c r="AY41" s="4">
        <f>'Quotité d''intéret + revenus det'!AY23</f>
        <v>902646.45</v>
      </c>
      <c r="AZ41" s="4">
        <f>'Quotité d''intéret + revenus det'!AZ23</f>
        <v>4857539.6000000006</v>
      </c>
      <c r="BA41" s="4">
        <f>'Quotité d''intéret + revenus det'!BA23</f>
        <v>984706.9</v>
      </c>
      <c r="BB41" s="4">
        <f>'Quotité d''intéret + revenus det'!BB23</f>
        <v>3613483.71</v>
      </c>
      <c r="BC41" s="4">
        <f>'Quotité d''intéret + revenus det'!BC23</f>
        <v>341683.35</v>
      </c>
      <c r="BD41" s="4">
        <f>'Quotité d''intéret + revenus det'!BD23</f>
        <v>24686130.600000001</v>
      </c>
      <c r="BE41" s="4">
        <f>'Quotité d''intéret + revenus det'!BE23</f>
        <v>1058276.3500000001</v>
      </c>
      <c r="BF41" s="4">
        <f t="shared" si="0"/>
        <v>100516758.10000001</v>
      </c>
      <c r="BG41" s="4">
        <f t="shared" si="1"/>
        <v>34381291.899999999</v>
      </c>
      <c r="BH41" s="4">
        <f t="shared" si="2"/>
        <v>76153398.310000002</v>
      </c>
    </row>
    <row r="42" spans="1:60" ht="15" thickBot="1" x14ac:dyDescent="0.35">
      <c r="B42" s="121"/>
      <c r="D42" s="4"/>
      <c r="BF42" s="4"/>
      <c r="BG42" s="4"/>
      <c r="BH42" s="4"/>
    </row>
    <row r="43" spans="1:60" ht="15" thickBot="1" x14ac:dyDescent="0.35">
      <c r="A43" s="7" t="s">
        <v>551</v>
      </c>
      <c r="B43" s="121"/>
      <c r="D43" s="120">
        <f>IF(D41&lt;&gt;0,D39/D41,"")*100</f>
        <v>9.7301118397617721</v>
      </c>
      <c r="E43" s="144">
        <f>IF(E41&lt;&gt;0,E39/E41,"")*100</f>
        <v>14.784702324106608</v>
      </c>
      <c r="F43" s="129">
        <f t="shared" ref="F43:BH43" si="6">IF(F41&lt;&gt;0,F39/F41,"")*100</f>
        <v>9.968938262365187</v>
      </c>
      <c r="G43" s="129">
        <f t="shared" si="6"/>
        <v>7.0494444170828885</v>
      </c>
      <c r="H43" s="129">
        <f t="shared" si="6"/>
        <v>14.397705224171869</v>
      </c>
      <c r="I43" s="129">
        <f t="shared" si="6"/>
        <v>8.7622858412698754</v>
      </c>
      <c r="J43" s="129">
        <f t="shared" si="6"/>
        <v>9.9658814735385448</v>
      </c>
      <c r="K43" s="129">
        <f t="shared" si="6"/>
        <v>6.9224454507237629</v>
      </c>
      <c r="L43" s="129">
        <f t="shared" si="6"/>
        <v>9.3816410367039502</v>
      </c>
      <c r="M43" s="129">
        <f t="shared" si="6"/>
        <v>6.0652790416694646</v>
      </c>
      <c r="N43" s="129" t="e">
        <f t="shared" si="6"/>
        <v>#VALUE!</v>
      </c>
      <c r="O43" s="129">
        <f t="shared" si="6"/>
        <v>7.3679904326552759</v>
      </c>
      <c r="P43" s="129">
        <f t="shared" si="6"/>
        <v>13.663169798432333</v>
      </c>
      <c r="Q43" s="129">
        <f t="shared" si="6"/>
        <v>9.442867975766255</v>
      </c>
      <c r="R43" s="129">
        <f t="shared" si="6"/>
        <v>11.920862138049024</v>
      </c>
      <c r="S43" s="129">
        <f t="shared" si="6"/>
        <v>16.371667172839079</v>
      </c>
      <c r="T43" s="129">
        <f t="shared" si="6"/>
        <v>6.8027558176897678</v>
      </c>
      <c r="U43" s="129">
        <f t="shared" si="6"/>
        <v>4.7082468357995184</v>
      </c>
      <c r="V43" s="129">
        <f t="shared" si="6"/>
        <v>14.895935727879264</v>
      </c>
      <c r="W43" s="129">
        <f t="shared" si="6"/>
        <v>13.107220296447972</v>
      </c>
      <c r="X43" s="129">
        <f t="shared" si="6"/>
        <v>5.8230866470863365</v>
      </c>
      <c r="Y43" s="129">
        <f t="shared" si="6"/>
        <v>8.9718941676598529</v>
      </c>
      <c r="Z43" s="129">
        <f t="shared" si="6"/>
        <v>2.5676302079888136</v>
      </c>
      <c r="AA43" s="129">
        <f t="shared" si="6"/>
        <v>87.415099524949952</v>
      </c>
      <c r="AB43" s="129">
        <f t="shared" si="6"/>
        <v>0.45896818808192102</v>
      </c>
      <c r="AC43" s="129">
        <f t="shared" si="6"/>
        <v>9.4511845964329932</v>
      </c>
      <c r="AD43" s="129">
        <f t="shared" si="6"/>
        <v>8.5437529531322749</v>
      </c>
      <c r="AE43" s="129">
        <f t="shared" si="6"/>
        <v>11.437457691151657</v>
      </c>
      <c r="AF43" s="129">
        <f t="shared" si="6"/>
        <v>3.8759082665869418</v>
      </c>
      <c r="AG43" s="129">
        <f t="shared" si="6"/>
        <v>7.1977886554797781</v>
      </c>
      <c r="AH43" s="129">
        <f t="shared" si="6"/>
        <v>14.492134344602107</v>
      </c>
      <c r="AI43" s="129">
        <f t="shared" si="6"/>
        <v>9.4747585111207204</v>
      </c>
      <c r="AJ43" s="129">
        <f t="shared" si="6"/>
        <v>1.7431959573972269</v>
      </c>
      <c r="AK43" s="129">
        <f t="shared" si="6"/>
        <v>0.68738373157138666</v>
      </c>
      <c r="AL43" s="129">
        <f t="shared" si="6"/>
        <v>13.080989561863055</v>
      </c>
      <c r="AM43" s="129">
        <f t="shared" si="6"/>
        <v>8.0750825712810759</v>
      </c>
      <c r="AN43" s="129">
        <f t="shared" si="6"/>
        <v>3.50629154300819</v>
      </c>
      <c r="AO43" s="129">
        <f t="shared" si="6"/>
        <v>6.0681426971459169</v>
      </c>
      <c r="AP43" s="129">
        <f t="shared" si="6"/>
        <v>4.2536921113888422</v>
      </c>
      <c r="AQ43" s="129">
        <f t="shared" si="6"/>
        <v>9.3475427306636067</v>
      </c>
      <c r="AR43" s="129">
        <f t="shared" si="6"/>
        <v>17.090690438611176</v>
      </c>
      <c r="AS43" s="129">
        <f t="shared" si="6"/>
        <v>7.7771284398564555</v>
      </c>
      <c r="AT43" s="129">
        <f t="shared" si="6"/>
        <v>8.6036039642716418</v>
      </c>
      <c r="AU43" s="129">
        <f t="shared" si="6"/>
        <v>19.979519721112961</v>
      </c>
      <c r="AV43" s="129">
        <f t="shared" si="6"/>
        <v>8.7527734563056487</v>
      </c>
      <c r="AW43" s="129">
        <f t="shared" si="6"/>
        <v>4.622895075962842</v>
      </c>
      <c r="AX43" s="129">
        <f t="shared" si="6"/>
        <v>4.1047504427694275</v>
      </c>
      <c r="AY43" s="129">
        <f t="shared" si="6"/>
        <v>16.574591303161942</v>
      </c>
      <c r="AZ43" s="129">
        <f t="shared" si="6"/>
        <v>14.743974295134926</v>
      </c>
      <c r="BA43" s="129">
        <f t="shared" si="6"/>
        <v>2.7387621636448372</v>
      </c>
      <c r="BB43" s="129">
        <f t="shared" si="6"/>
        <v>12.024400962361057</v>
      </c>
      <c r="BC43" s="129">
        <f t="shared" si="6"/>
        <v>2.568503850129074</v>
      </c>
      <c r="BD43" s="129">
        <f t="shared" si="6"/>
        <v>14.948587244369516</v>
      </c>
      <c r="BE43" s="129">
        <f t="shared" si="6"/>
        <v>11.53885561176908</v>
      </c>
      <c r="BF43" s="129">
        <f t="shared" si="6"/>
        <v>9.3763309901257159</v>
      </c>
      <c r="BG43" s="129">
        <f t="shared" si="6"/>
        <v>7.8872624911456581</v>
      </c>
      <c r="BH43" s="129">
        <f t="shared" si="6"/>
        <v>11.029074823174495</v>
      </c>
    </row>
    <row r="44" spans="1:60" x14ac:dyDescent="0.3">
      <c r="A44" s="123" t="s">
        <v>552</v>
      </c>
      <c r="B44" s="121"/>
      <c r="D44" s="4"/>
    </row>
    <row r="45" spans="1:60" x14ac:dyDescent="0.3">
      <c r="D45" s="4"/>
    </row>
    <row r="46" spans="1:60" x14ac:dyDescent="0.3">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8" spans="1:60" ht="18" x14ac:dyDescent="0.35">
      <c r="A8" s="220" t="s">
        <v>505</v>
      </c>
      <c r="B8" s="220"/>
      <c r="C8" s="220"/>
      <c r="D8" s="220"/>
    </row>
    <row r="10" spans="1:60" x14ac:dyDescent="0.3">
      <c r="A10" s="7" t="s">
        <v>553</v>
      </c>
      <c r="B10" s="110"/>
      <c r="C10" s="65" t="s">
        <v>507</v>
      </c>
      <c r="D10" s="65" t="s">
        <v>508</v>
      </c>
      <c r="E10" s="146">
        <f>'4.1 Comptes 2020 natures'!E2</f>
        <v>923</v>
      </c>
      <c r="F10" s="146">
        <f>'4.1 Comptes 2020 natures'!F2</f>
        <v>270</v>
      </c>
      <c r="G10" s="146">
        <f>'4.1 Comptes 2020 natures'!G2</f>
        <v>485</v>
      </c>
      <c r="H10" s="146">
        <f>'4.1 Comptes 2020 natures'!H2</f>
        <v>446</v>
      </c>
      <c r="I10" s="146">
        <f>'4.1 Comptes 2020 natures'!I2</f>
        <v>3631</v>
      </c>
      <c r="J10" s="146">
        <f>'4.1 Comptes 2020 natures'!J2</f>
        <v>3313</v>
      </c>
      <c r="K10" s="146">
        <f>'4.1 Comptes 2020 natures'!K2</f>
        <v>2644</v>
      </c>
      <c r="L10" s="147">
        <f>'4.1 Comptes 2020 natures'!L2</f>
        <v>12618</v>
      </c>
      <c r="M10" s="147">
        <f>'4.1 Comptes 2020 natures'!M2</f>
        <v>1371</v>
      </c>
      <c r="N10" s="147">
        <f>'4.1 Comptes 2020 natures'!N2</f>
        <v>118</v>
      </c>
      <c r="O10" s="147">
        <f>'4.1 Comptes 2020 natures'!O2</f>
        <v>7167</v>
      </c>
      <c r="P10" s="147">
        <f>'4.1 Comptes 2020 natures'!P2</f>
        <v>528</v>
      </c>
      <c r="Q10" s="147">
        <f>'4.1 Comptes 2020 natures'!Q2</f>
        <v>108</v>
      </c>
      <c r="R10" s="147">
        <f>'4.1 Comptes 2020 natures'!R2</f>
        <v>415</v>
      </c>
      <c r="S10" s="147">
        <f>'4.1 Comptes 2020 natures'!S2</f>
        <v>349</v>
      </c>
      <c r="T10" s="147">
        <f>'4.1 Comptes 2020 natures'!T2</f>
        <v>687</v>
      </c>
      <c r="U10" s="147">
        <f>'4.1 Comptes 2020 natures'!U2</f>
        <v>255</v>
      </c>
      <c r="V10" s="147">
        <f>'4.1 Comptes 2020 natures'!V2</f>
        <v>436</v>
      </c>
      <c r="W10" s="147">
        <f>'4.1 Comptes 2020 natures'!W2</f>
        <v>3190</v>
      </c>
      <c r="X10" s="148">
        <f>'4.1 Comptes 2020 natures'!X2</f>
        <v>324</v>
      </c>
      <c r="Y10" s="148">
        <f>'4.1 Comptes 2020 natures'!Y2</f>
        <v>1246</v>
      </c>
      <c r="Z10" s="148">
        <f>'4.1 Comptes 2020 natures'!Z2</f>
        <v>1528</v>
      </c>
      <c r="AA10" s="148">
        <f>'4.1 Comptes 2020 natures'!AA2</f>
        <v>96</v>
      </c>
      <c r="AB10" s="148">
        <f>'4.1 Comptes 2020 natures'!AB2</f>
        <v>149</v>
      </c>
      <c r="AC10" s="148">
        <f>'4.1 Comptes 2020 natures'!AC2</f>
        <v>516</v>
      </c>
      <c r="AD10" s="148">
        <f>'4.1 Comptes 2020 natures'!AD2</f>
        <v>671</v>
      </c>
      <c r="AE10" s="148">
        <f>'4.1 Comptes 2020 natures'!AE2</f>
        <v>572</v>
      </c>
      <c r="AF10" s="148">
        <f>'4.1 Comptes 2020 natures'!AF2</f>
        <v>490</v>
      </c>
      <c r="AG10" s="148">
        <f>'4.1 Comptes 2020 natures'!AG2</f>
        <v>1914</v>
      </c>
      <c r="AH10" s="148">
        <f>'4.1 Comptes 2020 natures'!AH2</f>
        <v>2615</v>
      </c>
      <c r="AI10" s="148">
        <f>'4.1 Comptes 2020 natures'!AI2</f>
        <v>227</v>
      </c>
      <c r="AJ10" s="148">
        <f>'4.1 Comptes 2020 natures'!AJ2</f>
        <v>131</v>
      </c>
      <c r="AK10" s="149">
        <f>'4.1 Comptes 2020 natures'!AK2</f>
        <v>1895</v>
      </c>
      <c r="AL10" s="149">
        <f>'4.1 Comptes 2020 natures'!AL2</f>
        <v>1135</v>
      </c>
      <c r="AM10" s="149">
        <f>'4.1 Comptes 2020 natures'!AM2</f>
        <v>1241</v>
      </c>
      <c r="AN10" s="149">
        <f>'4.1 Comptes 2020 natures'!AN2</f>
        <v>119</v>
      </c>
      <c r="AO10" s="149">
        <f>'4.1 Comptes 2020 natures'!AO2</f>
        <v>1195</v>
      </c>
      <c r="AP10" s="149">
        <f>'4.1 Comptes 2020 natures'!AP2</f>
        <v>663</v>
      </c>
      <c r="AQ10" s="149">
        <f>'4.1 Comptes 2020 natures'!AQ2</f>
        <v>645</v>
      </c>
      <c r="AR10" s="149">
        <f>'4.1 Comptes 2020 natures'!AR2</f>
        <v>1263</v>
      </c>
      <c r="AS10" s="149">
        <f>'4.1 Comptes 2020 natures'!AS2</f>
        <v>740</v>
      </c>
      <c r="AT10" s="149">
        <f>'4.1 Comptes 2020 natures'!AT2</f>
        <v>1028</v>
      </c>
      <c r="AU10" s="149">
        <f>'4.1 Comptes 2020 natures'!AU2</f>
        <v>314</v>
      </c>
      <c r="AV10" s="149">
        <f>'4.1 Comptes 2020 natures'!AV2</f>
        <v>2400</v>
      </c>
      <c r="AW10" s="149">
        <f>'4.1 Comptes 2020 natures'!AW2</f>
        <v>755</v>
      </c>
      <c r="AX10" s="149">
        <f>'4.1 Comptes 2020 natures'!AX2</f>
        <v>181</v>
      </c>
      <c r="AY10" s="149">
        <f>'4.1 Comptes 2020 natures'!AY2</f>
        <v>347</v>
      </c>
      <c r="AZ10" s="149">
        <f>'4.1 Comptes 2020 natures'!AZ2</f>
        <v>1690</v>
      </c>
      <c r="BA10" s="149">
        <f>'4.1 Comptes 2020 natures'!BA2</f>
        <v>387</v>
      </c>
      <c r="BB10" s="149">
        <f>'4.1 Comptes 2020 natures'!BB2</f>
        <v>1096</v>
      </c>
      <c r="BC10" s="150">
        <f>'4.1 Comptes 2020 natures'!BC2</f>
        <v>188</v>
      </c>
      <c r="BD10" s="150">
        <f>'4.1 Comptes 2020 natures'!BD2</f>
        <v>6434</v>
      </c>
      <c r="BE10" s="149">
        <f>'4.1 Comptes 2020 natures'!BE2</f>
        <v>560</v>
      </c>
      <c r="BF10" s="1">
        <f>'4.1 Comptes 2020 natures'!BG2</f>
        <v>38954</v>
      </c>
      <c r="BG10" s="1">
        <f>'4.1 Comptes 2020 natures'!BH2</f>
        <v>10479</v>
      </c>
      <c r="BH10" s="1">
        <f>'4.1 Comptes 2020 natures'!BI2</f>
        <v>24276</v>
      </c>
    </row>
    <row r="11" spans="1:60" x14ac:dyDescent="0.3">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3">
      <c r="A12" s="111" t="s">
        <v>259</v>
      </c>
      <c r="B12" s="112" t="s">
        <v>231</v>
      </c>
      <c r="C12" s="130">
        <v>20</v>
      </c>
      <c r="D12" s="113">
        <f>'Base de données indicateurs1'!BF8</f>
        <v>571106199.83999968</v>
      </c>
      <c r="E12" s="4">
        <f>'Base de données indicateurs1'!E8</f>
        <v>7710885.7000000002</v>
      </c>
      <c r="F12" s="4">
        <f>'Base de données indicateurs1'!F8</f>
        <v>1661251.45</v>
      </c>
      <c r="G12" s="4">
        <f>'Base de données indicateurs1'!G8</f>
        <v>6404558.5199999996</v>
      </c>
      <c r="H12" s="4">
        <f>'Base de données indicateurs1'!H8</f>
        <v>4613400.9400000004</v>
      </c>
      <c r="I12" s="4">
        <f>'Base de données indicateurs1'!I8</f>
        <v>26343468</v>
      </c>
      <c r="J12" s="4">
        <f>'Base de données indicateurs1'!J8</f>
        <v>21137174.780000001</v>
      </c>
      <c r="K12" s="4">
        <f>'Base de données indicateurs1'!K8</f>
        <v>11484688.109999999</v>
      </c>
      <c r="L12" s="4">
        <f>'Base de données indicateurs1'!L8</f>
        <v>125557688.95</v>
      </c>
      <c r="M12" s="4">
        <f>'Base de données indicateurs1'!M8</f>
        <v>5868070.6299999999</v>
      </c>
      <c r="N12" s="4">
        <f>'Base de données indicateurs1'!N8</f>
        <v>0</v>
      </c>
      <c r="O12" s="4">
        <f>'Base de données indicateurs1'!O8</f>
        <v>39464606.920000002</v>
      </c>
      <c r="P12" s="4">
        <f>'Base de données indicateurs1'!P8</f>
        <v>3674228.88</v>
      </c>
      <c r="Q12" s="4">
        <f>'Base de données indicateurs1'!Q8</f>
        <v>585366.75</v>
      </c>
      <c r="R12" s="4">
        <f>'Base de données indicateurs1'!R8</f>
        <v>3329882.66</v>
      </c>
      <c r="S12" s="4">
        <f>'Base de données indicateurs1'!S8</f>
        <v>4328768.28</v>
      </c>
      <c r="T12" s="4">
        <f>'Base de données indicateurs1'!T8</f>
        <v>5790676.8899999997</v>
      </c>
      <c r="U12" s="4">
        <f>'Base de données indicateurs1'!U8</f>
        <v>1064577.6299999999</v>
      </c>
      <c r="V12" s="4">
        <f>'Base de données indicateurs1'!V8</f>
        <v>2952271.95</v>
      </c>
      <c r="W12" s="4">
        <f>'Base de données indicateurs1'!W8</f>
        <v>16108731.58</v>
      </c>
      <c r="X12" s="4">
        <f>'Base de données indicateurs1'!X8</f>
        <v>701824</v>
      </c>
      <c r="Y12" s="4">
        <f>'Base de données indicateurs1'!Y8</f>
        <v>12393883.23</v>
      </c>
      <c r="Z12" s="4">
        <f>'Base de données indicateurs1'!Z8</f>
        <v>13352559.84</v>
      </c>
      <c r="AA12" s="4">
        <f>'Base de données indicateurs1'!AA8</f>
        <v>650530</v>
      </c>
      <c r="AB12" s="4">
        <f>'Base de données indicateurs1'!AB8</f>
        <v>1324155.57</v>
      </c>
      <c r="AC12" s="4">
        <f>'Base de données indicateurs1'!AC8</f>
        <v>3262180.61</v>
      </c>
      <c r="AD12" s="4">
        <f>'Base de données indicateurs1'!AD8</f>
        <v>7901506.1299999999</v>
      </c>
      <c r="AE12" s="4">
        <f>'Base de données indicateurs1'!AE8</f>
        <v>4184157.13</v>
      </c>
      <c r="AF12" s="4">
        <f>'Base de données indicateurs1'!AF8</f>
        <v>1835141.4</v>
      </c>
      <c r="AG12" s="4">
        <f>'Base de données indicateurs1'!AG8</f>
        <v>7913147.3899999997</v>
      </c>
      <c r="AH12" s="4">
        <f>'Base de données indicateurs1'!AH8</f>
        <v>21041584</v>
      </c>
      <c r="AI12" s="4">
        <f>'Base de données indicateurs1'!AI8</f>
        <v>1029453</v>
      </c>
      <c r="AJ12" s="4">
        <f>'Base de données indicateurs1'!AJ8</f>
        <v>737274</v>
      </c>
      <c r="AK12" s="4">
        <f>'Base de données indicateurs1'!AK8</f>
        <v>17215810.02</v>
      </c>
      <c r="AL12" s="4">
        <f>'Base de données indicateurs1'!AL8</f>
        <v>16414</v>
      </c>
      <c r="AM12" s="4">
        <f>'Base de données indicateurs1'!AM8</f>
        <v>11723916.060000001</v>
      </c>
      <c r="AN12" s="4">
        <f>'Base de données indicateurs1'!AN8</f>
        <v>11500</v>
      </c>
      <c r="AO12" s="4">
        <f>'Base de données indicateurs1'!AO8</f>
        <v>11108782.970000001</v>
      </c>
      <c r="AP12" s="4">
        <f>'Base de données indicateurs1'!AP8</f>
        <v>5180403.1399999997</v>
      </c>
      <c r="AQ12" s="4">
        <f>'Base de données indicateurs1'!AQ8</f>
        <v>4581586</v>
      </c>
      <c r="AR12" s="4">
        <f>'Base de données indicateurs1'!AR8</f>
        <v>9798705.8300000001</v>
      </c>
      <c r="AS12" s="4">
        <f>'Base de données indicateurs1'!AS8</f>
        <v>5672676.1900000004</v>
      </c>
      <c r="AT12" s="4">
        <f>'Base de données indicateurs1'!AT8</f>
        <v>8438512.1400000006</v>
      </c>
      <c r="AU12" s="4">
        <f>'Base de données indicateurs1'!AU8</f>
        <v>2009618.65</v>
      </c>
      <c r="AV12" s="4">
        <f>'Base de données indicateurs1'!AV8</f>
        <v>14597972.57</v>
      </c>
      <c r="AW12" s="4">
        <f>'Base de données indicateurs1'!AW8</f>
        <v>6019600.25</v>
      </c>
      <c r="AX12" s="4">
        <f>'Base de données indicateurs1'!AX8</f>
        <v>982153.85</v>
      </c>
      <c r="AY12" s="4">
        <f>'Base de données indicateurs1'!AY8</f>
        <v>2091959</v>
      </c>
      <c r="AZ12" s="4">
        <f>'Base de données indicateurs1'!AZ8</f>
        <v>21006891.079999998</v>
      </c>
      <c r="BA12" s="4">
        <f>'Base de données indicateurs1'!BA8</f>
        <v>1270560.3899999999</v>
      </c>
      <c r="BB12" s="4">
        <f>'Base de données indicateurs1'!BB8</f>
        <v>10609246.140000001</v>
      </c>
      <c r="BC12" s="4">
        <f>'Base de données indicateurs1'!BC8</f>
        <v>295678.96000000002</v>
      </c>
      <c r="BD12" s="4">
        <f>'Base de données indicateurs1'!BD8</f>
        <v>69341997.879999995</v>
      </c>
      <c r="BE12" s="4">
        <f>'Base de données indicateurs1'!BE8</f>
        <v>4724519.8</v>
      </c>
      <c r="BF12" s="4">
        <f>SUM(E12:W12)</f>
        <v>288080298.61999995</v>
      </c>
      <c r="BG12" s="4">
        <f>SUM(X12:AJ12)</f>
        <v>76327396.300000012</v>
      </c>
      <c r="BH12" s="4">
        <f>SUM(AK12:BE12)</f>
        <v>206698504.91999999</v>
      </c>
    </row>
    <row r="13" spans="1:60" x14ac:dyDescent="0.3">
      <c r="A13" s="114" t="s">
        <v>247</v>
      </c>
      <c r="B13" s="115" t="s">
        <v>232</v>
      </c>
      <c r="C13" s="114">
        <v>10</v>
      </c>
      <c r="D13" s="116">
        <f>'Base de données indicateurs1'!BF5</f>
        <v>323165740.7100001</v>
      </c>
      <c r="E13" s="4">
        <f>'Base de données indicateurs1'!E5</f>
        <v>5729343.4000000004</v>
      </c>
      <c r="F13" s="4">
        <f>'Base de données indicateurs1'!F5</f>
        <v>1313751.3999999999</v>
      </c>
      <c r="G13" s="4">
        <f>'Base de données indicateurs1'!G5</f>
        <v>4291473.13</v>
      </c>
      <c r="H13" s="4">
        <f>'Base de données indicateurs1'!H5</f>
        <v>4279580.0599999996</v>
      </c>
      <c r="I13" s="4">
        <f>'Base de données indicateurs1'!I5</f>
        <v>15173301</v>
      </c>
      <c r="J13" s="4">
        <f>'Base de données indicateurs1'!J5</f>
        <v>8024691.8499999996</v>
      </c>
      <c r="K13" s="4">
        <f>'Base de données indicateurs1'!K5</f>
        <v>10459838.140000001</v>
      </c>
      <c r="L13" s="4">
        <f>'Base de données indicateurs1'!L5</f>
        <v>55034877.579999998</v>
      </c>
      <c r="M13" s="4">
        <f>'Base de données indicateurs1'!M5</f>
        <v>3743166.68</v>
      </c>
      <c r="N13" s="4">
        <f>'Base de données indicateurs1'!N5</f>
        <v>0</v>
      </c>
      <c r="O13" s="4">
        <f>'Base de données indicateurs1'!O5</f>
        <v>17870825.219999999</v>
      </c>
      <c r="P13" s="4">
        <f>'Base de données indicateurs1'!P5</f>
        <v>2306934.9900000002</v>
      </c>
      <c r="Q13" s="4">
        <f>'Base de données indicateurs1'!Q5</f>
        <v>340332.25</v>
      </c>
      <c r="R13" s="4">
        <f>'Base de données indicateurs1'!R5</f>
        <v>1454384.04</v>
      </c>
      <c r="S13" s="4">
        <f>'Base de données indicateurs1'!S5</f>
        <v>2174540.65</v>
      </c>
      <c r="T13" s="4">
        <f>'Base de données indicateurs1'!T5</f>
        <v>5578034.3600000003</v>
      </c>
      <c r="U13" s="4">
        <f>'Base de données indicateurs1'!U5</f>
        <v>771790.42</v>
      </c>
      <c r="V13" s="4">
        <f>'Base de données indicateurs1'!V5</f>
        <v>2513060.25</v>
      </c>
      <c r="W13" s="4">
        <f>'Base de données indicateurs1'!W5</f>
        <v>5690503.7400000002</v>
      </c>
      <c r="X13" s="4">
        <f>'Base de données indicateurs1'!X5</f>
        <v>1782334</v>
      </c>
      <c r="Y13" s="4">
        <f>'Base de données indicateurs1'!Y5</f>
        <v>4607305.3099999996</v>
      </c>
      <c r="Z13" s="4">
        <f>'Base de données indicateurs1'!Z5</f>
        <v>22337836.73</v>
      </c>
      <c r="AA13" s="4">
        <f>'Base de données indicateurs1'!AA5</f>
        <v>514539</v>
      </c>
      <c r="AB13" s="4">
        <f>'Base de données indicateurs1'!AB5</f>
        <v>1164911.31</v>
      </c>
      <c r="AC13" s="4">
        <f>'Base de données indicateurs1'!AC5</f>
        <v>3000469.46</v>
      </c>
      <c r="AD13" s="4">
        <f>'Base de données indicateurs1'!AD5</f>
        <v>1298160.8999999999</v>
      </c>
      <c r="AE13" s="4">
        <f>'Base de données indicateurs1'!AE5</f>
        <v>2898436.1</v>
      </c>
      <c r="AF13" s="4">
        <f>'Base de données indicateurs1'!AF5</f>
        <v>4936104.3499999996</v>
      </c>
      <c r="AG13" s="4">
        <f>'Base de données indicateurs1'!AG5</f>
        <v>8990815.1799999997</v>
      </c>
      <c r="AH13" s="4">
        <f>'Base de données indicateurs1'!AH5</f>
        <v>10854437</v>
      </c>
      <c r="AI13" s="4">
        <f>'Base de données indicateurs1'!AI5</f>
        <v>907440</v>
      </c>
      <c r="AJ13" s="4">
        <f>'Base de données indicateurs1'!AJ5</f>
        <v>1868313.05</v>
      </c>
      <c r="AK13" s="4">
        <f>'Base de données indicateurs1'!AK5</f>
        <v>5849957.46</v>
      </c>
      <c r="AL13" s="4">
        <f>'Base de données indicateurs1'!AL5</f>
        <v>3398783</v>
      </c>
      <c r="AM13" s="4">
        <f>'Base de données indicateurs1'!AM5</f>
        <v>4876876.1100000003</v>
      </c>
      <c r="AN13" s="4">
        <f>'Base de données indicateurs1'!AN5</f>
        <v>529407.81999999995</v>
      </c>
      <c r="AO13" s="4">
        <f>'Base de données indicateurs1'!AO5</f>
        <v>14951876</v>
      </c>
      <c r="AP13" s="4">
        <f>'Base de données indicateurs1'!AP5</f>
        <v>3720554.4</v>
      </c>
      <c r="AQ13" s="4">
        <f>'Base de données indicateurs1'!AQ5</f>
        <v>3653484</v>
      </c>
      <c r="AR13" s="4">
        <f>'Base de données indicateurs1'!AR5</f>
        <v>11819557.02</v>
      </c>
      <c r="AS13" s="4">
        <f>'Base de données indicateurs1'!AS5</f>
        <v>2533324.2999999998</v>
      </c>
      <c r="AT13" s="4">
        <f>'Base de données indicateurs1'!AT5</f>
        <v>3348405.97</v>
      </c>
      <c r="AU13" s="4">
        <f>'Base de données indicateurs1'!AU5</f>
        <v>3818782.68</v>
      </c>
      <c r="AV13" s="4">
        <f>'Base de données indicateurs1'!AV5</f>
        <v>4797496.66</v>
      </c>
      <c r="AW13" s="4">
        <f>'Base de données indicateurs1'!AW5</f>
        <v>3077294.98</v>
      </c>
      <c r="AX13" s="4">
        <f>'Base de données indicateurs1'!AX5</f>
        <v>678851.45</v>
      </c>
      <c r="AY13" s="4">
        <f>'Base de données indicateurs1'!AY5</f>
        <v>2029594.24</v>
      </c>
      <c r="AZ13" s="4">
        <f>'Base de données indicateurs1'!AZ5</f>
        <v>4272308.3099999996</v>
      </c>
      <c r="BA13" s="4">
        <f>'Base de données indicateurs1'!BA5</f>
        <v>1690939.23</v>
      </c>
      <c r="BB13" s="4">
        <f>'Base de données indicateurs1'!BB5</f>
        <v>4279723.32</v>
      </c>
      <c r="BC13" s="4">
        <f>'Base de données indicateurs1'!BC5</f>
        <v>866229.02</v>
      </c>
      <c r="BD13" s="4">
        <f>'Base de données indicateurs1'!BD5</f>
        <v>28478770</v>
      </c>
      <c r="BE13" s="4">
        <f>'Base de données indicateurs1'!BE5</f>
        <v>2581993.19</v>
      </c>
      <c r="BF13" s="4">
        <f t="shared" ref="BF13:BF46" si="0">SUM(E13:W13)</f>
        <v>146750429.16000003</v>
      </c>
      <c r="BG13" s="4">
        <f t="shared" ref="BG13:BG46" si="1">SUM(X13:AJ13)</f>
        <v>65161102.390000001</v>
      </c>
      <c r="BH13" s="4">
        <f t="shared" ref="BH13:BH46" si="2">SUM(AK13:BE13)</f>
        <v>111254209.16000001</v>
      </c>
    </row>
    <row r="14" spans="1:60" ht="15" thickBot="1" x14ac:dyDescent="0.35">
      <c r="A14" s="117"/>
      <c r="B14" s="118"/>
      <c r="C14" s="117"/>
      <c r="D14" s="119"/>
      <c r="BF14" s="4"/>
      <c r="BG14" s="4"/>
      <c r="BH14" s="4"/>
    </row>
    <row r="15" spans="1:60" ht="15" thickBot="1" x14ac:dyDescent="0.35">
      <c r="A15" s="7" t="s">
        <v>509</v>
      </c>
      <c r="B15" s="64"/>
      <c r="C15" s="7"/>
      <c r="D15" s="120">
        <f>D12-D13</f>
        <v>247940459.12999958</v>
      </c>
      <c r="E15" s="4">
        <f>E12-E13</f>
        <v>1981542.2999999998</v>
      </c>
      <c r="F15" s="4">
        <f t="shared" ref="F15:BE15" si="3">F12-F13</f>
        <v>347500.05000000005</v>
      </c>
      <c r="G15" s="4">
        <f t="shared" si="3"/>
        <v>2113085.3899999997</v>
      </c>
      <c r="H15" s="4">
        <f t="shared" si="3"/>
        <v>333820.88000000082</v>
      </c>
      <c r="I15" s="4">
        <f t="shared" si="3"/>
        <v>11170167</v>
      </c>
      <c r="J15" s="4">
        <f t="shared" si="3"/>
        <v>13112482.930000002</v>
      </c>
      <c r="K15" s="4">
        <f t="shared" si="3"/>
        <v>1024849.9699999988</v>
      </c>
      <c r="L15" s="4">
        <f t="shared" si="3"/>
        <v>70522811.370000005</v>
      </c>
      <c r="M15" s="4">
        <f t="shared" si="3"/>
        <v>2124903.9499999997</v>
      </c>
      <c r="N15" s="4">
        <f t="shared" si="3"/>
        <v>0</v>
      </c>
      <c r="O15" s="4">
        <f t="shared" si="3"/>
        <v>21593781.700000003</v>
      </c>
      <c r="P15" s="4">
        <f t="shared" si="3"/>
        <v>1367293.8899999997</v>
      </c>
      <c r="Q15" s="4">
        <f t="shared" si="3"/>
        <v>245034.5</v>
      </c>
      <c r="R15" s="4">
        <f t="shared" si="3"/>
        <v>1875498.62</v>
      </c>
      <c r="S15" s="4">
        <f t="shared" si="3"/>
        <v>2154227.6300000004</v>
      </c>
      <c r="T15" s="4">
        <f t="shared" si="3"/>
        <v>212642.52999999933</v>
      </c>
      <c r="U15" s="4">
        <f t="shared" si="3"/>
        <v>292787.20999999985</v>
      </c>
      <c r="V15" s="4">
        <f t="shared" si="3"/>
        <v>439211.70000000019</v>
      </c>
      <c r="W15" s="4">
        <f t="shared" si="3"/>
        <v>10418227.84</v>
      </c>
      <c r="X15" s="4">
        <f t="shared" si="3"/>
        <v>-1080510</v>
      </c>
      <c r="Y15" s="4">
        <f t="shared" si="3"/>
        <v>7786577.9200000009</v>
      </c>
      <c r="Z15" s="4">
        <f t="shared" si="3"/>
        <v>-8985276.8900000006</v>
      </c>
      <c r="AA15" s="4">
        <f t="shared" si="3"/>
        <v>135991</v>
      </c>
      <c r="AB15" s="4">
        <f t="shared" si="3"/>
        <v>159244.26</v>
      </c>
      <c r="AC15" s="4">
        <f t="shared" si="3"/>
        <v>261711.14999999991</v>
      </c>
      <c r="AD15" s="4">
        <f t="shared" si="3"/>
        <v>6603345.2300000004</v>
      </c>
      <c r="AE15" s="4">
        <f t="shared" si="3"/>
        <v>1285721.0299999998</v>
      </c>
      <c r="AF15" s="4">
        <f t="shared" si="3"/>
        <v>-3100962.9499999997</v>
      </c>
      <c r="AG15" s="4">
        <f t="shared" si="3"/>
        <v>-1077667.79</v>
      </c>
      <c r="AH15" s="4">
        <f t="shared" si="3"/>
        <v>10187147</v>
      </c>
      <c r="AI15" s="4">
        <f t="shared" si="3"/>
        <v>122013</v>
      </c>
      <c r="AJ15" s="4">
        <f t="shared" si="3"/>
        <v>-1131039.05</v>
      </c>
      <c r="AK15" s="4">
        <f t="shared" si="3"/>
        <v>11365852.559999999</v>
      </c>
      <c r="AL15" s="4">
        <f t="shared" si="3"/>
        <v>-3382369</v>
      </c>
      <c r="AM15" s="4">
        <f t="shared" si="3"/>
        <v>6847039.9500000002</v>
      </c>
      <c r="AN15" s="4">
        <f t="shared" si="3"/>
        <v>-517907.81999999995</v>
      </c>
      <c r="AO15" s="4">
        <f t="shared" si="3"/>
        <v>-3843093.0299999993</v>
      </c>
      <c r="AP15" s="4">
        <f t="shared" si="3"/>
        <v>1459848.7399999998</v>
      </c>
      <c r="AQ15" s="4">
        <f t="shared" si="3"/>
        <v>928102</v>
      </c>
      <c r="AR15" s="4">
        <f t="shared" si="3"/>
        <v>-2020851.1899999995</v>
      </c>
      <c r="AS15" s="4">
        <f t="shared" si="3"/>
        <v>3139351.8900000006</v>
      </c>
      <c r="AT15" s="4">
        <f t="shared" si="3"/>
        <v>5090106.17</v>
      </c>
      <c r="AU15" s="4">
        <f t="shared" si="3"/>
        <v>-1809164.0300000003</v>
      </c>
      <c r="AV15" s="4">
        <f t="shared" si="3"/>
        <v>9800475.9100000001</v>
      </c>
      <c r="AW15" s="4">
        <f t="shared" si="3"/>
        <v>2942305.27</v>
      </c>
      <c r="AX15" s="4">
        <f t="shared" si="3"/>
        <v>303302.40000000002</v>
      </c>
      <c r="AY15" s="4">
        <f t="shared" si="3"/>
        <v>62364.760000000009</v>
      </c>
      <c r="AZ15" s="4">
        <f t="shared" si="3"/>
        <v>16734582.77</v>
      </c>
      <c r="BA15" s="4">
        <f t="shared" si="3"/>
        <v>-420378.84000000008</v>
      </c>
      <c r="BB15" s="4">
        <f t="shared" si="3"/>
        <v>6329522.8200000003</v>
      </c>
      <c r="BC15" s="4">
        <f t="shared" si="3"/>
        <v>-570550.06000000006</v>
      </c>
      <c r="BD15" s="4">
        <f t="shared" si="3"/>
        <v>40863227.879999995</v>
      </c>
      <c r="BE15" s="4">
        <f t="shared" si="3"/>
        <v>2142526.61</v>
      </c>
      <c r="BF15" s="4">
        <f t="shared" si="0"/>
        <v>141329869.46000001</v>
      </c>
      <c r="BG15" s="4">
        <f t="shared" si="1"/>
        <v>11166293.91</v>
      </c>
      <c r="BH15" s="4">
        <f t="shared" si="2"/>
        <v>95444295.759999976</v>
      </c>
    </row>
    <row r="16" spans="1:60" ht="15" thickBot="1" x14ac:dyDescent="0.35">
      <c r="B16" s="121"/>
      <c r="D16" s="4"/>
      <c r="BF16" s="4"/>
      <c r="BG16" s="4"/>
      <c r="BH16" s="4"/>
    </row>
    <row r="17" spans="1:60" ht="15" thickBot="1" x14ac:dyDescent="0.35">
      <c r="A17" s="7" t="s">
        <v>554</v>
      </c>
      <c r="B17" s="121"/>
      <c r="D17" s="142">
        <f>'Base de données indicateurs1'!BF2</f>
        <v>73709</v>
      </c>
      <c r="E17" s="1">
        <f>E10</f>
        <v>923</v>
      </c>
      <c r="F17" s="1">
        <f t="shared" ref="F17:BE17" si="4">F10</f>
        <v>270</v>
      </c>
      <c r="G17" s="1">
        <f t="shared" si="4"/>
        <v>485</v>
      </c>
      <c r="H17" s="1">
        <f t="shared" si="4"/>
        <v>446</v>
      </c>
      <c r="I17" s="1">
        <f t="shared" si="4"/>
        <v>3631</v>
      </c>
      <c r="J17" s="1">
        <f t="shared" si="4"/>
        <v>3313</v>
      </c>
      <c r="K17" s="1">
        <f t="shared" si="4"/>
        <v>2644</v>
      </c>
      <c r="L17" s="1">
        <f t="shared" si="4"/>
        <v>12618</v>
      </c>
      <c r="M17" s="1">
        <f t="shared" si="4"/>
        <v>1371</v>
      </c>
      <c r="N17" s="1">
        <f t="shared" si="4"/>
        <v>118</v>
      </c>
      <c r="O17" s="1">
        <f t="shared" si="4"/>
        <v>7167</v>
      </c>
      <c r="P17" s="1">
        <f t="shared" si="4"/>
        <v>528</v>
      </c>
      <c r="Q17" s="1">
        <f t="shared" si="4"/>
        <v>108</v>
      </c>
      <c r="R17" s="1">
        <f t="shared" si="4"/>
        <v>415</v>
      </c>
      <c r="S17" s="1">
        <f t="shared" si="4"/>
        <v>349</v>
      </c>
      <c r="T17" s="1">
        <f t="shared" si="4"/>
        <v>687</v>
      </c>
      <c r="U17" s="1">
        <f t="shared" si="4"/>
        <v>255</v>
      </c>
      <c r="V17" s="1">
        <f t="shared" si="4"/>
        <v>436</v>
      </c>
      <c r="W17" s="1">
        <f t="shared" si="4"/>
        <v>3190</v>
      </c>
      <c r="X17" s="1">
        <f t="shared" si="4"/>
        <v>324</v>
      </c>
      <c r="Y17" s="1">
        <f t="shared" si="4"/>
        <v>1246</v>
      </c>
      <c r="Z17" s="1">
        <f t="shared" si="4"/>
        <v>1528</v>
      </c>
      <c r="AA17" s="1">
        <f t="shared" si="4"/>
        <v>96</v>
      </c>
      <c r="AB17" s="1">
        <f t="shared" si="4"/>
        <v>149</v>
      </c>
      <c r="AC17" s="1">
        <f t="shared" si="4"/>
        <v>516</v>
      </c>
      <c r="AD17" s="1">
        <f t="shared" si="4"/>
        <v>671</v>
      </c>
      <c r="AE17" s="1">
        <f t="shared" si="4"/>
        <v>572</v>
      </c>
      <c r="AF17" s="1">
        <f t="shared" si="4"/>
        <v>490</v>
      </c>
      <c r="AG17" s="1">
        <f t="shared" si="4"/>
        <v>1914</v>
      </c>
      <c r="AH17" s="1">
        <f t="shared" si="4"/>
        <v>2615</v>
      </c>
      <c r="AI17" s="1">
        <f t="shared" si="4"/>
        <v>227</v>
      </c>
      <c r="AJ17" s="1">
        <f t="shared" si="4"/>
        <v>131</v>
      </c>
      <c r="AK17" s="1">
        <f t="shared" si="4"/>
        <v>1895</v>
      </c>
      <c r="AL17" s="1">
        <f t="shared" si="4"/>
        <v>1135</v>
      </c>
      <c r="AM17" s="1">
        <f t="shared" si="4"/>
        <v>1241</v>
      </c>
      <c r="AN17" s="1">
        <f t="shared" si="4"/>
        <v>119</v>
      </c>
      <c r="AO17" s="1">
        <f t="shared" si="4"/>
        <v>1195</v>
      </c>
      <c r="AP17" s="1">
        <f t="shared" si="4"/>
        <v>663</v>
      </c>
      <c r="AQ17" s="1">
        <f t="shared" si="4"/>
        <v>645</v>
      </c>
      <c r="AR17" s="1">
        <f t="shared" si="4"/>
        <v>1263</v>
      </c>
      <c r="AS17" s="1">
        <f t="shared" si="4"/>
        <v>740</v>
      </c>
      <c r="AT17" s="1">
        <f t="shared" si="4"/>
        <v>1028</v>
      </c>
      <c r="AU17" s="1">
        <f t="shared" si="4"/>
        <v>314</v>
      </c>
      <c r="AV17" s="1">
        <f t="shared" si="4"/>
        <v>2400</v>
      </c>
      <c r="AW17" s="1">
        <f t="shared" si="4"/>
        <v>755</v>
      </c>
      <c r="AX17" s="1">
        <f t="shared" si="4"/>
        <v>181</v>
      </c>
      <c r="AY17" s="1">
        <f t="shared" si="4"/>
        <v>347</v>
      </c>
      <c r="AZ17" s="1">
        <f t="shared" si="4"/>
        <v>1690</v>
      </c>
      <c r="BA17" s="1">
        <f t="shared" si="4"/>
        <v>387</v>
      </c>
      <c r="BB17" s="1">
        <f t="shared" si="4"/>
        <v>1096</v>
      </c>
      <c r="BC17" s="1">
        <f t="shared" si="4"/>
        <v>188</v>
      </c>
      <c r="BD17" s="1">
        <f t="shared" si="4"/>
        <v>6434</v>
      </c>
      <c r="BE17" s="1">
        <f t="shared" si="4"/>
        <v>560</v>
      </c>
      <c r="BF17" s="4">
        <f t="shared" si="0"/>
        <v>38954</v>
      </c>
      <c r="BG17" s="4">
        <f t="shared" si="1"/>
        <v>10479</v>
      </c>
      <c r="BH17" s="4">
        <f t="shared" si="2"/>
        <v>24276</v>
      </c>
    </row>
    <row r="18" spans="1:60" ht="15" thickBot="1" x14ac:dyDescent="0.35">
      <c r="A18" s="123"/>
      <c r="B18" s="121"/>
      <c r="D18" s="4"/>
      <c r="BF18" s="4"/>
      <c r="BG18" s="4"/>
      <c r="BH18" s="4"/>
    </row>
    <row r="19" spans="1:60" ht="15" thickBot="1" x14ac:dyDescent="0.35">
      <c r="A19" s="7" t="s">
        <v>555</v>
      </c>
      <c r="B19" s="121"/>
      <c r="D19" s="120">
        <f>IF(D17="","",D15/D17)</f>
        <v>3363.7745611797686</v>
      </c>
      <c r="E19" s="144">
        <f>IF(E17="","",E15/E17)</f>
        <v>2146.8497291440954</v>
      </c>
      <c r="F19" s="129">
        <f t="shared" ref="F19:BH19" si="5">IF(F17="","",F15/F17)</f>
        <v>1287.0372222222225</v>
      </c>
      <c r="G19" s="129">
        <f t="shared" si="5"/>
        <v>4356.8770927835048</v>
      </c>
      <c r="H19" s="129">
        <f t="shared" si="5"/>
        <v>748.47730941704219</v>
      </c>
      <c r="I19" s="129">
        <f t="shared" si="5"/>
        <v>3076.3335169374827</v>
      </c>
      <c r="J19" s="129">
        <f t="shared" si="5"/>
        <v>3957.8879957742233</v>
      </c>
      <c r="K19" s="129">
        <f t="shared" si="5"/>
        <v>387.61345310136113</v>
      </c>
      <c r="L19" s="129">
        <f t="shared" si="5"/>
        <v>5589.0641440798863</v>
      </c>
      <c r="M19" s="129">
        <f t="shared" si="5"/>
        <v>1549.8934719183076</v>
      </c>
      <c r="N19" s="129">
        <f t="shared" si="5"/>
        <v>0</v>
      </c>
      <c r="O19" s="129">
        <f t="shared" si="5"/>
        <v>3012.9456815962053</v>
      </c>
      <c r="P19" s="129">
        <f t="shared" si="5"/>
        <v>2589.5717613636357</v>
      </c>
      <c r="Q19" s="129">
        <f t="shared" si="5"/>
        <v>2268.837962962963</v>
      </c>
      <c r="R19" s="129">
        <f t="shared" si="5"/>
        <v>4519.2737831325303</v>
      </c>
      <c r="S19" s="129">
        <f t="shared" si="5"/>
        <v>6172.5720057306598</v>
      </c>
      <c r="T19" s="129">
        <f t="shared" si="5"/>
        <v>309.52333333333235</v>
      </c>
      <c r="U19" s="129">
        <f t="shared" si="5"/>
        <v>1148.1851372549013</v>
      </c>
      <c r="V19" s="129">
        <f t="shared" si="5"/>
        <v>1007.3662844036702</v>
      </c>
      <c r="W19" s="129">
        <f t="shared" si="5"/>
        <v>3265.9021442006269</v>
      </c>
      <c r="X19" s="129">
        <f t="shared" si="5"/>
        <v>-3334.9074074074074</v>
      </c>
      <c r="Y19" s="129">
        <f t="shared" si="5"/>
        <v>6249.259967897272</v>
      </c>
      <c r="Z19" s="129">
        <f t="shared" si="5"/>
        <v>-5880.4168128272258</v>
      </c>
      <c r="AA19" s="129">
        <f t="shared" si="5"/>
        <v>1416.5729166666667</v>
      </c>
      <c r="AB19" s="129">
        <f t="shared" si="5"/>
        <v>1068.7534228187919</v>
      </c>
      <c r="AC19" s="129">
        <f t="shared" si="5"/>
        <v>507.19215116279054</v>
      </c>
      <c r="AD19" s="129">
        <f t="shared" si="5"/>
        <v>9841.0510134128181</v>
      </c>
      <c r="AE19" s="129">
        <f t="shared" si="5"/>
        <v>2247.7640384615379</v>
      </c>
      <c r="AF19" s="129">
        <f t="shared" si="5"/>
        <v>-6328.4958163265301</v>
      </c>
      <c r="AG19" s="129">
        <f t="shared" si="5"/>
        <v>-563.04482236154649</v>
      </c>
      <c r="AH19" s="129">
        <f t="shared" si="5"/>
        <v>3895.6585086042064</v>
      </c>
      <c r="AI19" s="129">
        <f t="shared" si="5"/>
        <v>537.50220264317181</v>
      </c>
      <c r="AJ19" s="129">
        <f t="shared" si="5"/>
        <v>-8633.8858778625963</v>
      </c>
      <c r="AK19" s="129">
        <f t="shared" si="5"/>
        <v>5997.8113773087061</v>
      </c>
      <c r="AL19" s="129">
        <f t="shared" si="5"/>
        <v>-2980.0607929515418</v>
      </c>
      <c r="AM19" s="129">
        <f t="shared" si="5"/>
        <v>5517.3569298952461</v>
      </c>
      <c r="AN19" s="129">
        <f t="shared" si="5"/>
        <v>-4352.1665546218483</v>
      </c>
      <c r="AO19" s="129">
        <f t="shared" si="5"/>
        <v>-3215.9774309623426</v>
      </c>
      <c r="AP19" s="129">
        <f t="shared" si="5"/>
        <v>2201.8834690799395</v>
      </c>
      <c r="AQ19" s="129">
        <f t="shared" si="5"/>
        <v>1438.9178294573644</v>
      </c>
      <c r="AR19" s="129">
        <f t="shared" si="5"/>
        <v>-1600.0405304829767</v>
      </c>
      <c r="AS19" s="129">
        <f t="shared" si="5"/>
        <v>4242.3674189189196</v>
      </c>
      <c r="AT19" s="129">
        <f t="shared" si="5"/>
        <v>4951.465145914397</v>
      </c>
      <c r="AU19" s="129">
        <f t="shared" si="5"/>
        <v>-5761.6688853503192</v>
      </c>
      <c r="AV19" s="129">
        <f t="shared" si="5"/>
        <v>4083.5316291666668</v>
      </c>
      <c r="AW19" s="129">
        <f t="shared" si="5"/>
        <v>3897.0930728476819</v>
      </c>
      <c r="AX19" s="129">
        <f t="shared" si="5"/>
        <v>1675.7038674033151</v>
      </c>
      <c r="AY19" s="129">
        <f t="shared" si="5"/>
        <v>179.72553314121041</v>
      </c>
      <c r="AZ19" s="129">
        <f t="shared" si="5"/>
        <v>9902.1199822485196</v>
      </c>
      <c r="BA19" s="129">
        <f t="shared" si="5"/>
        <v>-1086.2502325581397</v>
      </c>
      <c r="BB19" s="129">
        <f t="shared" si="5"/>
        <v>5775.112062043796</v>
      </c>
      <c r="BC19" s="129">
        <f t="shared" si="5"/>
        <v>-3034.8407446808515</v>
      </c>
      <c r="BD19" s="129">
        <f t="shared" si="5"/>
        <v>6351.1389306807578</v>
      </c>
      <c r="BE19" s="129">
        <f t="shared" si="5"/>
        <v>3825.9403749999997</v>
      </c>
      <c r="BF19" s="129">
        <f t="shared" si="5"/>
        <v>3628.1221302048571</v>
      </c>
      <c r="BG19" s="129">
        <f t="shared" si="5"/>
        <v>1065.5877383338104</v>
      </c>
      <c r="BH19" s="129">
        <f t="shared" si="5"/>
        <v>3931.6318899324424</v>
      </c>
    </row>
    <row r="20" spans="1:60" x14ac:dyDescent="0.3">
      <c r="A20" s="123" t="s">
        <v>556</v>
      </c>
      <c r="B20" s="121"/>
      <c r="D20" s="4"/>
      <c r="BF20" s="4"/>
      <c r="BG20" s="4"/>
      <c r="BH20" s="4"/>
    </row>
    <row r="21" spans="1:60" x14ac:dyDescent="0.3">
      <c r="A21" s="123"/>
      <c r="B21" s="121"/>
      <c r="D21" s="4"/>
      <c r="BF21" s="4"/>
      <c r="BG21" s="4"/>
      <c r="BH21" s="4"/>
    </row>
    <row r="22" spans="1:60" x14ac:dyDescent="0.3">
      <c r="A22" s="7" t="s">
        <v>557</v>
      </c>
      <c r="B22" s="110"/>
      <c r="C22" s="65" t="s">
        <v>507</v>
      </c>
      <c r="D22" s="128" t="s">
        <v>508</v>
      </c>
      <c r="BF22" s="4"/>
      <c r="BG22" s="4"/>
      <c r="BH22" s="4"/>
    </row>
    <row r="23" spans="1:60" ht="15" thickBot="1" x14ac:dyDescent="0.35">
      <c r="B23" s="110"/>
      <c r="D23" s="4"/>
      <c r="BF23" s="4"/>
      <c r="BG23" s="4"/>
      <c r="BH23" s="4"/>
    </row>
    <row r="24" spans="1:60" ht="15" thickBot="1" x14ac:dyDescent="0.35">
      <c r="A24" s="7" t="s">
        <v>558</v>
      </c>
      <c r="D24" s="120">
        <f>'Endett. net + degré d''auto.'!D41</f>
        <v>22485634.750000007</v>
      </c>
      <c r="E24" s="4">
        <f>'Endett. net + degré d''auto.'!E41</f>
        <v>832459.83000000007</v>
      </c>
      <c r="F24" s="4">
        <f>'Endett. net + degré d''auto.'!F41</f>
        <v>205445.28</v>
      </c>
      <c r="G24" s="4">
        <f>'Endett. net + degré d''auto.'!G41</f>
        <v>-61794.959999999992</v>
      </c>
      <c r="H24" s="4">
        <f>'Endett. net + degré d''auto.'!H41</f>
        <v>189395.1</v>
      </c>
      <c r="I24" s="4">
        <f>'Endett. net + degré d''auto.'!I41</f>
        <v>164.30999999999767</v>
      </c>
      <c r="J24" s="4">
        <f>'Endett. net + degré d''auto.'!J41</f>
        <v>1876600.28</v>
      </c>
      <c r="K24" s="4">
        <f>'Endett. net + degré d''auto.'!K41</f>
        <v>486979.09000000008</v>
      </c>
      <c r="L24" s="4">
        <f>'Endett. net + degré d''auto.'!L41</f>
        <v>1468726.6999999997</v>
      </c>
      <c r="M24" s="4">
        <f>'Endett. net + degré d''auto.'!M41</f>
        <v>45022.169999999991</v>
      </c>
      <c r="N24" s="4">
        <f>'Endett. net + degré d''auto.'!N41</f>
        <v>0</v>
      </c>
      <c r="O24" s="4">
        <f>'Endett. net + degré d''auto.'!O41</f>
        <v>-408267.07000000007</v>
      </c>
      <c r="P24" s="4">
        <f>'Endett. net + degré d''auto.'!P41</f>
        <v>66001.91</v>
      </c>
      <c r="Q24" s="4">
        <f>'Endett. net + degré d''auto.'!Q41</f>
        <v>-73417.52</v>
      </c>
      <c r="R24" s="4">
        <f>'Endett. net + degré d''auto.'!R41</f>
        <v>64471.42</v>
      </c>
      <c r="S24" s="4">
        <f>'Endett. net + degré d''auto.'!S41</f>
        <v>54478.63</v>
      </c>
      <c r="T24" s="4">
        <f>'Endett. net + degré d''auto.'!T41</f>
        <v>181886.19</v>
      </c>
      <c r="U24" s="4">
        <f>'Endett. net + degré d''auto.'!U41</f>
        <v>31257.25</v>
      </c>
      <c r="V24" s="4">
        <f>'Endett. net + degré d''auto.'!V41</f>
        <v>-3983.6100000000151</v>
      </c>
      <c r="W24" s="4">
        <f>'Endett. net + degré d''auto.'!W41</f>
        <v>1099927.6200000001</v>
      </c>
      <c r="X24" s="4">
        <f>'Endett. net + degré d''auto.'!X41</f>
        <v>151103</v>
      </c>
      <c r="Y24" s="4">
        <f>'Endett. net + degré d''auto.'!Y41</f>
        <v>308378.78000000003</v>
      </c>
      <c r="Z24" s="4">
        <f>'Endett. net + degré d''auto.'!Z41</f>
        <v>3612940.13</v>
      </c>
      <c r="AA24" s="4">
        <f>'Endett. net + degré d''auto.'!AA41</f>
        <v>44754.25</v>
      </c>
      <c r="AB24" s="4">
        <f>'Endett. net + degré d''auto.'!AB41</f>
        <v>-9198.24</v>
      </c>
      <c r="AC24" s="4">
        <f>'Endett. net + degré d''auto.'!AC41</f>
        <v>-278712.08999999997</v>
      </c>
      <c r="AD24" s="4">
        <f>'Endett. net + degré d''auto.'!AD41</f>
        <v>-199633.86</v>
      </c>
      <c r="AE24" s="4">
        <f>'Endett. net + degré d''auto.'!AE41</f>
        <v>-49418.240000000013</v>
      </c>
      <c r="AF24" s="4">
        <f>'Endett. net + degré d''auto.'!AF41</f>
        <v>460433.87</v>
      </c>
      <c r="AG24" s="4">
        <f>'Endett. net + degré d''auto.'!AG41</f>
        <v>1326940.22</v>
      </c>
      <c r="AH24" s="4">
        <f>'Endett. net + degré d''auto.'!AH41</f>
        <v>1154249</v>
      </c>
      <c r="AI24" s="4">
        <f>'Endett. net + degré d''auto.'!AI41</f>
        <v>199878</v>
      </c>
      <c r="AJ24" s="4">
        <f>'Endett. net + degré d''auto.'!AJ41</f>
        <v>-34242.9</v>
      </c>
      <c r="AK24" s="4">
        <f>'Endett. net + degré d''auto.'!AK41</f>
        <v>78262.3</v>
      </c>
      <c r="AL24" s="4">
        <f>'Endett. net + degré d''auto.'!AL41</f>
        <v>351169</v>
      </c>
      <c r="AM24" s="4">
        <f>'Endett. net + degré d''auto.'!AM41</f>
        <v>74800</v>
      </c>
      <c r="AN24" s="4">
        <f>'Endett. net + degré d''auto.'!AN41</f>
        <v>33942.740000000005</v>
      </c>
      <c r="AO24" s="4">
        <f>'Endett. net + degré d''auto.'!AO41</f>
        <v>654861.09</v>
      </c>
      <c r="AP24" s="4">
        <f>'Endett. net + degré d''auto.'!AP41</f>
        <v>552003.74</v>
      </c>
      <c r="AQ24" s="4">
        <f>'Endett. net + degré d''auto.'!AQ41</f>
        <v>300994</v>
      </c>
      <c r="AR24" s="4">
        <f>'Endett. net + degré d''auto.'!AR41</f>
        <v>754497.03999999992</v>
      </c>
      <c r="AS24" s="4">
        <f>'Endett. net + degré d''auto.'!AS41</f>
        <v>183781.52</v>
      </c>
      <c r="AT24" s="4">
        <f>'Endett. net + degré d''auto.'!AT41</f>
        <v>51568.060000000012</v>
      </c>
      <c r="AU24" s="4">
        <f>'Endett. net + degré d''auto.'!AU41</f>
        <v>1356568</v>
      </c>
      <c r="AV24" s="4">
        <f>'Endett. net + degré d''auto.'!AV41</f>
        <v>-824702.74</v>
      </c>
      <c r="AW24" s="4">
        <f>'Endett. net + degré d''auto.'!AW41</f>
        <v>41052.320000000007</v>
      </c>
      <c r="AX24" s="4">
        <f>'Endett. net + degré d''auto.'!AX41</f>
        <v>1414.0600000000013</v>
      </c>
      <c r="AY24" s="4">
        <f>'Endett. net + degré d''auto.'!AY41</f>
        <v>225632.85</v>
      </c>
      <c r="AZ24" s="4">
        <f>'Endett. net + degré d''auto.'!AZ41</f>
        <v>670622.73</v>
      </c>
      <c r="BA24" s="4">
        <f>'Endett. net + degré d''auto.'!BA41</f>
        <v>253173.4</v>
      </c>
      <c r="BB24" s="4">
        <f>'Endett. net + degré d''auto.'!BB41</f>
        <v>769502.15</v>
      </c>
      <c r="BC24" s="4">
        <f>'Endett. net + degré d''auto.'!BC41</f>
        <v>10198.42</v>
      </c>
      <c r="BD24" s="4">
        <f>'Endett. net + degré d''auto.'!BD41</f>
        <v>4085388.59</v>
      </c>
      <c r="BE24" s="4">
        <f>'Endett. net + degré d''auto.'!BE41</f>
        <v>118080.94</v>
      </c>
      <c r="BF24" s="4">
        <f t="shared" si="0"/>
        <v>6055352.620000001</v>
      </c>
      <c r="BG24" s="4">
        <f t="shared" si="1"/>
        <v>6687471.9199999999</v>
      </c>
      <c r="BH24" s="4">
        <f t="shared" si="2"/>
        <v>9742810.209999999</v>
      </c>
    </row>
    <row r="25" spans="1:60" ht="15" thickBot="1" x14ac:dyDescent="0.35">
      <c r="A25" s="7"/>
      <c r="D25" s="4"/>
      <c r="BF25" s="4"/>
      <c r="BG25" s="4"/>
      <c r="BH25" s="4"/>
    </row>
    <row r="26" spans="1:60" ht="15" thickBot="1" x14ac:dyDescent="0.35">
      <c r="A26" s="7" t="s">
        <v>532</v>
      </c>
      <c r="D26" s="120">
        <f>'Quotité d''intéret + revenus det'!D23</f>
        <v>211051448.30999997</v>
      </c>
      <c r="E26" s="4">
        <f>'Quotité d''intéret + revenus det'!E23</f>
        <v>3316356.05</v>
      </c>
      <c r="F26" s="4">
        <f>'Quotité d''intéret + revenus det'!F23</f>
        <v>708479.36</v>
      </c>
      <c r="G26" s="4">
        <f>'Quotité d''intéret + revenus det'!G23</f>
        <v>1151250.3</v>
      </c>
      <c r="H26" s="4">
        <f>'Quotité d''intéret + revenus det'!H23</f>
        <v>1031246.7000000001</v>
      </c>
      <c r="I26" s="4">
        <f>'Quotité d''intéret + revenus det'!I23</f>
        <v>7505998</v>
      </c>
      <c r="J26" s="4">
        <f>'Quotité d''intéret + revenus det'!J23</f>
        <v>9386117.5500000007</v>
      </c>
      <c r="K26" s="4">
        <f>'Quotité d''intéret + revenus det'!K23</f>
        <v>7074662.6100000003</v>
      </c>
      <c r="L26" s="4">
        <f>'Quotité d''intéret + revenus det'!L23</f>
        <v>36177201.799999997</v>
      </c>
      <c r="M26" s="4">
        <f>'Quotité d''intéret + revenus det'!M23</f>
        <v>3378882.63</v>
      </c>
      <c r="N26" s="4">
        <f>'Quotité d''intéret + revenus det'!N23</f>
        <v>0</v>
      </c>
      <c r="O26" s="4">
        <f>'Quotité d''intéret + revenus det'!O23</f>
        <v>16408899.699999999</v>
      </c>
      <c r="P26" s="4">
        <f>'Quotité d''intéret + revenus det'!P23</f>
        <v>1223857</v>
      </c>
      <c r="Q26" s="4">
        <f>'Quotité d''intéret + revenus det'!Q23</f>
        <v>187655.7</v>
      </c>
      <c r="R26" s="4">
        <f>'Quotité d''intéret + revenus det'!R23</f>
        <v>989182.65</v>
      </c>
      <c r="S26" s="4">
        <f>'Quotité d''intéret + revenus det'!S23</f>
        <v>722909.15</v>
      </c>
      <c r="T26" s="4">
        <f>'Quotité d''intéret + revenus det'!T23</f>
        <v>1998942.1</v>
      </c>
      <c r="U26" s="4">
        <f>'Quotité d''intéret + revenus det'!U23</f>
        <v>596548.80000000005</v>
      </c>
      <c r="V26" s="4">
        <f>'Quotité d''intéret + revenus det'!V23</f>
        <v>1298541.25</v>
      </c>
      <c r="W26" s="4">
        <f>'Quotité d''intéret + revenus det'!W23</f>
        <v>7360026.75</v>
      </c>
      <c r="X26" s="4">
        <f>'Quotité d''intéret + revenus det'!X23</f>
        <v>848811</v>
      </c>
      <c r="Y26" s="4">
        <f>'Quotité d''intéret + revenus det'!Y23</f>
        <v>3758598.17</v>
      </c>
      <c r="Z26" s="4">
        <f>'Quotité d''intéret + revenus det'!Z23</f>
        <v>9516564.6999999993</v>
      </c>
      <c r="AA26" s="4">
        <f>'Quotité d''intéret + revenus det'!AA23</f>
        <v>50942</v>
      </c>
      <c r="AB26" s="4">
        <f>'Quotité d''intéret + revenus det'!AB23</f>
        <v>286207.2</v>
      </c>
      <c r="AC26" s="4">
        <f>'Quotité d''intéret + revenus det'!AC23</f>
        <v>857901.03</v>
      </c>
      <c r="AD26" s="4">
        <f>'Quotité d''intéret + revenus det'!AD23</f>
        <v>1168568.55</v>
      </c>
      <c r="AE26" s="4">
        <f>'Quotité d''intéret + revenus det'!AE23</f>
        <v>1230165.25</v>
      </c>
      <c r="AF26" s="4">
        <f>'Quotité d''intéret + revenus det'!AF23</f>
        <v>1252296.1499999999</v>
      </c>
      <c r="AG26" s="4">
        <f>'Quotité d''intéret + revenus det'!AG23</f>
        <v>6915032.8499999996</v>
      </c>
      <c r="AH26" s="4">
        <f>'Quotité d''intéret + revenus det'!AH23</f>
        <v>7675902</v>
      </c>
      <c r="AI26" s="4">
        <f>'Quotité d''intéret + revenus det'!AI23</f>
        <v>521416.35</v>
      </c>
      <c r="AJ26" s="4">
        <f>'Quotité d''intéret + revenus det'!AJ23</f>
        <v>298886.64999999997</v>
      </c>
      <c r="AK26" s="4">
        <f>'Quotité d''intéret + revenus det'!AK23</f>
        <v>5427042.9000000004</v>
      </c>
      <c r="AL26" s="4">
        <f>'Quotité d''intéret + revenus det'!AL23</f>
        <v>2482113.44</v>
      </c>
      <c r="AM26" s="4">
        <f>'Quotité d''intéret + revenus det'!AM23</f>
        <v>2961017.4</v>
      </c>
      <c r="AN26" s="4">
        <f>'Quotité d''intéret + revenus det'!AN23</f>
        <v>334540.34999999998</v>
      </c>
      <c r="AO26" s="4">
        <f>'Quotité d''intéret + revenus det'!AO23</f>
        <v>6828835.9500000002</v>
      </c>
      <c r="AP26" s="4">
        <f>'Quotité d''intéret + revenus det'!AP23</f>
        <v>1931797.0799999998</v>
      </c>
      <c r="AQ26" s="4">
        <f>'Quotité d''intéret + revenus det'!AQ23</f>
        <v>1951760</v>
      </c>
      <c r="AR26" s="4">
        <f>'Quotité d''intéret + revenus det'!AR23</f>
        <v>3322751.6</v>
      </c>
      <c r="AS26" s="4">
        <f>'Quotité d''intéret + revenus det'!AS23</f>
        <v>1689242</v>
      </c>
      <c r="AT26" s="4">
        <f>'Quotité d''intéret + revenus det'!AT23</f>
        <v>2391707.9500000002</v>
      </c>
      <c r="AU26" s="4">
        <f>'Quotité d''intéret + revenus det'!AU23</f>
        <v>2254217.35</v>
      </c>
      <c r="AV26" s="4">
        <f>'Quotité d''intéret + revenus det'!AV23</f>
        <v>5553039.5300000003</v>
      </c>
      <c r="AW26" s="4">
        <f>'Quotité d''intéret + revenus det'!AW23</f>
        <v>2202056.9</v>
      </c>
      <c r="AX26" s="4">
        <f>'Quotité d''intéret + revenus det'!AX23</f>
        <v>378808.9</v>
      </c>
      <c r="AY26" s="4">
        <f>'Quotité d''intéret + revenus det'!AY23</f>
        <v>902646.45</v>
      </c>
      <c r="AZ26" s="4">
        <f>'Quotité d''intéret + revenus det'!AZ23</f>
        <v>4857539.6000000006</v>
      </c>
      <c r="BA26" s="4">
        <f>'Quotité d''intéret + revenus det'!BA23</f>
        <v>984706.9</v>
      </c>
      <c r="BB26" s="4">
        <f>'Quotité d''intéret + revenus det'!BB23</f>
        <v>3613483.71</v>
      </c>
      <c r="BC26" s="4">
        <f>'Quotité d''intéret + revenus det'!BC23</f>
        <v>341683.35</v>
      </c>
      <c r="BD26" s="4">
        <f>'Quotité d''intéret + revenus det'!BD23</f>
        <v>24686130.600000001</v>
      </c>
      <c r="BE26" s="4">
        <f>'Quotité d''intéret + revenus det'!BE23</f>
        <v>1058276.3500000001</v>
      </c>
      <c r="BF26" s="4">
        <f t="shared" si="0"/>
        <v>100516758.10000001</v>
      </c>
      <c r="BG26" s="4">
        <f t="shared" si="1"/>
        <v>34381291.899999999</v>
      </c>
      <c r="BH26" s="4">
        <f t="shared" si="2"/>
        <v>76153398.310000002</v>
      </c>
    </row>
    <row r="27" spans="1:60" ht="15" thickBot="1" x14ac:dyDescent="0.35">
      <c r="A27" s="7"/>
      <c r="D27" s="4"/>
      <c r="BF27" s="4"/>
      <c r="BG27" s="4"/>
      <c r="BH27" s="4"/>
    </row>
    <row r="28" spans="1:60" ht="15" thickBot="1" x14ac:dyDescent="0.35">
      <c r="A28" s="7" t="s">
        <v>559</v>
      </c>
      <c r="D28" s="120">
        <f>IF(D26&lt;&gt;0,D24/D26,"")*100</f>
        <v>10.654101135080721</v>
      </c>
      <c r="E28" s="144">
        <f>IF(E26&lt;&gt;0,E24/E26,"")*100</f>
        <v>25.10164220756695</v>
      </c>
      <c r="F28" s="129">
        <f t="shared" ref="F28:BH28" si="6">IF(F26&lt;&gt;0,F24/F26,"")*100</f>
        <v>28.998061425529741</v>
      </c>
      <c r="G28" s="129">
        <f t="shared" si="6"/>
        <v>-5.3676389921461896</v>
      </c>
      <c r="H28" s="129">
        <f t="shared" si="6"/>
        <v>18.365644224606971</v>
      </c>
      <c r="I28" s="129">
        <f t="shared" si="6"/>
        <v>2.1890493442710442E-3</v>
      </c>
      <c r="J28" s="129">
        <f t="shared" si="6"/>
        <v>19.993360087419742</v>
      </c>
      <c r="K28" s="129">
        <f t="shared" si="6"/>
        <v>6.8834249326838224</v>
      </c>
      <c r="L28" s="129">
        <f t="shared" si="6"/>
        <v>4.0598128846991139</v>
      </c>
      <c r="M28" s="129">
        <f t="shared" si="6"/>
        <v>1.3324573514410587</v>
      </c>
      <c r="N28" s="129" t="e">
        <f t="shared" si="6"/>
        <v>#VALUE!</v>
      </c>
      <c r="O28" s="129">
        <f t="shared" si="6"/>
        <v>-2.4880831589213752</v>
      </c>
      <c r="P28" s="129">
        <f t="shared" si="6"/>
        <v>5.3929429663759745</v>
      </c>
      <c r="Q28" s="129">
        <f t="shared" si="6"/>
        <v>-39.123522493587991</v>
      </c>
      <c r="R28" s="129">
        <f t="shared" si="6"/>
        <v>6.5176456542176506</v>
      </c>
      <c r="S28" s="129">
        <f t="shared" si="6"/>
        <v>7.536027175752305</v>
      </c>
      <c r="T28" s="129">
        <f t="shared" si="6"/>
        <v>9.0991224808362379</v>
      </c>
      <c r="U28" s="129">
        <f t="shared" si="6"/>
        <v>5.2396803077971157</v>
      </c>
      <c r="V28" s="129">
        <f t="shared" si="6"/>
        <v>-0.30677577627973046</v>
      </c>
      <c r="W28" s="129">
        <f t="shared" si="6"/>
        <v>14.944614433636403</v>
      </c>
      <c r="X28" s="129">
        <f t="shared" si="6"/>
        <v>17.801725001207572</v>
      </c>
      <c r="Y28" s="129">
        <f t="shared" si="6"/>
        <v>8.2046222036020424</v>
      </c>
      <c r="Z28" s="129">
        <f t="shared" si="6"/>
        <v>37.964751398159464</v>
      </c>
      <c r="AA28" s="129">
        <f t="shared" si="6"/>
        <v>87.853343017549363</v>
      </c>
      <c r="AB28" s="129">
        <f t="shared" si="6"/>
        <v>-3.2138394841219928</v>
      </c>
      <c r="AC28" s="129">
        <f t="shared" si="6"/>
        <v>-32.487674015264901</v>
      </c>
      <c r="AD28" s="129">
        <f t="shared" si="6"/>
        <v>-17.083624234111038</v>
      </c>
      <c r="AE28" s="129">
        <f t="shared" si="6"/>
        <v>-4.0172033797898301</v>
      </c>
      <c r="AF28" s="129">
        <f t="shared" si="6"/>
        <v>36.767171247791509</v>
      </c>
      <c r="AG28" s="129">
        <f t="shared" si="6"/>
        <v>19.189210648507622</v>
      </c>
      <c r="AH28" s="129">
        <f t="shared" si="6"/>
        <v>15.0373076675549</v>
      </c>
      <c r="AI28" s="129">
        <f t="shared" si="6"/>
        <v>38.333665601395126</v>
      </c>
      <c r="AJ28" s="129">
        <f t="shared" si="6"/>
        <v>-11.456818161667643</v>
      </c>
      <c r="AK28" s="129">
        <f t="shared" si="6"/>
        <v>1.4420799953506909</v>
      </c>
      <c r="AL28" s="129">
        <f t="shared" si="6"/>
        <v>14.147983502317283</v>
      </c>
      <c r="AM28" s="129">
        <f t="shared" si="6"/>
        <v>2.5261587453015304</v>
      </c>
      <c r="AN28" s="129">
        <f t="shared" si="6"/>
        <v>10.146082527862486</v>
      </c>
      <c r="AO28" s="129">
        <f t="shared" si="6"/>
        <v>9.5896444839914476</v>
      </c>
      <c r="AP28" s="129">
        <f t="shared" si="6"/>
        <v>28.574623376074264</v>
      </c>
      <c r="AQ28" s="129">
        <f t="shared" si="6"/>
        <v>15.421670697216872</v>
      </c>
      <c r="AR28" s="129">
        <f t="shared" si="6"/>
        <v>22.706995009798504</v>
      </c>
      <c r="AS28" s="129">
        <f t="shared" si="6"/>
        <v>10.879525846503935</v>
      </c>
      <c r="AT28" s="129">
        <f t="shared" si="6"/>
        <v>2.156118601353481</v>
      </c>
      <c r="AU28" s="129">
        <f t="shared" si="6"/>
        <v>60.179112719543213</v>
      </c>
      <c r="AV28" s="129">
        <f t="shared" si="6"/>
        <v>-14.851375279152748</v>
      </c>
      <c r="AW28" s="129">
        <f t="shared" si="6"/>
        <v>1.8642715363077136</v>
      </c>
      <c r="AX28" s="129">
        <f t="shared" si="6"/>
        <v>0.37329112383579194</v>
      </c>
      <c r="AY28" s="129">
        <f t="shared" si="6"/>
        <v>24.9968135364627</v>
      </c>
      <c r="AZ28" s="129">
        <f t="shared" si="6"/>
        <v>13.805810867707594</v>
      </c>
      <c r="BA28" s="129">
        <f t="shared" si="6"/>
        <v>25.71053376390477</v>
      </c>
      <c r="BB28" s="129">
        <f t="shared" si="6"/>
        <v>21.295298713274121</v>
      </c>
      <c r="BC28" s="129">
        <f t="shared" si="6"/>
        <v>2.9847576711010357</v>
      </c>
      <c r="BD28" s="129">
        <f t="shared" si="6"/>
        <v>16.549327459200917</v>
      </c>
      <c r="BE28" s="129">
        <f t="shared" si="6"/>
        <v>11.157854940252609</v>
      </c>
      <c r="BF28" s="129">
        <f t="shared" si="6"/>
        <v>6.0242219650337097</v>
      </c>
      <c r="BG28" s="129">
        <f t="shared" si="6"/>
        <v>19.450903530474957</v>
      </c>
      <c r="BH28" s="129">
        <f t="shared" si="6"/>
        <v>12.79366440134377</v>
      </c>
    </row>
    <row r="29" spans="1:60" x14ac:dyDescent="0.3">
      <c r="A29" s="123" t="s">
        <v>560</v>
      </c>
      <c r="D29" s="126"/>
      <c r="BF29" s="4"/>
      <c r="BG29" s="4"/>
      <c r="BH29" s="4"/>
    </row>
    <row r="30" spans="1:60" x14ac:dyDescent="0.3">
      <c r="D30" s="4"/>
      <c r="BF30" s="4"/>
      <c r="BG30" s="4"/>
      <c r="BH30" s="4"/>
    </row>
    <row r="31" spans="1:60" x14ac:dyDescent="0.3">
      <c r="A31" s="7" t="s">
        <v>561</v>
      </c>
      <c r="C31" s="65" t="s">
        <v>507</v>
      </c>
      <c r="D31" s="128" t="s">
        <v>508</v>
      </c>
      <c r="BF31" s="4"/>
      <c r="BG31" s="4"/>
      <c r="BH31" s="4"/>
    </row>
    <row r="32" spans="1:60" x14ac:dyDescent="0.3">
      <c r="D32" s="4"/>
      <c r="BF32" s="4"/>
      <c r="BG32" s="4"/>
      <c r="BH32" s="4"/>
    </row>
    <row r="33" spans="1:60" x14ac:dyDescent="0.3">
      <c r="A33" s="111" t="s">
        <v>101</v>
      </c>
      <c r="B33" s="112" t="s">
        <v>231</v>
      </c>
      <c r="C33" s="111">
        <v>34</v>
      </c>
      <c r="D33" s="113">
        <f>'Base de données indicateurs1'!BF21</f>
        <v>7270594.0700000003</v>
      </c>
      <c r="E33" s="4">
        <f>'Base de données indicateurs1'!E21</f>
        <v>25957.09</v>
      </c>
      <c r="F33" s="4">
        <f>'Base de données indicateurs1'!F21</f>
        <v>53622.65</v>
      </c>
      <c r="G33" s="4">
        <f>'Base de données indicateurs1'!G21</f>
        <v>109242.38</v>
      </c>
      <c r="H33" s="4">
        <f>'Base de données indicateurs1'!H21</f>
        <v>79602.070000000007</v>
      </c>
      <c r="I33" s="4">
        <f>'Base de données indicateurs1'!I21</f>
        <v>167746</v>
      </c>
      <c r="J33" s="4">
        <f>'Base de données indicateurs1'!J21</f>
        <v>353755.02</v>
      </c>
      <c r="K33" s="4">
        <f>'Base de données indicateurs1'!K21</f>
        <v>190806.37</v>
      </c>
      <c r="L33" s="4">
        <f>'Base de données indicateurs1'!L21</f>
        <v>1293539.25</v>
      </c>
      <c r="M33" s="4">
        <f>'Base de données indicateurs1'!M21</f>
        <v>62498.61</v>
      </c>
      <c r="N33" s="4">
        <f>'Base de données indicateurs1'!N21</f>
        <v>0</v>
      </c>
      <c r="O33" s="4">
        <f>'Base de données indicateurs1'!O21</f>
        <v>409269.4</v>
      </c>
      <c r="P33" s="4">
        <f>'Base de données indicateurs1'!P21</f>
        <v>49806.81</v>
      </c>
      <c r="Q33" s="4">
        <f>'Base de données indicateurs1'!Q21</f>
        <v>9325.5300000000007</v>
      </c>
      <c r="R33" s="4">
        <f>'Base de données indicateurs1'!R21</f>
        <v>38513.269999999997</v>
      </c>
      <c r="S33" s="4">
        <f>'Base de données indicateurs1'!S21</f>
        <v>62506.13</v>
      </c>
      <c r="T33" s="4">
        <f>'Base de données indicateurs1'!T21</f>
        <v>106712.1</v>
      </c>
      <c r="U33" s="4">
        <f>'Base de données indicateurs1'!U21</f>
        <v>10641</v>
      </c>
      <c r="V33" s="4">
        <f>'Base de données indicateurs1'!V21</f>
        <v>64002.95</v>
      </c>
      <c r="W33" s="4">
        <f>'Base de données indicateurs1'!W21</f>
        <v>206751.8</v>
      </c>
      <c r="X33" s="4">
        <f>'Base de données indicateurs1'!X21</f>
        <v>17824</v>
      </c>
      <c r="Y33" s="4">
        <f>'Base de données indicateurs1'!Y21</f>
        <v>161629.54999999999</v>
      </c>
      <c r="Z33" s="4">
        <f>'Base de données indicateurs1'!Z21</f>
        <v>49245.58</v>
      </c>
      <c r="AA33" s="4">
        <f>'Base de données indicateurs1'!AA21</f>
        <v>4961</v>
      </c>
      <c r="AB33" s="4">
        <f>'Base de données indicateurs1'!AB21</f>
        <v>14428.89</v>
      </c>
      <c r="AC33" s="4">
        <f>'Base de données indicateurs1'!AC21</f>
        <v>36916.46</v>
      </c>
      <c r="AD33" s="4">
        <f>'Base de données indicateurs1'!AD21</f>
        <v>126012.01</v>
      </c>
      <c r="AE33" s="4">
        <f>'Base de données indicateurs1'!AE21</f>
        <v>38360.71</v>
      </c>
      <c r="AF33" s="4">
        <f>'Base de données indicateurs1'!AF21</f>
        <v>53662.75</v>
      </c>
      <c r="AG33" s="4">
        <f>'Base de données indicateurs1'!AG21</f>
        <v>135089.70000000001</v>
      </c>
      <c r="AH33" s="4">
        <f>'Base de données indicateurs1'!AH21</f>
        <v>309966</v>
      </c>
      <c r="AI33" s="4">
        <f>'Base de données indicateurs1'!AI21</f>
        <v>20703</v>
      </c>
      <c r="AJ33" s="4">
        <f>'Base de données indicateurs1'!AJ21</f>
        <v>42883.78</v>
      </c>
      <c r="AK33" s="4">
        <f>'Base de données indicateurs1'!AK21</f>
        <v>202458.52</v>
      </c>
      <c r="AL33" s="4">
        <f>'Base de données indicateurs1'!AL21</f>
        <v>35284</v>
      </c>
      <c r="AM33" s="4">
        <f>'Base de données indicateurs1'!AM21</f>
        <v>163768.79999999999</v>
      </c>
      <c r="AN33" s="4">
        <f>'Base de données indicateurs1'!AN21</f>
        <v>28646.12</v>
      </c>
      <c r="AO33" s="4">
        <f>'Base de données indicateurs1'!AO21</f>
        <v>251870.98</v>
      </c>
      <c r="AP33" s="4">
        <f>'Base de données indicateurs1'!AP21</f>
        <v>59393.55</v>
      </c>
      <c r="AQ33" s="4">
        <f>'Base de données indicateurs1'!AQ21</f>
        <v>47702</v>
      </c>
      <c r="AR33" s="4">
        <f>'Base de données indicateurs1'!AR21</f>
        <v>253950.22</v>
      </c>
      <c r="AS33" s="4">
        <f>'Base de données indicateurs1'!AS21</f>
        <v>105100.13</v>
      </c>
      <c r="AT33" s="4">
        <f>'Base de données indicateurs1'!AT21</f>
        <v>150456.45000000001</v>
      </c>
      <c r="AU33" s="4">
        <f>'Base de données indicateurs1'!AU21</f>
        <v>23204.25</v>
      </c>
      <c r="AV33" s="4">
        <f>'Base de données indicateurs1'!AV21</f>
        <v>205298.78</v>
      </c>
      <c r="AW33" s="4">
        <f>'Base de données indicateurs1'!AW21</f>
        <v>48284.98</v>
      </c>
      <c r="AX33" s="4">
        <f>'Base de données indicateurs1'!AX21</f>
        <v>12648.8</v>
      </c>
      <c r="AY33" s="4">
        <f>'Base de données indicateurs1'!AY21</f>
        <v>16514.060000000001</v>
      </c>
      <c r="AZ33" s="4">
        <f>'Base de données indicateurs1'!AZ21</f>
        <v>249349.03</v>
      </c>
      <c r="BA33" s="4">
        <f>'Base de données indicateurs1'!BA21</f>
        <v>12565.11</v>
      </c>
      <c r="BB33" s="4">
        <f>'Base de données indicateurs1'!BB21</f>
        <v>114102.89</v>
      </c>
      <c r="BC33" s="4">
        <f>'Base de données indicateurs1'!BC21</f>
        <v>450.2</v>
      </c>
      <c r="BD33" s="4">
        <f>'Base de données indicateurs1'!BD21</f>
        <v>962411.89</v>
      </c>
      <c r="BE33" s="4">
        <f>'Base de données indicateurs1'!BE21</f>
        <v>21151.45</v>
      </c>
      <c r="BF33" s="4">
        <f t="shared" si="0"/>
        <v>3294298.4299999997</v>
      </c>
      <c r="BG33" s="4">
        <f t="shared" si="1"/>
        <v>1011683.4300000002</v>
      </c>
      <c r="BH33" s="4">
        <f t="shared" si="2"/>
        <v>2964612.21</v>
      </c>
    </row>
    <row r="34" spans="1:60" x14ac:dyDescent="0.3">
      <c r="A34" s="114" t="s">
        <v>288</v>
      </c>
      <c r="B34" s="115" t="s">
        <v>232</v>
      </c>
      <c r="C34" s="114">
        <v>440</v>
      </c>
      <c r="D34" s="116">
        <f>'Base de données indicateurs1'!BF41</f>
        <v>2762183.310000001</v>
      </c>
      <c r="E34" s="4">
        <f>'Base de données indicateurs1'!E41</f>
        <v>23418.3</v>
      </c>
      <c r="F34" s="4">
        <f>'Base de données indicateurs1'!F41</f>
        <v>14462.33</v>
      </c>
      <c r="G34" s="4">
        <f>'Base de données indicateurs1'!G41</f>
        <v>8419.7000000000007</v>
      </c>
      <c r="H34" s="4">
        <f>'Base de données indicateurs1'!H41</f>
        <v>8186.86</v>
      </c>
      <c r="I34" s="4">
        <f>'Base de données indicateurs1'!I41</f>
        <v>153171</v>
      </c>
      <c r="J34" s="4">
        <f>'Base de données indicateurs1'!J41</f>
        <v>129767.64</v>
      </c>
      <c r="K34" s="4">
        <f>'Base de données indicateurs1'!K41</f>
        <v>41256.25</v>
      </c>
      <c r="L34" s="4">
        <f>'Base de données indicateurs1'!L41</f>
        <v>889346.59</v>
      </c>
      <c r="M34" s="4">
        <f>'Base de données indicateurs1'!M41</f>
        <v>40171.1</v>
      </c>
      <c r="N34" s="4">
        <f>'Base de données indicateurs1'!N41</f>
        <v>0</v>
      </c>
      <c r="O34" s="4">
        <f>'Base de données indicateurs1'!O41</f>
        <v>135941.74</v>
      </c>
      <c r="P34" s="4">
        <f>'Base de données indicateurs1'!P41</f>
        <v>9076.1</v>
      </c>
      <c r="Q34" s="4">
        <f>'Base de données indicateurs1'!Q41</f>
        <v>4220.45</v>
      </c>
      <c r="R34" s="4">
        <f>'Base de données indicateurs1'!R41</f>
        <v>158.27000000000001</v>
      </c>
      <c r="S34" s="4">
        <f>'Base de données indicateurs1'!S41</f>
        <v>6042.65</v>
      </c>
      <c r="T34" s="4">
        <f>'Base de données indicateurs1'!T41</f>
        <v>18851.05</v>
      </c>
      <c r="U34" s="4">
        <f>'Base de données indicateurs1'!U41</f>
        <v>6215.75</v>
      </c>
      <c r="V34" s="4">
        <f>'Base de données indicateurs1'!V41</f>
        <v>10386.93</v>
      </c>
      <c r="W34" s="4">
        <f>'Base de données indicateurs1'!W41</f>
        <v>79792.3</v>
      </c>
      <c r="X34" s="4">
        <f>'Base de données indicateurs1'!X41</f>
        <v>3271</v>
      </c>
      <c r="Y34" s="4">
        <f>'Base de données indicateurs1'!Y41</f>
        <v>41377.25</v>
      </c>
      <c r="Z34" s="4">
        <f>'Base de données indicateurs1'!Z41</f>
        <v>36248.74</v>
      </c>
      <c r="AA34" s="4">
        <f>'Base de données indicateurs1'!AA41</f>
        <v>562</v>
      </c>
      <c r="AB34" s="4">
        <f>'Base de données indicateurs1'!AB41</f>
        <v>2678</v>
      </c>
      <c r="AC34" s="4">
        <f>'Base de données indicateurs1'!AC41</f>
        <v>8518.5499999999993</v>
      </c>
      <c r="AD34" s="4">
        <f>'Base de données indicateurs1'!AD41</f>
        <v>115681.05</v>
      </c>
      <c r="AE34" s="4">
        <f>'Base de données indicateurs1'!AE41</f>
        <v>10361.08</v>
      </c>
      <c r="AF34" s="4">
        <f>'Base de données indicateurs1'!AF41</f>
        <v>296.7</v>
      </c>
      <c r="AG34" s="4">
        <f>'Base de données indicateurs1'!AG41</f>
        <v>29889.65</v>
      </c>
      <c r="AH34" s="4">
        <f>'Base de données indicateurs1'!AH41</f>
        <v>41227.97</v>
      </c>
      <c r="AI34" s="4">
        <f>'Base de données indicateurs1'!AI41</f>
        <v>12342.43</v>
      </c>
      <c r="AJ34" s="4">
        <f>'Base de données indicateurs1'!AJ41</f>
        <v>4175.1000000000004</v>
      </c>
      <c r="AK34" s="4">
        <f>'Base de données indicateurs1'!AK41</f>
        <v>105842.76</v>
      </c>
      <c r="AL34" s="4">
        <f>'Base de données indicateurs1'!AL41</f>
        <v>26934</v>
      </c>
      <c r="AM34" s="4">
        <f>'Base de données indicateurs1'!AM41</f>
        <v>42752.800000000003</v>
      </c>
      <c r="AN34" s="4">
        <f>'Base de données indicateurs1'!AN41</f>
        <v>6870.04</v>
      </c>
      <c r="AO34" s="4">
        <f>'Base de données indicateurs1'!AO41</f>
        <v>28354.12</v>
      </c>
      <c r="AP34" s="4">
        <f>'Base de données indicateurs1'!AP41</f>
        <v>25847.45</v>
      </c>
      <c r="AQ34" s="4">
        <f>'Base de données indicateurs1'!AQ41</f>
        <v>16980.400000000001</v>
      </c>
      <c r="AR34" s="4">
        <f>'Base de données indicateurs1'!AR41</f>
        <v>31166.18</v>
      </c>
      <c r="AS34" s="4">
        <f>'Base de données indicateurs1'!AS41</f>
        <v>43080.91</v>
      </c>
      <c r="AT34" s="4">
        <f>'Base de données indicateurs1'!AT41</f>
        <v>66001.039999999994</v>
      </c>
      <c r="AU34" s="4">
        <f>'Base de données indicateurs1'!AU41</f>
        <v>4916.3500000000004</v>
      </c>
      <c r="AV34" s="4">
        <f>'Base de données indicateurs1'!AV41</f>
        <v>51808.72</v>
      </c>
      <c r="AW34" s="4">
        <f>'Base de données indicateurs1'!AW41</f>
        <v>15471.29</v>
      </c>
      <c r="AX34" s="4">
        <f>'Base de données indicateurs1'!AX41</f>
        <v>3549.64</v>
      </c>
      <c r="AY34" s="4">
        <f>'Base de données indicateurs1'!AY41</f>
        <v>8404.1</v>
      </c>
      <c r="AZ34" s="4">
        <f>'Base de données indicateurs1'!AZ41</f>
        <v>52198.84</v>
      </c>
      <c r="BA34" s="4">
        <f>'Base de données indicateurs1'!BA41</f>
        <v>12193.98</v>
      </c>
      <c r="BB34" s="4">
        <f>'Base de données indicateurs1'!BB41</f>
        <v>38820</v>
      </c>
      <c r="BC34" s="4">
        <f>'Base de données indicateurs1'!BC41</f>
        <v>3699.85</v>
      </c>
      <c r="BD34" s="4">
        <f>'Base de données indicateurs1'!BD41</f>
        <v>268547.32</v>
      </c>
      <c r="BE34" s="4">
        <f>'Base de données indicateurs1'!BE41</f>
        <v>23228.99</v>
      </c>
      <c r="BF34" s="4">
        <f t="shared" si="0"/>
        <v>1578885.01</v>
      </c>
      <c r="BG34" s="4">
        <f t="shared" si="1"/>
        <v>306629.51999999996</v>
      </c>
      <c r="BH34" s="4">
        <f t="shared" si="2"/>
        <v>876668.78</v>
      </c>
    </row>
    <row r="35" spans="1:60" x14ac:dyDescent="0.3">
      <c r="A35" s="114" t="s">
        <v>562</v>
      </c>
      <c r="B35" s="115" t="s">
        <v>232</v>
      </c>
      <c r="C35" s="114">
        <v>441</v>
      </c>
      <c r="D35" s="116">
        <f>'Base de données indicateurs1'!BF42</f>
        <v>443582.25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0</v>
      </c>
      <c r="N35" s="4">
        <f>'Base de données indicateurs1'!N42</f>
        <v>0</v>
      </c>
      <c r="O35" s="4">
        <f>'Base de données indicateurs1'!O42</f>
        <v>5580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86244.2</v>
      </c>
      <c r="X35" s="4">
        <f>'Base de données indicateurs1'!X42</f>
        <v>0</v>
      </c>
      <c r="Y35" s="4">
        <f>'Base de données indicateurs1'!Y42</f>
        <v>0</v>
      </c>
      <c r="Z35" s="4">
        <f>'Base de données indicateurs1'!Z42</f>
        <v>0</v>
      </c>
      <c r="AA35" s="4">
        <f>'Base de données indicateurs1'!AA42</f>
        <v>0</v>
      </c>
      <c r="AB35" s="4">
        <f>'Base de données indicateurs1'!AB42</f>
        <v>740</v>
      </c>
      <c r="AC35" s="4">
        <f>'Base de données indicateurs1'!AC42</f>
        <v>0</v>
      </c>
      <c r="AD35" s="4">
        <f>'Base de données indicateurs1'!AD42</f>
        <v>0</v>
      </c>
      <c r="AE35" s="4">
        <f>'Base de données indicateurs1'!AE42</f>
        <v>46655</v>
      </c>
      <c r="AF35" s="4">
        <f>'Base de données indicateurs1'!AF42</f>
        <v>0</v>
      </c>
      <c r="AG35" s="4">
        <f>'Base de données indicateurs1'!AG42</f>
        <v>3210</v>
      </c>
      <c r="AH35" s="4">
        <f>'Base de données indicateurs1'!AH42</f>
        <v>152600.54999999999</v>
      </c>
      <c r="AI35" s="4">
        <f>'Base de données indicateurs1'!AI42</f>
        <v>0</v>
      </c>
      <c r="AJ35" s="4">
        <f>'Base de données indicateurs1'!AJ42</f>
        <v>0</v>
      </c>
      <c r="AK35" s="4">
        <f>'Base de données indicateurs1'!AK42</f>
        <v>0</v>
      </c>
      <c r="AL35" s="4">
        <f>'Base de données indicateurs1'!AL42</f>
        <v>0</v>
      </c>
      <c r="AM35" s="4">
        <f>'Base de données indicateurs1'!AM42</f>
        <v>1400</v>
      </c>
      <c r="AN35" s="4">
        <f>'Base de données indicateurs1'!AN42</f>
        <v>0</v>
      </c>
      <c r="AO35" s="4">
        <f>'Base de données indicateurs1'!AO42</f>
        <v>75390</v>
      </c>
      <c r="AP35" s="4">
        <f>'Base de données indicateurs1'!AP42</f>
        <v>0</v>
      </c>
      <c r="AQ35" s="4">
        <f>'Base de données indicateurs1'!AQ42</f>
        <v>0</v>
      </c>
      <c r="AR35" s="4">
        <f>'Base de données indicateurs1'!AR42</f>
        <v>43060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4030</v>
      </c>
      <c r="AZ35" s="4">
        <f>'Base de données indicateurs1'!AZ42</f>
        <v>0</v>
      </c>
      <c r="BA35" s="4">
        <f>'Base de données indicateurs1'!BA42</f>
        <v>0</v>
      </c>
      <c r="BB35" s="4">
        <f>'Base de données indicateurs1'!BB42</f>
        <v>24672.5</v>
      </c>
      <c r="BC35" s="4">
        <f>'Base de données indicateurs1'!BC42</f>
        <v>0</v>
      </c>
      <c r="BD35" s="4">
        <f>'Base de données indicateurs1'!BD42</f>
        <v>0</v>
      </c>
      <c r="BE35" s="4">
        <f>'Base de données indicateurs1'!BE42</f>
        <v>0</v>
      </c>
      <c r="BF35" s="4">
        <f t="shared" si="0"/>
        <v>91824.2</v>
      </c>
      <c r="BG35" s="4">
        <f t="shared" si="1"/>
        <v>203205.55</v>
      </c>
      <c r="BH35" s="4">
        <f t="shared" si="2"/>
        <v>148552.5</v>
      </c>
    </row>
    <row r="36" spans="1:60" x14ac:dyDescent="0.3">
      <c r="A36" s="114" t="s">
        <v>563</v>
      </c>
      <c r="B36" s="115" t="s">
        <v>232</v>
      </c>
      <c r="C36" s="114">
        <v>442</v>
      </c>
      <c r="D36" s="116">
        <f>'Base de données indicateurs1'!BF43</f>
        <v>121754.92</v>
      </c>
      <c r="E36" s="4">
        <f>'Base de données indicateurs1'!E43</f>
        <v>60.1</v>
      </c>
      <c r="F36" s="4">
        <f>'Base de données indicateurs1'!F43</f>
        <v>0</v>
      </c>
      <c r="G36" s="4">
        <f>'Base de données indicateurs1'!G43</f>
        <v>0</v>
      </c>
      <c r="H36" s="4">
        <f>'Base de données indicateurs1'!H43</f>
        <v>0</v>
      </c>
      <c r="I36" s="4">
        <f>'Base de données indicateurs1'!I43</f>
        <v>6026</v>
      </c>
      <c r="J36" s="4">
        <f>'Base de données indicateurs1'!J43</f>
        <v>37</v>
      </c>
      <c r="K36" s="4">
        <f>'Base de données indicateurs1'!K43</f>
        <v>0</v>
      </c>
      <c r="L36" s="4">
        <f>'Base de données indicateurs1'!L43</f>
        <v>56657.5</v>
      </c>
      <c r="M36" s="4">
        <f>'Base de données indicateurs1'!M43</f>
        <v>0</v>
      </c>
      <c r="N36" s="4">
        <f>'Base de données indicateurs1'!N43</f>
        <v>0</v>
      </c>
      <c r="O36" s="4">
        <f>'Base de données indicateurs1'!O43</f>
        <v>3677.5</v>
      </c>
      <c r="P36" s="4">
        <f>'Base de données indicateurs1'!P43</f>
        <v>0</v>
      </c>
      <c r="Q36" s="4">
        <f>'Base de données indicateurs1'!Q43</f>
        <v>34.67</v>
      </c>
      <c r="R36" s="4">
        <f>'Base de données indicateurs1'!R43</f>
        <v>0</v>
      </c>
      <c r="S36" s="4">
        <f>'Base de données indicateurs1'!S43</f>
        <v>0</v>
      </c>
      <c r="T36" s="4">
        <f>'Base de données indicateurs1'!T43</f>
        <v>325</v>
      </c>
      <c r="U36" s="4">
        <f>'Base de données indicateurs1'!U43</f>
        <v>0</v>
      </c>
      <c r="V36" s="4">
        <f>'Base de données indicateurs1'!V43</f>
        <v>0</v>
      </c>
      <c r="W36" s="4">
        <f>'Base de données indicateurs1'!W43</f>
        <v>219.42</v>
      </c>
      <c r="X36" s="4">
        <f>'Base de données indicateurs1'!X43</f>
        <v>5</v>
      </c>
      <c r="Y36" s="4">
        <f>'Base de données indicateurs1'!Y43</f>
        <v>0</v>
      </c>
      <c r="Z36" s="4">
        <f>'Base de données indicateurs1'!Z43</f>
        <v>0</v>
      </c>
      <c r="AA36" s="4">
        <f>'Base de données indicateurs1'!AA43</f>
        <v>0</v>
      </c>
      <c r="AB36" s="4">
        <f>'Base de données indicateurs1'!AB43</f>
        <v>0</v>
      </c>
      <c r="AC36" s="4">
        <f>'Base de données indicateurs1'!AC43</f>
        <v>880</v>
      </c>
      <c r="AD36" s="4">
        <f>'Base de données indicateurs1'!AD43</f>
        <v>0</v>
      </c>
      <c r="AE36" s="4">
        <f>'Base de données indicateurs1'!AE43</f>
        <v>0</v>
      </c>
      <c r="AF36" s="4">
        <f>'Base de données indicateurs1'!AF43</f>
        <v>11004.9</v>
      </c>
      <c r="AG36" s="4">
        <f>'Base de données indicateurs1'!AG43</f>
        <v>7415</v>
      </c>
      <c r="AH36" s="4">
        <f>'Base de données indicateurs1'!AH43</f>
        <v>0</v>
      </c>
      <c r="AI36" s="4">
        <f>'Base de données indicateurs1'!AI43</f>
        <v>0</v>
      </c>
      <c r="AJ36" s="4">
        <f>'Base de données indicateurs1'!AJ43</f>
        <v>0</v>
      </c>
      <c r="AK36" s="4">
        <f>'Base de données indicateurs1'!AK43</f>
        <v>0</v>
      </c>
      <c r="AL36" s="4">
        <f>'Base de données indicateurs1'!AL43</f>
        <v>1618</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6957</v>
      </c>
      <c r="AS36" s="4">
        <f>'Base de données indicateurs1'!AS43</f>
        <v>0</v>
      </c>
      <c r="AT36" s="4">
        <f>'Base de données indicateurs1'!AT43</f>
        <v>380</v>
      </c>
      <c r="AU36" s="4">
        <f>'Base de données indicateurs1'!AU43</f>
        <v>0</v>
      </c>
      <c r="AV36" s="4">
        <f>'Base de données indicateurs1'!AV43</f>
        <v>1657.5</v>
      </c>
      <c r="AW36" s="4">
        <f>'Base de données indicateurs1'!AW43</f>
        <v>1926.33</v>
      </c>
      <c r="AX36" s="4">
        <f>'Base de données indicateurs1'!AX43</f>
        <v>0</v>
      </c>
      <c r="AY36" s="4">
        <f>'Base de données indicateurs1'!AY43</f>
        <v>0</v>
      </c>
      <c r="AZ36" s="4">
        <f>'Base de données indicateurs1'!AZ43</f>
        <v>0</v>
      </c>
      <c r="BA36" s="4">
        <f>'Base de données indicateurs1'!BA43</f>
        <v>0</v>
      </c>
      <c r="BB36" s="4">
        <f>'Base de données indicateurs1'!BB43</f>
        <v>302.25</v>
      </c>
      <c r="BC36" s="4">
        <f>'Base de données indicateurs1'!BC43</f>
        <v>0</v>
      </c>
      <c r="BD36" s="4">
        <f>'Base de données indicateurs1'!BD43</f>
        <v>22531.75</v>
      </c>
      <c r="BE36" s="4">
        <f>'Base de données indicateurs1'!BE43</f>
        <v>20</v>
      </c>
      <c r="BF36" s="4">
        <f t="shared" si="0"/>
        <v>67037.19</v>
      </c>
      <c r="BG36" s="4">
        <f t="shared" si="1"/>
        <v>19304.900000000001</v>
      </c>
      <c r="BH36" s="4">
        <f t="shared" si="2"/>
        <v>35412.83</v>
      </c>
    </row>
    <row r="37" spans="1:60" x14ac:dyDescent="0.3">
      <c r="A37" s="114" t="s">
        <v>564</v>
      </c>
      <c r="B37" s="115" t="s">
        <v>232</v>
      </c>
      <c r="C37" s="114">
        <v>443</v>
      </c>
      <c r="D37" s="116">
        <f>'Base de données indicateurs1'!BF44</f>
        <v>3879459.8200000003</v>
      </c>
      <c r="E37" s="4">
        <f>'Base de données indicateurs1'!E44</f>
        <v>22991.5</v>
      </c>
      <c r="F37" s="4">
        <f>'Base de données indicateurs1'!F44</f>
        <v>19700</v>
      </c>
      <c r="G37" s="4">
        <f>'Base de données indicateurs1'!G44</f>
        <v>106274.55</v>
      </c>
      <c r="H37" s="4">
        <f>'Base de données indicateurs1'!H44</f>
        <v>75065</v>
      </c>
      <c r="I37" s="4">
        <f>'Base de données indicateurs1'!I44</f>
        <v>385439</v>
      </c>
      <c r="J37" s="4">
        <f>'Base de données indicateurs1'!J44</f>
        <v>130480</v>
      </c>
      <c r="K37" s="4">
        <f>'Base de données indicateurs1'!K44</f>
        <v>130147</v>
      </c>
      <c r="L37" s="4">
        <f>'Base de données indicateurs1'!L44</f>
        <v>515299.8</v>
      </c>
      <c r="M37" s="4">
        <f>'Base de données indicateurs1'!M44</f>
        <v>20756.900000000001</v>
      </c>
      <c r="N37" s="4">
        <f>'Base de données indicateurs1'!N44</f>
        <v>0</v>
      </c>
      <c r="O37" s="4">
        <f>'Base de données indicateurs1'!O44</f>
        <v>128634.95</v>
      </c>
      <c r="P37" s="4">
        <f>'Base de données indicateurs1'!P44</f>
        <v>27510</v>
      </c>
      <c r="Q37" s="4">
        <f>'Base de données indicateurs1'!Q44</f>
        <v>10140</v>
      </c>
      <c r="R37" s="4">
        <f>'Base de données indicateurs1'!R44</f>
        <v>28680</v>
      </c>
      <c r="S37" s="4">
        <f>'Base de données indicateurs1'!S44</f>
        <v>11400</v>
      </c>
      <c r="T37" s="4">
        <f>'Base de données indicateurs1'!T44</f>
        <v>55367</v>
      </c>
      <c r="U37" s="4">
        <f>'Base de données indicateurs1'!U44</f>
        <v>0</v>
      </c>
      <c r="V37" s="4">
        <f>'Base de données indicateurs1'!V44</f>
        <v>23605</v>
      </c>
      <c r="W37" s="4">
        <f>'Base de données indicateurs1'!W44</f>
        <v>126933.5</v>
      </c>
      <c r="X37" s="4">
        <f>'Base de données indicateurs1'!X44</f>
        <v>14330</v>
      </c>
      <c r="Y37" s="4">
        <f>'Base de données indicateurs1'!Y44</f>
        <v>42715</v>
      </c>
      <c r="Z37" s="4">
        <f>'Base de données indicateurs1'!Z44</f>
        <v>9605</v>
      </c>
      <c r="AA37" s="4">
        <f>'Base de données indicateurs1'!AA44</f>
        <v>13934</v>
      </c>
      <c r="AB37" s="4">
        <f>'Base de données indicateurs1'!AB44</f>
        <v>23780</v>
      </c>
      <c r="AC37" s="4">
        <f>'Base de données indicateurs1'!AC44</f>
        <v>12404.1</v>
      </c>
      <c r="AD37" s="4">
        <f>'Base de données indicateurs1'!AD44</f>
        <v>80000.5</v>
      </c>
      <c r="AE37" s="4">
        <f>'Base de données indicateurs1'!AE44</f>
        <v>2110</v>
      </c>
      <c r="AF37" s="4">
        <f>'Base de données indicateurs1'!AF44</f>
        <v>87195</v>
      </c>
      <c r="AG37" s="4">
        <f>'Base de données indicateurs1'!AG44</f>
        <v>93783.45</v>
      </c>
      <c r="AH37" s="4">
        <f>'Base de données indicateurs1'!AH44</f>
        <v>46144</v>
      </c>
      <c r="AI37" s="4">
        <f>'Base de données indicateurs1'!AI44</f>
        <v>0</v>
      </c>
      <c r="AJ37" s="4">
        <f>'Base de données indicateurs1'!AJ44</f>
        <v>41705</v>
      </c>
      <c r="AK37" s="4">
        <f>'Base de données indicateurs1'!AK44</f>
        <v>0</v>
      </c>
      <c r="AL37" s="4">
        <f>'Base de données indicateurs1'!AL44</f>
        <v>124060</v>
      </c>
      <c r="AM37" s="4">
        <f>'Base de données indicateurs1'!AM44</f>
        <v>75767</v>
      </c>
      <c r="AN37" s="4">
        <f>'Base de données indicateurs1'!AN44</f>
        <v>10735.7</v>
      </c>
      <c r="AO37" s="4">
        <f>'Base de données indicateurs1'!AO44</f>
        <v>204430.2</v>
      </c>
      <c r="AP37" s="4">
        <f>'Base de données indicateurs1'!AP44</f>
        <v>25952.2</v>
      </c>
      <c r="AQ37" s="4">
        <f>'Base de données indicateurs1'!AQ44</f>
        <v>4193.55</v>
      </c>
      <c r="AR37" s="4">
        <f>'Base de données indicateurs1'!AR44</f>
        <v>437887.87</v>
      </c>
      <c r="AS37" s="4">
        <f>'Base de données indicateurs1'!AS44</f>
        <v>10542.4</v>
      </c>
      <c r="AT37" s="4">
        <f>'Base de données indicateurs1'!AT44</f>
        <v>82790</v>
      </c>
      <c r="AU37" s="4">
        <f>'Base de données indicateurs1'!AU44</f>
        <v>25640</v>
      </c>
      <c r="AV37" s="4">
        <f>'Base de données indicateurs1'!AV44</f>
        <v>0</v>
      </c>
      <c r="AW37" s="4">
        <f>'Base de données indicateurs1'!AW44</f>
        <v>11017.35</v>
      </c>
      <c r="AX37" s="4">
        <f>'Base de données indicateurs1'!AX44</f>
        <v>13505.9</v>
      </c>
      <c r="AY37" s="4">
        <f>'Base de données indicateurs1'!AY44</f>
        <v>39303.699999999997</v>
      </c>
      <c r="AZ37" s="4">
        <f>'Base de données indicateurs1'!AZ44</f>
        <v>66998.3</v>
      </c>
      <c r="BA37" s="4">
        <f>'Base de données indicateurs1'!BA44</f>
        <v>32771</v>
      </c>
      <c r="BB37" s="4">
        <f>'Base de données indicateurs1'!BB44</f>
        <v>113307.5</v>
      </c>
      <c r="BC37" s="4">
        <f>'Base de données indicateurs1'!BC44</f>
        <v>3000</v>
      </c>
      <c r="BD37" s="4">
        <f>'Base de données indicateurs1'!BD44</f>
        <v>261552.3</v>
      </c>
      <c r="BE37" s="4">
        <f>'Base de données indicateurs1'!BE44</f>
        <v>49874.6</v>
      </c>
      <c r="BF37" s="4">
        <f t="shared" si="0"/>
        <v>1818424.2</v>
      </c>
      <c r="BG37" s="4">
        <f t="shared" si="1"/>
        <v>467706.05</v>
      </c>
      <c r="BH37" s="4">
        <f t="shared" si="2"/>
        <v>1593329.5700000003</v>
      </c>
    </row>
    <row r="38" spans="1:60" x14ac:dyDescent="0.3">
      <c r="A38" s="114" t="s">
        <v>565</v>
      </c>
      <c r="B38" s="115" t="s">
        <v>232</v>
      </c>
      <c r="C38" s="114">
        <v>444</v>
      </c>
      <c r="D38" s="116">
        <f>'Base de données indicateurs1'!BF45</f>
        <v>1149980.3999999999</v>
      </c>
      <c r="E38" s="4">
        <f>'Base de données indicateurs1'!E45</f>
        <v>0</v>
      </c>
      <c r="F38" s="4">
        <f>'Base de données indicateurs1'!F45</f>
        <v>0</v>
      </c>
      <c r="G38" s="4">
        <f>'Base de données indicateurs1'!G45</f>
        <v>0</v>
      </c>
      <c r="H38" s="4">
        <f>'Base de données indicateurs1'!H45</f>
        <v>0</v>
      </c>
      <c r="I38" s="4">
        <f>'Base de données indicateurs1'!I45</f>
        <v>61160</v>
      </c>
      <c r="J38" s="4">
        <f>'Base de données indicateurs1'!J45</f>
        <v>0</v>
      </c>
      <c r="K38" s="4">
        <f>'Base de données indicateurs1'!K45</f>
        <v>0</v>
      </c>
      <c r="L38" s="4">
        <f>'Base de données indicateurs1'!L45</f>
        <v>0</v>
      </c>
      <c r="M38" s="4">
        <f>'Base de données indicateurs1'!M45</f>
        <v>140</v>
      </c>
      <c r="N38" s="4">
        <f>'Base de données indicateurs1'!N45</f>
        <v>0</v>
      </c>
      <c r="O38" s="4">
        <f>'Base de données indicateurs1'!O45</f>
        <v>22240</v>
      </c>
      <c r="P38" s="4">
        <f>'Base de données indicateurs1'!P45</f>
        <v>0</v>
      </c>
      <c r="Q38" s="4">
        <f>'Base de données indicateurs1'!Q45</f>
        <v>0</v>
      </c>
      <c r="R38" s="4">
        <f>'Base de données indicateurs1'!R45</f>
        <v>0</v>
      </c>
      <c r="S38" s="4">
        <f>'Base de données indicateurs1'!S45</f>
        <v>0</v>
      </c>
      <c r="T38" s="4">
        <f>'Base de données indicateurs1'!T45</f>
        <v>0</v>
      </c>
      <c r="U38" s="4">
        <f>'Base de données indicateurs1'!U45</f>
        <v>14800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200</v>
      </c>
      <c r="AB38" s="4">
        <f>'Base de données indicateurs1'!AB45</f>
        <v>0</v>
      </c>
      <c r="AC38" s="4">
        <f>'Base de données indicateurs1'!AC45</f>
        <v>11120</v>
      </c>
      <c r="AD38" s="4">
        <f>'Base de données indicateurs1'!AD45</f>
        <v>0</v>
      </c>
      <c r="AE38" s="4">
        <f>'Base de données indicateurs1'!AE45</f>
        <v>0</v>
      </c>
      <c r="AF38" s="4">
        <f>'Base de données indicateurs1'!AF45</f>
        <v>0</v>
      </c>
      <c r="AG38" s="4">
        <f>'Base de données indicateurs1'!AG45</f>
        <v>0</v>
      </c>
      <c r="AH38" s="4">
        <f>'Base de données indicateurs1'!AH45</f>
        <v>26480</v>
      </c>
      <c r="AI38" s="4">
        <f>'Base de données indicateurs1'!AI45</f>
        <v>0</v>
      </c>
      <c r="AJ38" s="4">
        <f>'Base de données indicateurs1'!AJ45</f>
        <v>0</v>
      </c>
      <c r="AK38" s="4">
        <f>'Base de données indicateurs1'!AK45</f>
        <v>0</v>
      </c>
      <c r="AL38" s="4">
        <f>'Base de données indicateurs1'!AL45</f>
        <v>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140026</v>
      </c>
      <c r="AT38" s="4">
        <f>'Base de données indicateurs1'!AT45</f>
        <v>0</v>
      </c>
      <c r="AU38" s="4">
        <f>'Base de données indicateurs1'!AU45</f>
        <v>0</v>
      </c>
      <c r="AV38" s="4">
        <f>'Base de données indicateurs1'!AV45</f>
        <v>0</v>
      </c>
      <c r="AW38" s="4">
        <f>'Base de données indicateurs1'!AW45</f>
        <v>22240</v>
      </c>
      <c r="AX38" s="4">
        <f>'Base de données indicateurs1'!AX45</f>
        <v>0</v>
      </c>
      <c r="AY38" s="4">
        <f>'Base de données indicateurs1'!AY45</f>
        <v>0</v>
      </c>
      <c r="AZ38" s="4">
        <f>'Base de données indicateurs1'!AZ45</f>
        <v>26800</v>
      </c>
      <c r="BA38" s="4">
        <f>'Base de données indicateurs1'!BA45</f>
        <v>40</v>
      </c>
      <c r="BB38" s="4">
        <f>'Base de données indicateurs1'!BB45</f>
        <v>11120</v>
      </c>
      <c r="BC38" s="4">
        <f>'Base de données indicateurs1'!BC45</f>
        <v>0</v>
      </c>
      <c r="BD38" s="4">
        <f>'Base de données indicateurs1'!BD45</f>
        <v>813614.4</v>
      </c>
      <c r="BE38" s="4">
        <f>'Base de données indicateurs1'!BE45</f>
        <v>0</v>
      </c>
      <c r="BF38" s="4">
        <f t="shared" si="0"/>
        <v>98340</v>
      </c>
      <c r="BG38" s="4">
        <f t="shared" si="1"/>
        <v>37800</v>
      </c>
      <c r="BH38" s="4">
        <f t="shared" si="2"/>
        <v>1013840.4</v>
      </c>
    </row>
    <row r="39" spans="1:60" ht="15" thickBot="1" x14ac:dyDescent="0.35">
      <c r="A39" s="117"/>
      <c r="B39" s="118"/>
      <c r="C39" s="117"/>
      <c r="D39" s="119"/>
      <c r="BF39" s="4"/>
      <c r="BG39" s="4"/>
      <c r="BH39" s="4"/>
    </row>
    <row r="40" spans="1:60" ht="15" thickBot="1" x14ac:dyDescent="0.35">
      <c r="A40" s="7" t="s">
        <v>566</v>
      </c>
      <c r="B40" s="64"/>
      <c r="C40" s="7"/>
      <c r="D40" s="120">
        <f>D33-D34-D35-D36-D37-D38</f>
        <v>-1086366.6300000004</v>
      </c>
      <c r="E40" s="144">
        <f>E33-E34-E35-E36-E37-E38</f>
        <v>-20512.809999999998</v>
      </c>
      <c r="F40" s="129">
        <f t="shared" ref="F40:BE40" si="7">F33-F34-F35-F36-F37-F38</f>
        <v>19460.32</v>
      </c>
      <c r="G40" s="129">
        <f t="shared" si="7"/>
        <v>-5451.8699999999953</v>
      </c>
      <c r="H40" s="129">
        <f t="shared" si="7"/>
        <v>-3649.7899999999936</v>
      </c>
      <c r="I40" s="129">
        <f t="shared" si="7"/>
        <v>-438050</v>
      </c>
      <c r="J40" s="129">
        <f t="shared" si="7"/>
        <v>93470.38</v>
      </c>
      <c r="K40" s="129">
        <f t="shared" si="7"/>
        <v>19403.119999999995</v>
      </c>
      <c r="L40" s="129">
        <f t="shared" si="7"/>
        <v>-167764.63999999996</v>
      </c>
      <c r="M40" s="129">
        <f t="shared" si="7"/>
        <v>1430.6100000000006</v>
      </c>
      <c r="N40" s="129">
        <f t="shared" si="7"/>
        <v>0</v>
      </c>
      <c r="O40" s="129">
        <f t="shared" si="7"/>
        <v>113195.21000000002</v>
      </c>
      <c r="P40" s="129">
        <f t="shared" si="7"/>
        <v>13220.71</v>
      </c>
      <c r="Q40" s="129">
        <f t="shared" si="7"/>
        <v>-5069.5899999999992</v>
      </c>
      <c r="R40" s="129">
        <f t="shared" si="7"/>
        <v>9675</v>
      </c>
      <c r="S40" s="129">
        <f t="shared" si="7"/>
        <v>45063.479999999996</v>
      </c>
      <c r="T40" s="129">
        <f t="shared" si="7"/>
        <v>32169.050000000003</v>
      </c>
      <c r="U40" s="129">
        <f t="shared" si="7"/>
        <v>-10374.75</v>
      </c>
      <c r="V40" s="129">
        <f t="shared" si="7"/>
        <v>30011.019999999997</v>
      </c>
      <c r="W40" s="129">
        <f t="shared" si="7"/>
        <v>-86437.62000000001</v>
      </c>
      <c r="X40" s="129">
        <f t="shared" si="7"/>
        <v>218</v>
      </c>
      <c r="Y40" s="129">
        <f t="shared" si="7"/>
        <v>77537.299999999988</v>
      </c>
      <c r="Z40" s="129">
        <f t="shared" si="7"/>
        <v>3391.8400000000038</v>
      </c>
      <c r="AA40" s="129">
        <f t="shared" si="7"/>
        <v>-9735</v>
      </c>
      <c r="AB40" s="129">
        <f t="shared" si="7"/>
        <v>-12769.11</v>
      </c>
      <c r="AC40" s="129">
        <f t="shared" si="7"/>
        <v>3993.8099999999995</v>
      </c>
      <c r="AD40" s="129">
        <f t="shared" si="7"/>
        <v>-69669.540000000008</v>
      </c>
      <c r="AE40" s="129">
        <f t="shared" si="7"/>
        <v>-20765.370000000003</v>
      </c>
      <c r="AF40" s="129">
        <f t="shared" si="7"/>
        <v>-44833.85</v>
      </c>
      <c r="AG40" s="129">
        <f t="shared" si="7"/>
        <v>791.60000000002037</v>
      </c>
      <c r="AH40" s="129">
        <f t="shared" si="7"/>
        <v>43513.48000000004</v>
      </c>
      <c r="AI40" s="129">
        <f t="shared" si="7"/>
        <v>8360.57</v>
      </c>
      <c r="AJ40" s="129">
        <f t="shared" si="7"/>
        <v>-2996.3199999999997</v>
      </c>
      <c r="AK40" s="129">
        <f t="shared" si="7"/>
        <v>96615.76</v>
      </c>
      <c r="AL40" s="129">
        <f t="shared" si="7"/>
        <v>-117328</v>
      </c>
      <c r="AM40" s="129">
        <f t="shared" si="7"/>
        <v>43848.999999999985</v>
      </c>
      <c r="AN40" s="129">
        <f t="shared" si="7"/>
        <v>11040.379999999997</v>
      </c>
      <c r="AO40" s="129">
        <f t="shared" si="7"/>
        <v>-56303.34</v>
      </c>
      <c r="AP40" s="129">
        <f t="shared" si="7"/>
        <v>7573.9000000000051</v>
      </c>
      <c r="AQ40" s="129">
        <f t="shared" si="7"/>
        <v>26528.05</v>
      </c>
      <c r="AR40" s="129">
        <f t="shared" si="7"/>
        <v>-265120.82999999996</v>
      </c>
      <c r="AS40" s="129">
        <f t="shared" si="7"/>
        <v>-88549.18</v>
      </c>
      <c r="AT40" s="129">
        <f t="shared" si="7"/>
        <v>1285.410000000018</v>
      </c>
      <c r="AU40" s="129">
        <f t="shared" si="7"/>
        <v>-7352.0999999999985</v>
      </c>
      <c r="AV40" s="129">
        <f t="shared" si="7"/>
        <v>151832.56</v>
      </c>
      <c r="AW40" s="129">
        <f t="shared" si="7"/>
        <v>-2369.989999999998</v>
      </c>
      <c r="AX40" s="129">
        <f t="shared" si="7"/>
        <v>-4406.74</v>
      </c>
      <c r="AY40" s="129">
        <f t="shared" si="7"/>
        <v>-35223.74</v>
      </c>
      <c r="AZ40" s="129">
        <f t="shared" si="7"/>
        <v>103351.89</v>
      </c>
      <c r="BA40" s="129">
        <f t="shared" si="7"/>
        <v>-32439.87</v>
      </c>
      <c r="BB40" s="129">
        <f t="shared" si="7"/>
        <v>-74119.360000000001</v>
      </c>
      <c r="BC40" s="129">
        <f t="shared" si="7"/>
        <v>-6249.65</v>
      </c>
      <c r="BD40" s="129">
        <f t="shared" si="7"/>
        <v>-403833.87999999995</v>
      </c>
      <c r="BE40" s="129">
        <f t="shared" si="7"/>
        <v>-51972.14</v>
      </c>
      <c r="BF40" s="4">
        <f t="shared" si="0"/>
        <v>-360212.16999999993</v>
      </c>
      <c r="BG40" s="4">
        <f t="shared" si="1"/>
        <v>-22962.589999999967</v>
      </c>
      <c r="BH40" s="4">
        <f t="shared" si="2"/>
        <v>-703191.86999999976</v>
      </c>
    </row>
    <row r="41" spans="1:60" x14ac:dyDescent="0.3">
      <c r="A41" s="7"/>
      <c r="B41" s="64"/>
      <c r="C41" s="7"/>
      <c r="D41" s="129"/>
      <c r="BF41" s="4"/>
      <c r="BG41" s="4"/>
      <c r="BH41" s="4"/>
    </row>
    <row r="42" spans="1:60" x14ac:dyDescent="0.3">
      <c r="A42" s="111" t="s">
        <v>567</v>
      </c>
      <c r="B42" s="112" t="s">
        <v>231</v>
      </c>
      <c r="C42" s="111">
        <v>400</v>
      </c>
      <c r="D42" s="113">
        <f>'Base de données indicateurs1'!BF38</f>
        <v>164946900.33999997</v>
      </c>
      <c r="E42" s="4">
        <f>'Base de données indicateurs1'!E38</f>
        <v>2399050.6</v>
      </c>
      <c r="F42" s="4">
        <f>'Base de données indicateurs1'!F38</f>
        <v>537011.25</v>
      </c>
      <c r="G42" s="4">
        <f>'Base de données indicateurs1'!G38</f>
        <v>955512.5</v>
      </c>
      <c r="H42" s="4">
        <f>'Base de données indicateurs1'!H38</f>
        <v>877308.4</v>
      </c>
      <c r="I42" s="4">
        <f>'Base de données indicateurs1'!I38</f>
        <v>6506383</v>
      </c>
      <c r="J42" s="4">
        <f>'Base de données indicateurs1'!J38</f>
        <v>7933663.8499999996</v>
      </c>
      <c r="K42" s="4">
        <f>'Base de données indicateurs1'!K38</f>
        <v>5544167.2999999998</v>
      </c>
      <c r="L42" s="4">
        <f>'Base de données indicateurs1'!L38</f>
        <v>28553161.5</v>
      </c>
      <c r="M42" s="4">
        <f>'Base de données indicateurs1'!M38</f>
        <v>2748752.09</v>
      </c>
      <c r="N42" s="4">
        <f>'Base de données indicateurs1'!N38</f>
        <v>0</v>
      </c>
      <c r="O42" s="4">
        <f>'Base de données indicateurs1'!O38</f>
        <v>13756608</v>
      </c>
      <c r="P42" s="4">
        <f>'Base de données indicateurs1'!P38</f>
        <v>1011339.5</v>
      </c>
      <c r="Q42" s="4">
        <f>'Base de données indicateurs1'!Q38</f>
        <v>180720.2</v>
      </c>
      <c r="R42" s="4">
        <f>'Base de données indicateurs1'!R38</f>
        <v>854184.35</v>
      </c>
      <c r="S42" s="4">
        <f>'Base de données indicateurs1'!S38</f>
        <v>602762.5</v>
      </c>
      <c r="T42" s="4">
        <f>'Base de données indicateurs1'!T38</f>
        <v>1797303.6</v>
      </c>
      <c r="U42" s="4">
        <f>'Base de données indicateurs1'!U38</f>
        <v>494316.95</v>
      </c>
      <c r="V42" s="4">
        <f>'Base de données indicateurs1'!V38</f>
        <v>1157764.6499999999</v>
      </c>
      <c r="W42" s="4">
        <f>'Base de données indicateurs1'!W38</f>
        <v>6519291.7999999998</v>
      </c>
      <c r="X42" s="4">
        <f>'Base de données indicateurs1'!X38</f>
        <v>722638</v>
      </c>
      <c r="Y42" s="4">
        <f>'Base de données indicateurs1'!Y38</f>
        <v>3318239.37</v>
      </c>
      <c r="Z42" s="4">
        <f>'Base de données indicateurs1'!Z38</f>
        <v>2784771.7</v>
      </c>
      <c r="AA42" s="4">
        <f>'Base de données indicateurs1'!AA38</f>
        <v>166231</v>
      </c>
      <c r="AB42" s="4">
        <f>'Base de données indicateurs1'!AB38</f>
        <v>246851.8</v>
      </c>
      <c r="AC42" s="4">
        <f>'Base de données indicateurs1'!AC38</f>
        <v>1347499.1</v>
      </c>
      <c r="AD42" s="4">
        <f>'Base de données indicateurs1'!AD38</f>
        <v>1163704.6499999999</v>
      </c>
      <c r="AE42" s="4">
        <f>'Base de données indicateurs1'!AE38</f>
        <v>1089524.5</v>
      </c>
      <c r="AF42" s="4">
        <f>'Base de données indicateurs1'!AF38</f>
        <v>980100.75</v>
      </c>
      <c r="AG42" s="4">
        <f>'Base de données indicateurs1'!AG38</f>
        <v>4420675.25</v>
      </c>
      <c r="AH42" s="4">
        <f>'Base de données indicateurs1'!AH38</f>
        <v>6191256.5</v>
      </c>
      <c r="AI42" s="4">
        <f>'Base de données indicateurs1'!AI38</f>
        <v>456991</v>
      </c>
      <c r="AJ42" s="4">
        <f>'Base de données indicateurs1'!AJ38</f>
        <v>243519.25</v>
      </c>
      <c r="AK42" s="4">
        <f>'Base de données indicateurs1'!AK38</f>
        <v>4302044.3</v>
      </c>
      <c r="AL42" s="4">
        <f>'Base de données indicateurs1'!AL38</f>
        <v>1732264</v>
      </c>
      <c r="AM42" s="4">
        <f>'Base de données indicateurs1'!AM38</f>
        <v>2498137.9500000002</v>
      </c>
      <c r="AN42" s="4">
        <f>'Base de données indicateurs1'!AN38</f>
        <v>261580.65</v>
      </c>
      <c r="AO42" s="4">
        <f>'Base de données indicateurs1'!AO38</f>
        <v>3827633.75</v>
      </c>
      <c r="AP42" s="4">
        <f>'Base de données indicateurs1'!AP38</f>
        <v>1314195.3</v>
      </c>
      <c r="AQ42" s="4">
        <f>'Base de données indicateurs1'!AQ38</f>
        <v>1533277</v>
      </c>
      <c r="AR42" s="4">
        <f>'Base de données indicateurs1'!AR38</f>
        <v>2280940.4</v>
      </c>
      <c r="AS42" s="4">
        <f>'Base de données indicateurs1'!AS38</f>
        <v>1444177.6</v>
      </c>
      <c r="AT42" s="4">
        <f>'Base de données indicateurs1'!AT38</f>
        <v>2102457.75</v>
      </c>
      <c r="AU42" s="4">
        <f>'Base de données indicateurs1'!AU38</f>
        <v>2205801.5499999998</v>
      </c>
      <c r="AV42" s="4">
        <f>'Base de données indicateurs1'!AV38</f>
        <v>5082414.08</v>
      </c>
      <c r="AW42" s="4">
        <f>'Base de données indicateurs1'!AW38</f>
        <v>1664323.5</v>
      </c>
      <c r="AX42" s="4">
        <f>'Base de données indicateurs1'!AX38</f>
        <v>335760.2</v>
      </c>
      <c r="AY42" s="4">
        <f>'Base de données indicateurs1'!AY38</f>
        <v>756659.25</v>
      </c>
      <c r="AZ42" s="4">
        <f>'Base de données indicateurs1'!AZ38</f>
        <v>4231081.0999999996</v>
      </c>
      <c r="BA42" s="4">
        <f>'Base de données indicateurs1'!BA38</f>
        <v>807108.35</v>
      </c>
      <c r="BB42" s="4">
        <f>'Base de données indicateurs1'!BB38</f>
        <v>2596328.9500000002</v>
      </c>
      <c r="BC42" s="4">
        <f>'Base de données indicateurs1'!BC38</f>
        <v>306282.3</v>
      </c>
      <c r="BD42" s="4">
        <f>'Base de données indicateurs1'!BD38</f>
        <v>19029351.100000001</v>
      </c>
      <c r="BE42" s="4">
        <f>'Base de données indicateurs1'!BE38</f>
        <v>1073776.3500000001</v>
      </c>
      <c r="BF42" s="4">
        <f t="shared" si="0"/>
        <v>82429302.040000007</v>
      </c>
      <c r="BG42" s="4">
        <f t="shared" si="1"/>
        <v>23132002.870000001</v>
      </c>
      <c r="BH42" s="4">
        <f t="shared" si="2"/>
        <v>59385595.430000007</v>
      </c>
    </row>
    <row r="43" spans="1:60" x14ac:dyDescent="0.3">
      <c r="A43" s="114" t="s">
        <v>568</v>
      </c>
      <c r="B43" s="115" t="s">
        <v>231</v>
      </c>
      <c r="C43" s="114">
        <v>401</v>
      </c>
      <c r="D43" s="116">
        <f>'Base de données indicateurs1'!BF39</f>
        <v>27783883.75</v>
      </c>
      <c r="E43" s="4">
        <f>'Base de données indicateurs1'!E39</f>
        <v>186863.75</v>
      </c>
      <c r="F43" s="4">
        <f>'Base de données indicateurs1'!F39</f>
        <v>12530.3</v>
      </c>
      <c r="G43" s="4">
        <f>'Base de données indicateurs1'!G39</f>
        <v>72576.7</v>
      </c>
      <c r="H43" s="4">
        <f>'Base de données indicateurs1'!H39</f>
        <v>82257.149999999994</v>
      </c>
      <c r="I43" s="4">
        <f>'Base de données indicateurs1'!I39</f>
        <v>402270</v>
      </c>
      <c r="J43" s="4">
        <f>'Base de données indicateurs1'!J39</f>
        <v>637302.1</v>
      </c>
      <c r="K43" s="4">
        <f>'Base de données indicateurs1'!K39</f>
        <v>948116.15</v>
      </c>
      <c r="L43" s="4">
        <f>'Base de données indicateurs1'!L39</f>
        <v>5630325.2000000002</v>
      </c>
      <c r="M43" s="4">
        <f>'Base de données indicateurs1'!M39</f>
        <v>440551.95</v>
      </c>
      <c r="N43" s="4">
        <f>'Base de données indicateurs1'!N39</f>
        <v>0</v>
      </c>
      <c r="O43" s="4">
        <f>'Base de données indicateurs1'!O39</f>
        <v>648784.6</v>
      </c>
      <c r="P43" s="4">
        <f>'Base de données indicateurs1'!P39</f>
        <v>43209.25</v>
      </c>
      <c r="Q43" s="4">
        <f>'Base de données indicateurs1'!Q39</f>
        <v>-2994.7</v>
      </c>
      <c r="R43" s="4">
        <f>'Base de données indicateurs1'!R39</f>
        <v>11294.05</v>
      </c>
      <c r="S43" s="4">
        <f>'Base de données indicateurs1'!S39</f>
        <v>-4335.8</v>
      </c>
      <c r="T43" s="4">
        <f>'Base de données indicateurs1'!T39</f>
        <v>39931.449999999997</v>
      </c>
      <c r="U43" s="4">
        <f>'Base de données indicateurs1'!U39</f>
        <v>21951.7</v>
      </c>
      <c r="V43" s="4">
        <f>'Base de données indicateurs1'!V39</f>
        <v>91657.95</v>
      </c>
      <c r="W43" s="4">
        <f>'Base de données indicateurs1'!W39</f>
        <v>154646.65</v>
      </c>
      <c r="X43" s="4">
        <f>'Base de données indicateurs1'!X39</f>
        <v>5100</v>
      </c>
      <c r="Y43" s="4">
        <f>'Base de données indicateurs1'!Y39</f>
        <v>115383.25</v>
      </c>
      <c r="Z43" s="4">
        <f>'Base de données indicateurs1'!Z39</f>
        <v>6765508.1500000004</v>
      </c>
      <c r="AA43" s="4">
        <f>'Base de données indicateurs1'!AA39</f>
        <v>927</v>
      </c>
      <c r="AB43" s="4">
        <f>'Base de données indicateurs1'!AB39</f>
        <v>8935.7999999999993</v>
      </c>
      <c r="AC43" s="4">
        <f>'Base de données indicateurs1'!AC39</f>
        <v>-224747.75</v>
      </c>
      <c r="AD43" s="4">
        <f>'Base de données indicateurs1'!AD39</f>
        <v>70136.850000000006</v>
      </c>
      <c r="AE43" s="4">
        <f>'Base de données indicateurs1'!AE39</f>
        <v>33283.550000000003</v>
      </c>
      <c r="AF43" s="4">
        <f>'Base de données indicateurs1'!AF39</f>
        <v>728213.45</v>
      </c>
      <c r="AG43" s="4">
        <f>'Base de données indicateurs1'!AG39</f>
        <v>1712675.4</v>
      </c>
      <c r="AH43" s="4">
        <f>'Base de données indicateurs1'!AH39</f>
        <v>682151.5</v>
      </c>
      <c r="AI43" s="4">
        <f>'Base de données indicateurs1'!AI39</f>
        <v>7959</v>
      </c>
      <c r="AJ43" s="4">
        <f>'Base de données indicateurs1'!AJ39</f>
        <v>7036.8</v>
      </c>
      <c r="AK43" s="4">
        <f>'Base de données indicateurs1'!AK39</f>
        <v>543718.55000000005</v>
      </c>
      <c r="AL43" s="4">
        <f>'Base de données indicateurs1'!AL39</f>
        <v>-65142</v>
      </c>
      <c r="AM43" s="4">
        <f>'Base de données indicateurs1'!AM39</f>
        <v>44564.75</v>
      </c>
      <c r="AN43" s="4">
        <f>'Base de données indicateurs1'!AN39</f>
        <v>1227.2</v>
      </c>
      <c r="AO43" s="4">
        <f>'Base de données indicateurs1'!AO39</f>
        <v>2557137.35</v>
      </c>
      <c r="AP43" s="4">
        <f>'Base de données indicateurs1'!AP39</f>
        <v>504468</v>
      </c>
      <c r="AQ43" s="4">
        <f>'Base de données indicateurs1'!AQ39</f>
        <v>144303</v>
      </c>
      <c r="AR43" s="4">
        <f>'Base de données indicateurs1'!AR39</f>
        <v>234509.05</v>
      </c>
      <c r="AS43" s="4">
        <f>'Base de données indicateurs1'!AS39</f>
        <v>17997.349999999999</v>
      </c>
      <c r="AT43" s="4">
        <f>'Base de données indicateurs1'!AT39</f>
        <v>5799</v>
      </c>
      <c r="AU43" s="4">
        <f>'Base de données indicateurs1'!AU39</f>
        <v>-66532.05</v>
      </c>
      <c r="AV43" s="4">
        <f>'Base de données indicateurs1'!AV39</f>
        <v>121676.35</v>
      </c>
      <c r="AW43" s="4">
        <f>'Base de données indicateurs1'!AW39</f>
        <v>271631.65000000002</v>
      </c>
      <c r="AX43" s="4">
        <f>'Base de données indicateurs1'!AX39</f>
        <v>10577.2</v>
      </c>
      <c r="AY43" s="4">
        <f>'Base de données indicateurs1'!AY39</f>
        <v>20567.45</v>
      </c>
      <c r="AZ43" s="4">
        <f>'Base de données indicateurs1'!AZ39</f>
        <v>333389.45</v>
      </c>
      <c r="BA43" s="4">
        <f>'Base de données indicateurs1'!BA39</f>
        <v>13071.35</v>
      </c>
      <c r="BB43" s="4">
        <f>'Base de données indicateurs1'!BB39</f>
        <v>590684</v>
      </c>
      <c r="BC43" s="4">
        <f>'Base de données indicateurs1'!BC39</f>
        <v>1833.95</v>
      </c>
      <c r="BD43" s="4">
        <f>'Base de données indicateurs1'!BD39</f>
        <v>3114215.25</v>
      </c>
      <c r="BE43" s="4">
        <f>'Base de données indicateurs1'!BE39</f>
        <v>54685.45</v>
      </c>
      <c r="BF43" s="4">
        <f t="shared" si="0"/>
        <v>9416938.4499999974</v>
      </c>
      <c r="BG43" s="4">
        <f t="shared" si="1"/>
        <v>9912563</v>
      </c>
      <c r="BH43" s="4">
        <f t="shared" si="2"/>
        <v>8454382.3000000007</v>
      </c>
    </row>
    <row r="44" spans="1:60" x14ac:dyDescent="0.3">
      <c r="A44" s="114" t="s">
        <v>140</v>
      </c>
      <c r="B44" s="115" t="s">
        <v>231</v>
      </c>
      <c r="C44" s="114">
        <v>402</v>
      </c>
      <c r="D44" s="116">
        <f>'Base de données indicateurs1'!BF40</f>
        <v>24599162.580000002</v>
      </c>
      <c r="E44" s="4">
        <f>'Base de données indicateurs1'!E40</f>
        <v>731404.75</v>
      </c>
      <c r="F44" s="4">
        <f>'Base de données indicateurs1'!F40</f>
        <v>185389.8</v>
      </c>
      <c r="G44" s="4">
        <f>'Base de données indicateurs1'!G40</f>
        <v>121243.5</v>
      </c>
      <c r="H44" s="4">
        <f>'Base de données indicateurs1'!H40</f>
        <v>100067</v>
      </c>
      <c r="I44" s="4">
        <f>'Base de données indicateurs1'!I40</f>
        <v>1206720</v>
      </c>
      <c r="J44" s="4">
        <f>'Base de données indicateurs1'!J40</f>
        <v>858889.8</v>
      </c>
      <c r="K44" s="4">
        <f>'Base de données indicateurs1'!K40</f>
        <v>569577.16</v>
      </c>
      <c r="L44" s="4">
        <f>'Base de données indicateurs1'!L40</f>
        <v>4805039.6500000004</v>
      </c>
      <c r="M44" s="4">
        <f>'Base de données indicateurs1'!M40</f>
        <v>285438.09999999998</v>
      </c>
      <c r="N44" s="4">
        <f>'Base de données indicateurs1'!N40</f>
        <v>0</v>
      </c>
      <c r="O44" s="4">
        <f>'Base de données indicateurs1'!O40</f>
        <v>2018940.6</v>
      </c>
      <c r="P44" s="4">
        <f>'Base de données indicateurs1'!P40</f>
        <v>201596.2</v>
      </c>
      <c r="Q44" s="4">
        <f>'Base de données indicateurs1'!Q40</f>
        <v>25861.599999999999</v>
      </c>
      <c r="R44" s="4">
        <f>'Base de données indicateurs1'!R40</f>
        <v>129743.5</v>
      </c>
      <c r="S44" s="4">
        <f>'Base de données indicateurs1'!S40</f>
        <v>112995.25</v>
      </c>
      <c r="T44" s="4">
        <f>'Base de données indicateurs1'!T40</f>
        <v>165077.04999999999</v>
      </c>
      <c r="U44" s="4">
        <f>'Base de données indicateurs1'!U40</f>
        <v>68771.95</v>
      </c>
      <c r="V44" s="4">
        <f>'Base de données indicateurs1'!V40</f>
        <v>100820.15</v>
      </c>
      <c r="W44" s="4">
        <f>'Base de données indicateurs1'!W40</f>
        <v>929582.2</v>
      </c>
      <c r="X44" s="4">
        <f>'Base de données indicateurs1'!X40</f>
        <v>88712</v>
      </c>
      <c r="Y44" s="4">
        <f>'Base de données indicateurs1'!Y40</f>
        <v>309706.15000000002</v>
      </c>
      <c r="Z44" s="4">
        <f>'Base de données indicateurs1'!Z40</f>
        <v>384754.9</v>
      </c>
      <c r="AA44" s="4">
        <f>'Base de données indicateurs1'!AA40</f>
        <v>57724</v>
      </c>
      <c r="AB44" s="4">
        <f>'Base de données indicateurs1'!AB40</f>
        <v>30357.599999999999</v>
      </c>
      <c r="AC44" s="4">
        <f>'Base de données indicateurs1'!AC40</f>
        <v>115397.1</v>
      </c>
      <c r="AD44" s="4">
        <f>'Base de données indicateurs1'!AD40</f>
        <v>189921.65</v>
      </c>
      <c r="AE44" s="4">
        <f>'Base de données indicateurs1'!AE40</f>
        <v>163073.15</v>
      </c>
      <c r="AF44" s="4">
        <f>'Base de données indicateurs1'!AF40</f>
        <v>175788.1</v>
      </c>
      <c r="AG44" s="4">
        <f>'Base de données indicateurs1'!AG40</f>
        <v>760741.25</v>
      </c>
      <c r="AH44" s="4">
        <f>'Base de données indicateurs1'!AH40</f>
        <v>709266.15</v>
      </c>
      <c r="AI44" s="4">
        <f>'Base de données indicateurs1'!AI40</f>
        <v>49796.55</v>
      </c>
      <c r="AJ44" s="4">
        <f>'Base de données indicateurs1'!AJ40</f>
        <v>47831.75</v>
      </c>
      <c r="AK44" s="4">
        <f>'Base de données indicateurs1'!AK40</f>
        <v>588045.05000000005</v>
      </c>
      <c r="AL44" s="4">
        <f>'Base de données indicateurs1'!AL40</f>
        <v>379495</v>
      </c>
      <c r="AM44" s="4">
        <f>'Base de données indicateurs1'!AM40</f>
        <v>399385.15</v>
      </c>
      <c r="AN44" s="4">
        <f>'Base de données indicateurs1'!AN40</f>
        <v>60708.15</v>
      </c>
      <c r="AO44" s="4">
        <f>'Base de données indicateurs1'!AO40</f>
        <v>483487.25</v>
      </c>
      <c r="AP44" s="4">
        <f>'Base de données indicateurs1'!AP40</f>
        <v>194160.08</v>
      </c>
      <c r="AQ44" s="4">
        <f>'Base de données indicateurs1'!AQ40</f>
        <v>248238.75</v>
      </c>
      <c r="AR44" s="4">
        <f>'Base de données indicateurs1'!AR40</f>
        <v>746276.6</v>
      </c>
      <c r="AS44" s="4">
        <f>'Base de données indicateurs1'!AS40</f>
        <v>279977.3</v>
      </c>
      <c r="AT44" s="4">
        <f>'Base de données indicateurs1'!AT40</f>
        <v>325815.2</v>
      </c>
      <c r="AU44" s="4">
        <f>'Base de données indicateurs1'!AU40</f>
        <v>121529.85</v>
      </c>
      <c r="AV44" s="4">
        <f>'Base de données indicateurs1'!AV40</f>
        <v>863280.8</v>
      </c>
      <c r="AW44" s="4">
        <f>'Base de données indicateurs1'!AW40</f>
        <v>262032.55</v>
      </c>
      <c r="AX44" s="4">
        <f>'Base de données indicateurs1'!AX40</f>
        <v>59010</v>
      </c>
      <c r="AY44" s="4">
        <f>'Base de données indicateurs1'!AY40</f>
        <v>118839.75</v>
      </c>
      <c r="AZ44" s="4">
        <f>'Base de données indicateurs1'!AZ40</f>
        <v>422436.6</v>
      </c>
      <c r="BA44" s="4">
        <f>'Base de données indicateurs1'!BA40</f>
        <v>150432.65</v>
      </c>
      <c r="BB44" s="4">
        <f>'Base de données indicateurs1'!BB40</f>
        <v>412332.79</v>
      </c>
      <c r="BC44" s="4">
        <f>'Base de données indicateurs1'!BC40</f>
        <v>31918.1</v>
      </c>
      <c r="BD44" s="4">
        <f>'Base de données indicateurs1'!BD40</f>
        <v>2493852.5499999998</v>
      </c>
      <c r="BE44" s="4">
        <f>'Base de données indicateurs1'!BE40</f>
        <v>257679.8</v>
      </c>
      <c r="BF44" s="4">
        <f t="shared" si="0"/>
        <v>12617158.259999998</v>
      </c>
      <c r="BG44" s="4">
        <f t="shared" si="1"/>
        <v>3083070.3499999996</v>
      </c>
      <c r="BH44" s="4">
        <f t="shared" si="2"/>
        <v>8898933.9700000007</v>
      </c>
    </row>
    <row r="45" spans="1:60" ht="15" thickBot="1" x14ac:dyDescent="0.35">
      <c r="A45" s="7"/>
      <c r="B45" s="64"/>
      <c r="C45" s="7"/>
      <c r="D45" s="129"/>
      <c r="BF45" s="4"/>
      <c r="BG45" s="4"/>
      <c r="BH45" s="4"/>
    </row>
    <row r="46" spans="1:60" ht="15" thickBot="1" x14ac:dyDescent="0.35">
      <c r="A46" s="7" t="s">
        <v>569</v>
      </c>
      <c r="B46" s="64"/>
      <c r="C46" s="7"/>
      <c r="D46" s="120">
        <f>SUM(D42:D44)</f>
        <v>217329946.66999999</v>
      </c>
      <c r="E46" s="144">
        <f>SUM(E42:E44)</f>
        <v>3317319.1</v>
      </c>
      <c r="F46" s="129">
        <f t="shared" ref="F46:BE46" si="8">SUM(F42:F44)</f>
        <v>734931.35000000009</v>
      </c>
      <c r="G46" s="129">
        <f t="shared" si="8"/>
        <v>1149332.7</v>
      </c>
      <c r="H46" s="129">
        <f t="shared" si="8"/>
        <v>1059632.55</v>
      </c>
      <c r="I46" s="129">
        <f t="shared" si="8"/>
        <v>8115373</v>
      </c>
      <c r="J46" s="129">
        <f t="shared" si="8"/>
        <v>9429855.75</v>
      </c>
      <c r="K46" s="129">
        <f t="shared" si="8"/>
        <v>7061860.6100000003</v>
      </c>
      <c r="L46" s="129">
        <f t="shared" si="8"/>
        <v>38988526.350000001</v>
      </c>
      <c r="M46" s="129">
        <f t="shared" si="8"/>
        <v>3474742.14</v>
      </c>
      <c r="N46" s="129">
        <f t="shared" si="8"/>
        <v>0</v>
      </c>
      <c r="O46" s="129">
        <f t="shared" si="8"/>
        <v>16424333.199999999</v>
      </c>
      <c r="P46" s="129">
        <f t="shared" si="8"/>
        <v>1256144.95</v>
      </c>
      <c r="Q46" s="129">
        <f t="shared" si="8"/>
        <v>203587.1</v>
      </c>
      <c r="R46" s="129">
        <f t="shared" si="8"/>
        <v>995221.9</v>
      </c>
      <c r="S46" s="129">
        <f t="shared" si="8"/>
        <v>711421.95</v>
      </c>
      <c r="T46" s="129">
        <f t="shared" si="8"/>
        <v>2002312.1</v>
      </c>
      <c r="U46" s="129">
        <f t="shared" si="8"/>
        <v>585040.6</v>
      </c>
      <c r="V46" s="129">
        <f t="shared" si="8"/>
        <v>1350242.7499999998</v>
      </c>
      <c r="W46" s="129">
        <f t="shared" si="8"/>
        <v>7603520.6500000004</v>
      </c>
      <c r="X46" s="129">
        <f t="shared" si="8"/>
        <v>816450</v>
      </c>
      <c r="Y46" s="129">
        <f t="shared" si="8"/>
        <v>3743328.77</v>
      </c>
      <c r="Z46" s="129">
        <f t="shared" si="8"/>
        <v>9935034.7500000019</v>
      </c>
      <c r="AA46" s="129">
        <f t="shared" si="8"/>
        <v>224882</v>
      </c>
      <c r="AB46" s="129">
        <f t="shared" si="8"/>
        <v>286145.19999999995</v>
      </c>
      <c r="AC46" s="129">
        <f t="shared" si="8"/>
        <v>1238148.4500000002</v>
      </c>
      <c r="AD46" s="129">
        <f t="shared" si="8"/>
        <v>1423763.15</v>
      </c>
      <c r="AE46" s="129">
        <f t="shared" si="8"/>
        <v>1285881.2</v>
      </c>
      <c r="AF46" s="129">
        <f t="shared" si="8"/>
        <v>1884102.3</v>
      </c>
      <c r="AG46" s="129">
        <f t="shared" si="8"/>
        <v>6894091.9000000004</v>
      </c>
      <c r="AH46" s="129">
        <f t="shared" si="8"/>
        <v>7582674.1500000004</v>
      </c>
      <c r="AI46" s="129">
        <f t="shared" si="8"/>
        <v>514746.55</v>
      </c>
      <c r="AJ46" s="129">
        <f t="shared" si="8"/>
        <v>298387.8</v>
      </c>
      <c r="AK46" s="129">
        <f t="shared" si="8"/>
        <v>5433807.8999999994</v>
      </c>
      <c r="AL46" s="129">
        <f t="shared" si="8"/>
        <v>2046617</v>
      </c>
      <c r="AM46" s="129">
        <f t="shared" si="8"/>
        <v>2942087.85</v>
      </c>
      <c r="AN46" s="129">
        <f t="shared" si="8"/>
        <v>323516</v>
      </c>
      <c r="AO46" s="129">
        <f t="shared" si="8"/>
        <v>6868258.3499999996</v>
      </c>
      <c r="AP46" s="129">
        <f t="shared" si="8"/>
        <v>2012823.3800000001</v>
      </c>
      <c r="AQ46" s="129">
        <f t="shared" si="8"/>
        <v>1925818.75</v>
      </c>
      <c r="AR46" s="129">
        <f t="shared" si="8"/>
        <v>3261726.05</v>
      </c>
      <c r="AS46" s="129">
        <f t="shared" si="8"/>
        <v>1742152.2500000002</v>
      </c>
      <c r="AT46" s="129">
        <f t="shared" si="8"/>
        <v>2434071.9500000002</v>
      </c>
      <c r="AU46" s="129">
        <f t="shared" si="8"/>
        <v>2260799.35</v>
      </c>
      <c r="AV46" s="129">
        <f t="shared" si="8"/>
        <v>6067371.2299999995</v>
      </c>
      <c r="AW46" s="129">
        <f t="shared" si="8"/>
        <v>2197987.6999999997</v>
      </c>
      <c r="AX46" s="129">
        <f t="shared" si="8"/>
        <v>405347.4</v>
      </c>
      <c r="AY46" s="129">
        <f t="shared" si="8"/>
        <v>896066.45</v>
      </c>
      <c r="AZ46" s="129">
        <f t="shared" si="8"/>
        <v>4986907.1499999994</v>
      </c>
      <c r="BA46" s="129">
        <f t="shared" si="8"/>
        <v>970612.35</v>
      </c>
      <c r="BB46" s="129">
        <f t="shared" si="8"/>
        <v>3599345.74</v>
      </c>
      <c r="BC46" s="129">
        <f t="shared" si="8"/>
        <v>340034.35</v>
      </c>
      <c r="BD46" s="129">
        <f t="shared" si="8"/>
        <v>24637418.900000002</v>
      </c>
      <c r="BE46" s="129">
        <f t="shared" si="8"/>
        <v>1386141.6</v>
      </c>
      <c r="BF46" s="4">
        <f t="shared" si="0"/>
        <v>104463398.75</v>
      </c>
      <c r="BG46" s="4">
        <f t="shared" si="1"/>
        <v>36127636.219999991</v>
      </c>
      <c r="BH46" s="4">
        <f t="shared" si="2"/>
        <v>76738911.700000003</v>
      </c>
    </row>
    <row r="47" spans="1:60" ht="15" thickBot="1" x14ac:dyDescent="0.35">
      <c r="B47" s="121"/>
      <c r="D47" s="4"/>
      <c r="BF47" s="4"/>
      <c r="BG47" s="4"/>
      <c r="BH47" s="4"/>
    </row>
    <row r="48" spans="1:60" ht="15" thickBot="1" x14ac:dyDescent="0.35">
      <c r="A48" s="7" t="s">
        <v>570</v>
      </c>
      <c r="B48" s="121"/>
      <c r="D48" s="120">
        <f>IF(D46&lt;&gt;0,D40/D46,"")*100</f>
        <v>-0.49986973569250925</v>
      </c>
      <c r="E48" s="144">
        <f>IF(E46&lt;&gt;0,E40/E46,"")*100</f>
        <v>-0.61835504459007262</v>
      </c>
      <c r="F48" s="129">
        <f t="shared" ref="F48:BH48" si="9">IF(F46&lt;&gt;0,F40/F46,"")*100</f>
        <v>2.6479099034215912</v>
      </c>
      <c r="G48" s="129">
        <f t="shared" si="9"/>
        <v>-0.47435089943930031</v>
      </c>
      <c r="H48" s="129">
        <f t="shared" si="9"/>
        <v>-0.34443921149836265</v>
      </c>
      <c r="I48" s="129">
        <f t="shared" si="9"/>
        <v>-5.397780237581193</v>
      </c>
      <c r="J48" s="129">
        <f t="shared" si="9"/>
        <v>0.99121749555925076</v>
      </c>
      <c r="K48" s="129">
        <f t="shared" si="9"/>
        <v>0.27475931728989472</v>
      </c>
      <c r="L48" s="129">
        <f t="shared" si="9"/>
        <v>-0.43029233393941796</v>
      </c>
      <c r="M48" s="129">
        <f t="shared" si="9"/>
        <v>4.1171688210509934E-2</v>
      </c>
      <c r="N48" s="129" t="e">
        <f t="shared" si="9"/>
        <v>#VALUE!</v>
      </c>
      <c r="O48" s="129">
        <f t="shared" si="9"/>
        <v>0.68919211892267274</v>
      </c>
      <c r="P48" s="129">
        <f t="shared" si="9"/>
        <v>1.0524828364752012</v>
      </c>
      <c r="Q48" s="129">
        <f t="shared" si="9"/>
        <v>-2.4901332157096392</v>
      </c>
      <c r="R48" s="129">
        <f t="shared" si="9"/>
        <v>0.97214500605342391</v>
      </c>
      <c r="S48" s="129">
        <f t="shared" si="9"/>
        <v>6.3342830510079144</v>
      </c>
      <c r="T48" s="129">
        <f t="shared" si="9"/>
        <v>1.6065951956240987</v>
      </c>
      <c r="U48" s="129">
        <f t="shared" si="9"/>
        <v>-1.7733384657406683</v>
      </c>
      <c r="V48" s="129">
        <f t="shared" si="9"/>
        <v>2.2226388551243841</v>
      </c>
      <c r="W48" s="129">
        <f t="shared" si="9"/>
        <v>-1.1368104852848662</v>
      </c>
      <c r="X48" s="129">
        <f t="shared" si="9"/>
        <v>2.6700961479576211E-2</v>
      </c>
      <c r="Y48" s="129">
        <f t="shared" si="9"/>
        <v>2.0713462472600286</v>
      </c>
      <c r="Z48" s="129">
        <f t="shared" si="9"/>
        <v>3.4140192614827071E-2</v>
      </c>
      <c r="AA48" s="129">
        <f t="shared" si="9"/>
        <v>-4.3289369536023337</v>
      </c>
      <c r="AB48" s="129">
        <f t="shared" si="9"/>
        <v>-4.4624582205118255</v>
      </c>
      <c r="AC48" s="129">
        <f t="shared" si="9"/>
        <v>0.32256309814869116</v>
      </c>
      <c r="AD48" s="129">
        <f t="shared" si="9"/>
        <v>-4.8933377718056548</v>
      </c>
      <c r="AE48" s="129">
        <f t="shared" si="9"/>
        <v>-1.614874686712894</v>
      </c>
      <c r="AF48" s="129">
        <f t="shared" si="9"/>
        <v>-2.3795868196753434</v>
      </c>
      <c r="AG48" s="129">
        <f t="shared" si="9"/>
        <v>1.1482295441985918E-2</v>
      </c>
      <c r="AH48" s="129">
        <f t="shared" si="9"/>
        <v>0.57385401428597638</v>
      </c>
      <c r="AI48" s="129">
        <f t="shared" si="9"/>
        <v>1.6242109830556417</v>
      </c>
      <c r="AJ48" s="129">
        <f t="shared" si="9"/>
        <v>-1.0041697415242847</v>
      </c>
      <c r="AK48" s="129">
        <f t="shared" si="9"/>
        <v>1.7780488706639779</v>
      </c>
      <c r="AL48" s="129">
        <f t="shared" si="9"/>
        <v>-5.732777554373877</v>
      </c>
      <c r="AM48" s="129">
        <f t="shared" si="9"/>
        <v>1.4904041699502613</v>
      </c>
      <c r="AN48" s="129">
        <f t="shared" si="9"/>
        <v>3.4126225596261071</v>
      </c>
      <c r="AO48" s="129">
        <f t="shared" si="9"/>
        <v>-0.81976153386833506</v>
      </c>
      <c r="AP48" s="129">
        <f t="shared" si="9"/>
        <v>0.37628239393761437</v>
      </c>
      <c r="AQ48" s="129">
        <f t="shared" si="9"/>
        <v>1.3774946370212668</v>
      </c>
      <c r="AR48" s="129">
        <f t="shared" si="9"/>
        <v>-8.1282371951500938</v>
      </c>
      <c r="AS48" s="129">
        <f t="shared" si="9"/>
        <v>-5.08274635583658</v>
      </c>
      <c r="AT48" s="129">
        <f t="shared" si="9"/>
        <v>5.2809038779647328E-2</v>
      </c>
      <c r="AU48" s="129">
        <f t="shared" si="9"/>
        <v>-0.32519913808361622</v>
      </c>
      <c r="AV48" s="129">
        <f t="shared" si="9"/>
        <v>2.5024438796371458</v>
      </c>
      <c r="AW48" s="129">
        <f t="shared" si="9"/>
        <v>-0.10782544415512418</v>
      </c>
      <c r="AX48" s="129">
        <f t="shared" si="9"/>
        <v>-1.0871514162913094</v>
      </c>
      <c r="AY48" s="129">
        <f t="shared" si="9"/>
        <v>-3.9309294528324323</v>
      </c>
      <c r="AZ48" s="129">
        <f t="shared" si="9"/>
        <v>2.0724646938734366</v>
      </c>
      <c r="BA48" s="129">
        <f t="shared" si="9"/>
        <v>-3.3422065977215309</v>
      </c>
      <c r="BB48" s="129">
        <f t="shared" si="9"/>
        <v>-2.0592453560740736</v>
      </c>
      <c r="BC48" s="129">
        <f t="shared" si="9"/>
        <v>-1.8379466662706283</v>
      </c>
      <c r="BD48" s="129">
        <f t="shared" si="9"/>
        <v>-1.639107901842753</v>
      </c>
      <c r="BE48" s="129">
        <f t="shared" si="9"/>
        <v>-3.7494105941268909</v>
      </c>
      <c r="BF48" s="129">
        <f t="shared" si="9"/>
        <v>-0.34482141526148641</v>
      </c>
      <c r="BG48" s="129">
        <f t="shared" si="9"/>
        <v>-6.3559624715463794E-2</v>
      </c>
      <c r="BH48" s="129">
        <f t="shared" si="9"/>
        <v>-0.91634329236910428</v>
      </c>
    </row>
    <row r="49" spans="1:4" x14ac:dyDescent="0.3">
      <c r="A49" s="123" t="s">
        <v>571</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E12"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8" spans="1:60" ht="18" x14ac:dyDescent="0.35">
      <c r="A8" s="220" t="s">
        <v>505</v>
      </c>
      <c r="B8" s="220"/>
      <c r="C8" s="220"/>
      <c r="D8" s="220"/>
    </row>
    <row r="10" spans="1:60" x14ac:dyDescent="0.3">
      <c r="A10" s="7" t="s">
        <v>572</v>
      </c>
      <c r="B10" s="110"/>
      <c r="C10" s="65" t="s">
        <v>507</v>
      </c>
      <c r="D10" s="65" t="s">
        <v>508</v>
      </c>
      <c r="E10" s="146">
        <f>'4.1 Comptes 2020 natures'!E2</f>
        <v>923</v>
      </c>
      <c r="F10" s="146">
        <f>'4.1 Comptes 2020 natures'!F2</f>
        <v>270</v>
      </c>
      <c r="G10" s="146">
        <f>'4.1 Comptes 2020 natures'!G2</f>
        <v>485</v>
      </c>
      <c r="H10" s="146">
        <f>'4.1 Comptes 2020 natures'!H2</f>
        <v>446</v>
      </c>
      <c r="I10" s="146">
        <f>'4.1 Comptes 2020 natures'!I2</f>
        <v>3631</v>
      </c>
      <c r="J10" s="146">
        <f>'4.1 Comptes 2020 natures'!J2</f>
        <v>3313</v>
      </c>
      <c r="K10" s="146">
        <f>'4.1 Comptes 2020 natures'!K2</f>
        <v>2644</v>
      </c>
      <c r="L10" s="147">
        <f>'4.1 Comptes 2020 natures'!L2</f>
        <v>12618</v>
      </c>
      <c r="M10" s="147">
        <f>'4.1 Comptes 2020 natures'!M2</f>
        <v>1371</v>
      </c>
      <c r="N10" s="147">
        <f>'4.1 Comptes 2020 natures'!N2</f>
        <v>118</v>
      </c>
      <c r="O10" s="147">
        <f>'4.1 Comptes 2020 natures'!O2</f>
        <v>7167</v>
      </c>
      <c r="P10" s="147">
        <f>'4.1 Comptes 2020 natures'!P2</f>
        <v>528</v>
      </c>
      <c r="Q10" s="147">
        <f>'4.1 Comptes 2020 natures'!Q2</f>
        <v>108</v>
      </c>
      <c r="R10" s="147">
        <f>'4.1 Comptes 2020 natures'!R2</f>
        <v>415</v>
      </c>
      <c r="S10" s="147">
        <f>'4.1 Comptes 2020 natures'!S2</f>
        <v>349</v>
      </c>
      <c r="T10" s="147">
        <f>'4.1 Comptes 2020 natures'!T2</f>
        <v>687</v>
      </c>
      <c r="U10" s="147">
        <f>'4.1 Comptes 2020 natures'!U2</f>
        <v>255</v>
      </c>
      <c r="V10" s="147">
        <f>'4.1 Comptes 2020 natures'!V2</f>
        <v>436</v>
      </c>
      <c r="W10" s="147">
        <f>'4.1 Comptes 2020 natures'!W2</f>
        <v>3190</v>
      </c>
      <c r="X10" s="148">
        <f>'4.1 Comptes 2020 natures'!X2</f>
        <v>324</v>
      </c>
      <c r="Y10" s="148">
        <f>'4.1 Comptes 2020 natures'!Y2</f>
        <v>1246</v>
      </c>
      <c r="Z10" s="148">
        <f>'4.1 Comptes 2020 natures'!Z2</f>
        <v>1528</v>
      </c>
      <c r="AA10" s="148">
        <f>'4.1 Comptes 2020 natures'!AA2</f>
        <v>96</v>
      </c>
      <c r="AB10" s="148">
        <f>'4.1 Comptes 2020 natures'!AB2</f>
        <v>149</v>
      </c>
      <c r="AC10" s="148">
        <f>'4.1 Comptes 2020 natures'!AC2</f>
        <v>516</v>
      </c>
      <c r="AD10" s="148">
        <f>'4.1 Comptes 2020 natures'!AD2</f>
        <v>671</v>
      </c>
      <c r="AE10" s="148">
        <f>'4.1 Comptes 2020 natures'!AE2</f>
        <v>572</v>
      </c>
      <c r="AF10" s="148">
        <f>'4.1 Comptes 2020 natures'!AF2</f>
        <v>490</v>
      </c>
      <c r="AG10" s="148">
        <f>'4.1 Comptes 2020 natures'!AG2</f>
        <v>1914</v>
      </c>
      <c r="AH10" s="148">
        <f>'4.1 Comptes 2020 natures'!AH2</f>
        <v>2615</v>
      </c>
      <c r="AI10" s="148">
        <f>'4.1 Comptes 2020 natures'!AI2</f>
        <v>227</v>
      </c>
      <c r="AJ10" s="148">
        <f>'4.1 Comptes 2020 natures'!AJ2</f>
        <v>131</v>
      </c>
      <c r="AK10" s="149">
        <f>'4.1 Comptes 2020 natures'!AK2</f>
        <v>1895</v>
      </c>
      <c r="AL10" s="149">
        <f>'4.1 Comptes 2020 natures'!AL2</f>
        <v>1135</v>
      </c>
      <c r="AM10" s="149">
        <f>'4.1 Comptes 2020 natures'!AM2</f>
        <v>1241</v>
      </c>
      <c r="AN10" s="149">
        <f>'4.1 Comptes 2020 natures'!AN2</f>
        <v>119</v>
      </c>
      <c r="AO10" s="149">
        <f>'4.1 Comptes 2020 natures'!AO2</f>
        <v>1195</v>
      </c>
      <c r="AP10" s="149">
        <f>'4.1 Comptes 2020 natures'!AP2</f>
        <v>663</v>
      </c>
      <c r="AQ10" s="149">
        <f>'4.1 Comptes 2020 natures'!AQ2</f>
        <v>645</v>
      </c>
      <c r="AR10" s="149">
        <f>'4.1 Comptes 2020 natures'!AR2</f>
        <v>1263</v>
      </c>
      <c r="AS10" s="149">
        <f>'4.1 Comptes 2020 natures'!AS2</f>
        <v>740</v>
      </c>
      <c r="AT10" s="149">
        <f>'4.1 Comptes 2020 natures'!AT2</f>
        <v>1028</v>
      </c>
      <c r="AU10" s="149">
        <f>'4.1 Comptes 2020 natures'!AU2</f>
        <v>314</v>
      </c>
      <c r="AV10" s="149">
        <f>'4.1 Comptes 2020 natures'!AV2</f>
        <v>2400</v>
      </c>
      <c r="AW10" s="149">
        <f>'4.1 Comptes 2020 natures'!AW2</f>
        <v>755</v>
      </c>
      <c r="AX10" s="149">
        <f>'4.1 Comptes 2020 natures'!AX2</f>
        <v>181</v>
      </c>
      <c r="AY10" s="149">
        <f>'4.1 Comptes 2020 natures'!AY2</f>
        <v>347</v>
      </c>
      <c r="AZ10" s="149">
        <f>'4.1 Comptes 2020 natures'!AZ2</f>
        <v>1690</v>
      </c>
      <c r="BA10" s="149">
        <f>'4.1 Comptes 2020 natures'!BA2</f>
        <v>387</v>
      </c>
      <c r="BB10" s="149">
        <f>'4.1 Comptes 2020 natures'!BB2</f>
        <v>1096</v>
      </c>
      <c r="BC10" s="150">
        <f>'4.1 Comptes 2020 natures'!BC2</f>
        <v>188</v>
      </c>
      <c r="BD10" s="150">
        <f>'4.1 Comptes 2020 natures'!BD2</f>
        <v>6434</v>
      </c>
      <c r="BE10" s="149">
        <f>'4.1 Comptes 2020 natures'!BE2</f>
        <v>560</v>
      </c>
      <c r="BF10" s="1">
        <f>'4.1 Comptes 2020 natures'!BG2</f>
        <v>38954</v>
      </c>
      <c r="BG10" s="1">
        <f>'4.1 Comptes 2020 natures'!BH2</f>
        <v>10479</v>
      </c>
      <c r="BH10" s="1">
        <f>'4.1 Comptes 2020 natures'!BI2</f>
        <v>24276</v>
      </c>
    </row>
    <row r="11" spans="1:60" x14ac:dyDescent="0.3">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3">
      <c r="A12" s="111" t="s">
        <v>573</v>
      </c>
      <c r="B12" s="112" t="s">
        <v>511</v>
      </c>
      <c r="C12" s="111">
        <v>299</v>
      </c>
      <c r="D12" s="113">
        <f>'Base de données indicateurs1'!BF14</f>
        <v>83274406.620000035</v>
      </c>
      <c r="E12" s="4">
        <f>'Base de données indicateurs1'!E14</f>
        <v>2032602.43</v>
      </c>
      <c r="F12" s="4">
        <f>'Base de données indicateurs1'!F14</f>
        <v>259669.26</v>
      </c>
      <c r="G12" s="4">
        <f>'Base de données indicateurs1'!G14</f>
        <v>306794.81</v>
      </c>
      <c r="H12" s="4">
        <f>'Base de données indicateurs1'!H14</f>
        <v>131830.07</v>
      </c>
      <c r="I12" s="4">
        <f>'Base de données indicateurs1'!I14</f>
        <v>4873264</v>
      </c>
      <c r="J12" s="4">
        <f>'Base de données indicateurs1'!J14</f>
        <v>1471739.28</v>
      </c>
      <c r="K12" s="4">
        <f>'Base de données indicateurs1'!K14</f>
        <v>2812814.04</v>
      </c>
      <c r="L12" s="4">
        <f>'Base de données indicateurs1'!L14</f>
        <v>3367435.7</v>
      </c>
      <c r="M12" s="4">
        <f>'Base de données indicateurs1'!M14</f>
        <v>988470.76</v>
      </c>
      <c r="N12" s="4">
        <f>'Base de données indicateurs1'!N14</f>
        <v>0</v>
      </c>
      <c r="O12" s="4">
        <f>'Base de données indicateurs1'!O14</f>
        <v>-745183.54</v>
      </c>
      <c r="P12" s="4">
        <f>'Base de données indicateurs1'!P14</f>
        <v>273295.59999999998</v>
      </c>
      <c r="Q12" s="4">
        <f>'Base de données indicateurs1'!Q14</f>
        <v>81570.179999999993</v>
      </c>
      <c r="R12" s="4">
        <f>'Base de données indicateurs1'!R14</f>
        <v>218290.27</v>
      </c>
      <c r="S12" s="4">
        <f>'Base de données indicateurs1'!S14</f>
        <v>99293.38</v>
      </c>
      <c r="T12" s="4">
        <f>'Base de données indicateurs1'!T14</f>
        <v>659696.05000000005</v>
      </c>
      <c r="U12" s="4">
        <f>'Base de données indicateurs1'!U14</f>
        <v>3343.42</v>
      </c>
      <c r="V12" s="4">
        <f>'Base de données indicateurs1'!V14</f>
        <v>286705.59000000003</v>
      </c>
      <c r="W12" s="4">
        <f>'Base de données indicateurs1'!W14</f>
        <v>1621215.03</v>
      </c>
      <c r="X12" s="4">
        <f>'Base de données indicateurs1'!X14</f>
        <v>1937692</v>
      </c>
      <c r="Y12" s="4">
        <f>'Base de données indicateurs1'!Y14</f>
        <v>1121797.04</v>
      </c>
      <c r="Z12" s="4">
        <f>'Base de données indicateurs1'!Z14</f>
        <v>10536916.17</v>
      </c>
      <c r="AA12" s="4">
        <f>'Base de données indicateurs1'!AA14</f>
        <v>357293</v>
      </c>
      <c r="AB12" s="4">
        <f>'Base de données indicateurs1'!AB14</f>
        <v>1031602.47</v>
      </c>
      <c r="AC12" s="4">
        <f>'Base de données indicateurs1'!AC14</f>
        <v>579462.42000000004</v>
      </c>
      <c r="AD12" s="4">
        <f>'Base de données indicateurs1'!AD14</f>
        <v>884960.82</v>
      </c>
      <c r="AE12" s="4">
        <f>'Base de données indicateurs1'!AE14</f>
        <v>1321982.31</v>
      </c>
      <c r="AF12" s="4">
        <f>'Base de données indicateurs1'!AF14</f>
        <v>4783431.4400000004</v>
      </c>
      <c r="AG12" s="4">
        <f>'Base de données indicateurs1'!AG14</f>
        <v>3216901.24</v>
      </c>
      <c r="AH12" s="4">
        <f>'Base de données indicateurs1'!AH14</f>
        <v>2061849</v>
      </c>
      <c r="AI12" s="4">
        <f>'Base de données indicateurs1'!AI14</f>
        <v>1113598</v>
      </c>
      <c r="AJ12" s="4">
        <f>'Base de données indicateurs1'!AJ14</f>
        <v>583278.91</v>
      </c>
      <c r="AK12" s="4">
        <f>'Base de données indicateurs1'!AK14</f>
        <v>321705.46000000002</v>
      </c>
      <c r="AL12" s="4">
        <f>'Base de données indicateurs1'!AL14</f>
        <v>-32824</v>
      </c>
      <c r="AM12" s="4">
        <f>'Base de données indicateurs1'!AM14</f>
        <v>2314644.77</v>
      </c>
      <c r="AN12" s="4">
        <f>'Base de données indicateurs1'!AN14</f>
        <v>8760.2199999999993</v>
      </c>
      <c r="AO12" s="4">
        <f>'Base de données indicateurs1'!AO14</f>
        <v>6886509.9699999997</v>
      </c>
      <c r="AP12" s="4">
        <f>'Base de données indicateurs1'!AP14</f>
        <v>1959508.23</v>
      </c>
      <c r="AQ12" s="4">
        <f>'Base de données indicateurs1'!AQ14</f>
        <v>1081492</v>
      </c>
      <c r="AR12" s="4">
        <f>'Base de données indicateurs1'!AR14</f>
        <v>4762498.4800000004</v>
      </c>
      <c r="AS12" s="4">
        <f>'Base de données indicateurs1'!AS14</f>
        <v>296861.51</v>
      </c>
      <c r="AT12" s="4">
        <f>'Base de données indicateurs1'!AT14</f>
        <v>585826.38</v>
      </c>
      <c r="AU12" s="4">
        <f>'Base de données indicateurs1'!AU14</f>
        <v>2975620.16</v>
      </c>
      <c r="AV12" s="4">
        <f>'Base de données indicateurs1'!AV14</f>
        <v>4884403.59</v>
      </c>
      <c r="AW12" s="4">
        <f>'Base de données indicateurs1'!AW14</f>
        <v>443278.43</v>
      </c>
      <c r="AX12" s="4">
        <f>'Base de données indicateurs1'!AX14</f>
        <v>166848.37</v>
      </c>
      <c r="AY12" s="4">
        <f>'Base de données indicateurs1'!AY14</f>
        <v>207879.69</v>
      </c>
      <c r="AZ12" s="4">
        <f>'Base de données indicateurs1'!AZ14</f>
        <v>2235253.7599999998</v>
      </c>
      <c r="BA12" s="4">
        <f>'Base de données indicateurs1'!BA14</f>
        <v>1496239.95</v>
      </c>
      <c r="BB12" s="4">
        <f>'Base de données indicateurs1'!BB14</f>
        <v>1806369.39</v>
      </c>
      <c r="BC12" s="4">
        <f>'Base de données indicateurs1'!BC14</f>
        <v>725925.62</v>
      </c>
      <c r="BD12" s="4">
        <f>'Base de données indicateurs1'!BD14</f>
        <v>1509378.23</v>
      </c>
      <c r="BE12" s="4">
        <f>'Base de données indicateurs1'!BE14</f>
        <v>364615.26</v>
      </c>
      <c r="BF12" s="4">
        <f>SUM(E12:W12)</f>
        <v>18742846.330000002</v>
      </c>
      <c r="BG12" s="4">
        <f>SUM(X12:AJ12)</f>
        <v>29530764.820000004</v>
      </c>
      <c r="BH12" s="4">
        <f>SUM(AK12:BE12)</f>
        <v>35000795.469999999</v>
      </c>
    </row>
    <row r="13" spans="1:60" ht="15" thickBot="1" x14ac:dyDescent="0.35">
      <c r="A13" s="117"/>
      <c r="B13" s="118"/>
      <c r="C13" s="117"/>
      <c r="D13" s="119"/>
      <c r="BF13" s="4"/>
      <c r="BG13" s="4"/>
      <c r="BH13" s="4"/>
    </row>
    <row r="14" spans="1:60" ht="15" thickBot="1" x14ac:dyDescent="0.35">
      <c r="A14" s="7" t="s">
        <v>574</v>
      </c>
      <c r="B14" s="64"/>
      <c r="C14" s="7"/>
      <c r="D14" s="120">
        <f>D12</f>
        <v>83274406.620000035</v>
      </c>
      <c r="E14" s="4">
        <f>E12</f>
        <v>2032602.43</v>
      </c>
      <c r="F14" s="4">
        <f t="shared" ref="F14:BE14" si="0">F12</f>
        <v>259669.26</v>
      </c>
      <c r="G14" s="4">
        <f t="shared" si="0"/>
        <v>306794.81</v>
      </c>
      <c r="H14" s="4">
        <f t="shared" si="0"/>
        <v>131830.07</v>
      </c>
      <c r="I14" s="4">
        <f t="shared" si="0"/>
        <v>4873264</v>
      </c>
      <c r="J14" s="4">
        <f t="shared" si="0"/>
        <v>1471739.28</v>
      </c>
      <c r="K14" s="4">
        <f t="shared" si="0"/>
        <v>2812814.04</v>
      </c>
      <c r="L14" s="4">
        <f t="shared" si="0"/>
        <v>3367435.7</v>
      </c>
      <c r="M14" s="4">
        <f t="shared" si="0"/>
        <v>988470.76</v>
      </c>
      <c r="N14" s="4">
        <f t="shared" si="0"/>
        <v>0</v>
      </c>
      <c r="O14" s="4">
        <f t="shared" si="0"/>
        <v>-745183.54</v>
      </c>
      <c r="P14" s="4">
        <f t="shared" si="0"/>
        <v>273295.59999999998</v>
      </c>
      <c r="Q14" s="4">
        <f t="shared" si="0"/>
        <v>81570.179999999993</v>
      </c>
      <c r="R14" s="4">
        <f t="shared" si="0"/>
        <v>218290.27</v>
      </c>
      <c r="S14" s="4">
        <f t="shared" si="0"/>
        <v>99293.38</v>
      </c>
      <c r="T14" s="4">
        <f t="shared" si="0"/>
        <v>659696.05000000005</v>
      </c>
      <c r="U14" s="4">
        <f t="shared" si="0"/>
        <v>3343.42</v>
      </c>
      <c r="V14" s="4">
        <f t="shared" si="0"/>
        <v>286705.59000000003</v>
      </c>
      <c r="W14" s="4">
        <f t="shared" si="0"/>
        <v>1621215.03</v>
      </c>
      <c r="X14" s="4">
        <f t="shared" si="0"/>
        <v>1937692</v>
      </c>
      <c r="Y14" s="4">
        <f t="shared" si="0"/>
        <v>1121797.04</v>
      </c>
      <c r="Z14" s="4">
        <f t="shared" si="0"/>
        <v>10536916.17</v>
      </c>
      <c r="AA14" s="4">
        <f t="shared" si="0"/>
        <v>357293</v>
      </c>
      <c r="AB14" s="4">
        <f t="shared" si="0"/>
        <v>1031602.47</v>
      </c>
      <c r="AC14" s="4">
        <f t="shared" si="0"/>
        <v>579462.42000000004</v>
      </c>
      <c r="AD14" s="4">
        <f t="shared" si="0"/>
        <v>884960.82</v>
      </c>
      <c r="AE14" s="4">
        <f t="shared" si="0"/>
        <v>1321982.31</v>
      </c>
      <c r="AF14" s="4">
        <f t="shared" si="0"/>
        <v>4783431.4400000004</v>
      </c>
      <c r="AG14" s="4">
        <f t="shared" si="0"/>
        <v>3216901.24</v>
      </c>
      <c r="AH14" s="4">
        <f t="shared" si="0"/>
        <v>2061849</v>
      </c>
      <c r="AI14" s="4">
        <f t="shared" si="0"/>
        <v>1113598</v>
      </c>
      <c r="AJ14" s="4">
        <f t="shared" si="0"/>
        <v>583278.91</v>
      </c>
      <c r="AK14" s="4">
        <f t="shared" si="0"/>
        <v>321705.46000000002</v>
      </c>
      <c r="AL14" s="4">
        <f t="shared" si="0"/>
        <v>-32824</v>
      </c>
      <c r="AM14" s="4">
        <f t="shared" si="0"/>
        <v>2314644.77</v>
      </c>
      <c r="AN14" s="4">
        <f t="shared" si="0"/>
        <v>8760.2199999999993</v>
      </c>
      <c r="AO14" s="4">
        <f t="shared" si="0"/>
        <v>6886509.9699999997</v>
      </c>
      <c r="AP14" s="4">
        <f t="shared" si="0"/>
        <v>1959508.23</v>
      </c>
      <c r="AQ14" s="4">
        <f t="shared" si="0"/>
        <v>1081492</v>
      </c>
      <c r="AR14" s="4">
        <f t="shared" si="0"/>
        <v>4762498.4800000004</v>
      </c>
      <c r="AS14" s="4">
        <f t="shared" si="0"/>
        <v>296861.51</v>
      </c>
      <c r="AT14" s="4">
        <f t="shared" si="0"/>
        <v>585826.38</v>
      </c>
      <c r="AU14" s="4">
        <f t="shared" si="0"/>
        <v>2975620.16</v>
      </c>
      <c r="AV14" s="4">
        <f t="shared" si="0"/>
        <v>4884403.59</v>
      </c>
      <c r="AW14" s="4">
        <f t="shared" si="0"/>
        <v>443278.43</v>
      </c>
      <c r="AX14" s="4">
        <f t="shared" si="0"/>
        <v>166848.37</v>
      </c>
      <c r="AY14" s="4">
        <f t="shared" si="0"/>
        <v>207879.69</v>
      </c>
      <c r="AZ14" s="4">
        <f t="shared" si="0"/>
        <v>2235253.7599999998</v>
      </c>
      <c r="BA14" s="4">
        <f t="shared" si="0"/>
        <v>1496239.95</v>
      </c>
      <c r="BB14" s="4">
        <f t="shared" si="0"/>
        <v>1806369.39</v>
      </c>
      <c r="BC14" s="4">
        <f t="shared" si="0"/>
        <v>725925.62</v>
      </c>
      <c r="BD14" s="4">
        <f t="shared" si="0"/>
        <v>1509378.23</v>
      </c>
      <c r="BE14" s="4">
        <f t="shared" si="0"/>
        <v>364615.26</v>
      </c>
      <c r="BF14" s="4">
        <f t="shared" ref="BF14:BF16" si="1">SUM(E14:W14)</f>
        <v>18742846.330000002</v>
      </c>
      <c r="BG14" s="4">
        <f t="shared" ref="BG14:BG16" si="2">SUM(X14:AJ14)</f>
        <v>29530764.820000004</v>
      </c>
      <c r="BH14" s="4">
        <f t="shared" ref="BH14:BH16" si="3">SUM(AK14:BE14)</f>
        <v>35000795.469999999</v>
      </c>
    </row>
    <row r="15" spans="1:60" ht="15" thickBot="1" x14ac:dyDescent="0.35">
      <c r="B15" s="121"/>
      <c r="D15" s="4"/>
      <c r="BF15" s="4"/>
      <c r="BG15" s="4"/>
      <c r="BH15" s="4"/>
    </row>
    <row r="16" spans="1:60" ht="15" thickBot="1" x14ac:dyDescent="0.35">
      <c r="A16" s="7" t="s">
        <v>514</v>
      </c>
      <c r="B16" s="121"/>
      <c r="D16" s="120">
        <f>'Endett. net + degré d''auto.'!D22</f>
        <v>211406984.43999997</v>
      </c>
      <c r="E16" s="4">
        <f>'Endett. net + degré d''auto.'!E22</f>
        <v>2679156.35</v>
      </c>
      <c r="F16" s="4">
        <f>'Endett. net + degré d''auto.'!F22</f>
        <v>761433.55</v>
      </c>
      <c r="G16" s="4">
        <f>'Endett. net + degré d''auto.'!G22</f>
        <v>1109177.2</v>
      </c>
      <c r="H16" s="4">
        <f>'Endett. net + degré d''auto.'!H22</f>
        <v>1118817.55</v>
      </c>
      <c r="I16" s="4">
        <f>'Endett. net + degré d''auto.'!I22</f>
        <v>8082673</v>
      </c>
      <c r="J16" s="4">
        <f>'Endett. net + degré d''auto.'!J22</f>
        <v>8968083.9499999993</v>
      </c>
      <c r="K16" s="4">
        <f>'Endett. net + degré d''auto.'!K22</f>
        <v>6309847.4500000002</v>
      </c>
      <c r="L16" s="4">
        <f>'Endett. net + degré d''auto.'!L22</f>
        <v>34244003.050000004</v>
      </c>
      <c r="M16" s="4">
        <f>'Endett. net + degré d''auto.'!M22</f>
        <v>3189304.04</v>
      </c>
      <c r="N16" s="4">
        <f>'Endett. net + degré d''auto.'!N22</f>
        <v>0</v>
      </c>
      <c r="O16" s="4">
        <f>'Endett. net + degré d''auto.'!O22</f>
        <v>15819575.6</v>
      </c>
      <c r="P16" s="4">
        <f>'Endett. net + degré d''auto.'!P22</f>
        <v>1337760.75</v>
      </c>
      <c r="Q16" s="4">
        <f>'Endett. net + degré d''auto.'!Q22</f>
        <v>206570.5</v>
      </c>
      <c r="R16" s="4">
        <f>'Endett. net + degré d''auto.'!R22</f>
        <v>1023276.4</v>
      </c>
      <c r="S16" s="4">
        <f>'Endett. net + degré d''auto.'!S22</f>
        <v>773740.7</v>
      </c>
      <c r="T16" s="4">
        <f>'Endett. net + degré d''auto.'!T22</f>
        <v>1796029.05</v>
      </c>
      <c r="U16" s="4">
        <f>'Endett. net + degré d''auto.'!U22</f>
        <v>648470.65</v>
      </c>
      <c r="V16" s="4">
        <f>'Endett. net + degré d''auto.'!V22</f>
        <v>1249422.5999999999</v>
      </c>
      <c r="W16" s="4">
        <f>'Endett. net + degré d''auto.'!W22</f>
        <v>8015454.4500000002</v>
      </c>
      <c r="X16" s="4">
        <f>'Endett. net + degré d''auto.'!X22</f>
        <v>759022</v>
      </c>
      <c r="Y16" s="4">
        <f>'Endett. net + degré d''auto.'!Y22</f>
        <v>3508308.62</v>
      </c>
      <c r="Z16" s="4">
        <f>'Endett. net + degré d''auto.'!Z22</f>
        <v>7040802.8500000015</v>
      </c>
      <c r="AA16" s="4">
        <f>'Endett. net + degré d''auto.'!AA22</f>
        <v>250196</v>
      </c>
      <c r="AB16" s="4">
        <f>'Endett. net + degré d''auto.'!AB22</f>
        <v>317299.59999999998</v>
      </c>
      <c r="AC16" s="4">
        <f>'Endett. net + degré d''auto.'!AC22</f>
        <v>1091034.3500000001</v>
      </c>
      <c r="AD16" s="4">
        <f>'Endett. net + degré d''auto.'!AD22</f>
        <v>1422131.5</v>
      </c>
      <c r="AE16" s="4">
        <f>'Endett. net + degré d''auto.'!AE22</f>
        <v>1312098.05</v>
      </c>
      <c r="AF16" s="4">
        <f>'Endett. net + degré d''auto.'!AF22</f>
        <v>1736762.2</v>
      </c>
      <c r="AG16" s="4">
        <f>'Endett. net + degré d''auto.'!AG22</f>
        <v>5757562.6500000004</v>
      </c>
      <c r="AH16" s="4">
        <f>'Endett. net + degré d''auto.'!AH22</f>
        <v>6969940</v>
      </c>
      <c r="AI16" s="4">
        <f>'Endett. net + degré d''auto.'!AI22</f>
        <v>683290</v>
      </c>
      <c r="AJ16" s="4">
        <f>'Endett. net + degré d''auto.'!AJ22</f>
        <v>303088.05</v>
      </c>
      <c r="AK16" s="4">
        <f>'Endett. net + degré d''auto.'!AK22</f>
        <v>5063974.8499999996</v>
      </c>
      <c r="AL16" s="4">
        <f>'Endett. net + degré d''auto.'!AL22</f>
        <v>2329580</v>
      </c>
      <c r="AM16" s="4">
        <f>'Endett. net + degré d''auto.'!AM22</f>
        <v>3025562.7</v>
      </c>
      <c r="AN16" s="4">
        <f>'Endett. net + degré d''auto.'!AN22</f>
        <v>329489.84999999998</v>
      </c>
      <c r="AO16" s="4">
        <f>'Endett. net + degré d''auto.'!AO22</f>
        <v>4632408.0999999996</v>
      </c>
      <c r="AP16" s="4">
        <f>'Endett. net + degré d''auto.'!AP22</f>
        <v>1812819.3</v>
      </c>
      <c r="AQ16" s="4">
        <f>'Endett. net + degré d''auto.'!AQ22</f>
        <v>1746166</v>
      </c>
      <c r="AR16" s="4">
        <f>'Endett. net + degré d''auto.'!AR22</f>
        <v>3200257.4499999997</v>
      </c>
      <c r="AS16" s="4">
        <f>'Endett. net + degré d''auto.'!AS22</f>
        <v>1654606.9500000002</v>
      </c>
      <c r="AT16" s="4">
        <f>'Endett. net + degré d''auto.'!AT22</f>
        <v>2357594.75</v>
      </c>
      <c r="AU16" s="4">
        <f>'Endett. net + degré d''auto.'!AU22</f>
        <v>2024111.5</v>
      </c>
      <c r="AV16" s="4">
        <f>'Endett. net + degré d''auto.'!AV22</f>
        <v>5125075.43</v>
      </c>
      <c r="AW16" s="4">
        <f>'Endett. net + degré d''auto.'!AW22</f>
        <v>1935955.15</v>
      </c>
      <c r="AX16" s="4">
        <f>'Endett. net + degré d''auto.'!AX22</f>
        <v>487333.4</v>
      </c>
      <c r="AY16" s="4">
        <f>'Endett. net + degré d''auto.'!AY22</f>
        <v>1053328.7</v>
      </c>
      <c r="AZ16" s="4">
        <f>'Endett. net + degré d''auto.'!AZ22</f>
        <v>4972694.55</v>
      </c>
      <c r="BA16" s="4">
        <f>'Endett. net + degré d''auto.'!BA22</f>
        <v>1115545.7</v>
      </c>
      <c r="BB16" s="4">
        <f>'Endett. net + degré d''auto.'!BB22</f>
        <v>3134407.95</v>
      </c>
      <c r="BC16" s="4">
        <f>'Endett. net + degré d''auto.'!BC22</f>
        <v>401054.25</v>
      </c>
      <c r="BD16" s="4">
        <f>'Endett. net + degré d''auto.'!BD22</f>
        <v>22203417.350000001</v>
      </c>
      <c r="BE16" s="4">
        <f>'Endett. net + degré d''auto.'!BE22</f>
        <v>1311077.8</v>
      </c>
      <c r="BF16" s="4">
        <f t="shared" si="1"/>
        <v>97332796.840000018</v>
      </c>
      <c r="BG16" s="4">
        <f t="shared" si="2"/>
        <v>31151535.870000001</v>
      </c>
      <c r="BH16" s="4">
        <f t="shared" si="3"/>
        <v>69916461.730000004</v>
      </c>
    </row>
    <row r="17" spans="1:60" ht="15" thickBot="1" x14ac:dyDescent="0.35">
      <c r="A17" s="123"/>
      <c r="B17" s="121"/>
      <c r="D17" s="4"/>
      <c r="BF17" s="4"/>
      <c r="BG17" s="4"/>
      <c r="BH17" s="4"/>
    </row>
    <row r="18" spans="1:60" ht="15" thickBot="1" x14ac:dyDescent="0.35">
      <c r="A18" s="7" t="s">
        <v>575</v>
      </c>
      <c r="B18" s="121"/>
      <c r="D18" s="120">
        <f>IF(D16&lt;&gt;0,D14/D16,"")*100</f>
        <v>39.390565472842447</v>
      </c>
      <c r="E18" s="144">
        <f>IF(E16&lt;&gt;0,E14/E16,"")*100</f>
        <v>75.867256869872477</v>
      </c>
      <c r="F18" s="129">
        <f t="shared" ref="F18:BH18" si="4">IF(F16&lt;&gt;0,F14/F16,"")*100</f>
        <v>34.102681711358791</v>
      </c>
      <c r="G18" s="129">
        <f t="shared" si="4"/>
        <v>27.659675117735922</v>
      </c>
      <c r="H18" s="129">
        <f t="shared" si="4"/>
        <v>11.782981952687461</v>
      </c>
      <c r="I18" s="129">
        <f t="shared" si="4"/>
        <v>60.29272741826869</v>
      </c>
      <c r="J18" s="129">
        <f t="shared" si="4"/>
        <v>16.410855297580039</v>
      </c>
      <c r="K18" s="129">
        <f t="shared" si="4"/>
        <v>44.578162345271913</v>
      </c>
      <c r="L18" s="129">
        <f t="shared" si="4"/>
        <v>9.8336508587596327</v>
      </c>
      <c r="M18" s="129">
        <f t="shared" si="4"/>
        <v>30.993305987848057</v>
      </c>
      <c r="N18" s="129" t="e">
        <f t="shared" si="4"/>
        <v>#VALUE!</v>
      </c>
      <c r="O18" s="129">
        <f t="shared" si="4"/>
        <v>-4.710515369325079</v>
      </c>
      <c r="P18" s="129">
        <f t="shared" si="4"/>
        <v>20.429333122533304</v>
      </c>
      <c r="Q18" s="129">
        <f t="shared" si="4"/>
        <v>39.487816508165494</v>
      </c>
      <c r="R18" s="129">
        <f t="shared" si="4"/>
        <v>21.332483579216717</v>
      </c>
      <c r="S18" s="129">
        <f t="shared" si="4"/>
        <v>12.832901254903614</v>
      </c>
      <c r="T18" s="129">
        <f t="shared" si="4"/>
        <v>36.730811787259235</v>
      </c>
      <c r="U18" s="129">
        <f t="shared" si="4"/>
        <v>0.51558540081960524</v>
      </c>
      <c r="V18" s="129">
        <f t="shared" si="4"/>
        <v>22.947046899904009</v>
      </c>
      <c r="W18" s="129">
        <f t="shared" si="4"/>
        <v>20.226114939746179</v>
      </c>
      <c r="X18" s="129">
        <f t="shared" si="4"/>
        <v>255.28798901744611</v>
      </c>
      <c r="Y18" s="129">
        <f t="shared" si="4"/>
        <v>31.975437782323723</v>
      </c>
      <c r="Z18" s="129">
        <f t="shared" si="4"/>
        <v>149.65503784841806</v>
      </c>
      <c r="AA18" s="129">
        <f t="shared" si="4"/>
        <v>142.80524069129802</v>
      </c>
      <c r="AB18" s="129">
        <f t="shared" si="4"/>
        <v>325.11937298376677</v>
      </c>
      <c r="AC18" s="129">
        <f t="shared" si="4"/>
        <v>53.11129021739783</v>
      </c>
      <c r="AD18" s="129">
        <f t="shared" si="4"/>
        <v>62.227777107813168</v>
      </c>
      <c r="AE18" s="129">
        <f t="shared" si="4"/>
        <v>100.75331717778255</v>
      </c>
      <c r="AF18" s="129">
        <f t="shared" si="4"/>
        <v>275.42236006748652</v>
      </c>
      <c r="AG18" s="129">
        <f t="shared" si="4"/>
        <v>55.872622419488572</v>
      </c>
      <c r="AH18" s="129">
        <f t="shared" si="4"/>
        <v>29.582019357411969</v>
      </c>
      <c r="AI18" s="129">
        <f t="shared" si="4"/>
        <v>162.97589603243131</v>
      </c>
      <c r="AJ18" s="129">
        <f t="shared" si="4"/>
        <v>192.44536694864743</v>
      </c>
      <c r="AK18" s="129">
        <f t="shared" si="4"/>
        <v>6.3528249947765847</v>
      </c>
      <c r="AL18" s="129">
        <f t="shared" si="4"/>
        <v>-1.4090093493247711</v>
      </c>
      <c r="AM18" s="129">
        <f t="shared" si="4"/>
        <v>76.502951665817392</v>
      </c>
      <c r="AN18" s="129">
        <f t="shared" si="4"/>
        <v>2.6587222641304429</v>
      </c>
      <c r="AO18" s="129">
        <f t="shared" si="4"/>
        <v>148.65939747406972</v>
      </c>
      <c r="AP18" s="129">
        <f t="shared" si="4"/>
        <v>108.09175685629559</v>
      </c>
      <c r="AQ18" s="129">
        <f t="shared" si="4"/>
        <v>61.935234107181103</v>
      </c>
      <c r="AR18" s="129">
        <f t="shared" si="4"/>
        <v>148.8161047793202</v>
      </c>
      <c r="AS18" s="129">
        <f t="shared" si="4"/>
        <v>17.941512333185834</v>
      </c>
      <c r="AT18" s="129">
        <f t="shared" si="4"/>
        <v>24.848476609476673</v>
      </c>
      <c r="AU18" s="129">
        <f t="shared" si="4"/>
        <v>147.00870777128631</v>
      </c>
      <c r="AV18" s="129">
        <f t="shared" si="4"/>
        <v>95.304033213029214</v>
      </c>
      <c r="AW18" s="129">
        <f t="shared" si="4"/>
        <v>22.897143562442551</v>
      </c>
      <c r="AX18" s="129">
        <f t="shared" si="4"/>
        <v>34.237006944321891</v>
      </c>
      <c r="AY18" s="129">
        <f t="shared" si="4"/>
        <v>19.735500418815136</v>
      </c>
      <c r="AZ18" s="129">
        <f t="shared" si="4"/>
        <v>44.950554222157081</v>
      </c>
      <c r="BA18" s="129">
        <f t="shared" si="4"/>
        <v>134.12628007978518</v>
      </c>
      <c r="BB18" s="129">
        <f t="shared" si="4"/>
        <v>57.630321860305379</v>
      </c>
      <c r="BC18" s="129">
        <f t="shared" si="4"/>
        <v>181.00434542209689</v>
      </c>
      <c r="BD18" s="129">
        <f t="shared" si="4"/>
        <v>6.7979545950389477</v>
      </c>
      <c r="BE18" s="129">
        <f t="shared" si="4"/>
        <v>27.81034504588515</v>
      </c>
      <c r="BF18" s="129">
        <f t="shared" si="4"/>
        <v>19.256455109175921</v>
      </c>
      <c r="BG18" s="129">
        <f t="shared" si="4"/>
        <v>94.797139194793743</v>
      </c>
      <c r="BH18" s="129">
        <f t="shared" si="4"/>
        <v>50.06087923208181</v>
      </c>
    </row>
    <row r="19" spans="1:60" x14ac:dyDescent="0.3">
      <c r="A19" s="123" t="s">
        <v>576</v>
      </c>
      <c r="B19" s="121"/>
    </row>
    <row r="20" spans="1:60" x14ac:dyDescent="0.3">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5"/>
  <sheetViews>
    <sheetView zoomScaleNormal="100" workbookViewId="0">
      <pane xSplit="4" ySplit="10" topLeftCell="E11" activePane="bottomRight" state="frozen"/>
      <selection activeCell="A40" activeCellId="1" sqref="A45 A40"/>
      <selection pane="topRight" activeCell="A40" activeCellId="1" sqref="A45 A40"/>
      <selection pane="bottomLeft" activeCell="A40" activeCellId="1" sqref="A45 A40"/>
      <selection pane="bottomRight" activeCell="A40" activeCellId="1" sqref="A45 A40"/>
    </sheetView>
  </sheetViews>
  <sheetFormatPr baseColWidth="10" defaultRowHeight="14.4" x14ac:dyDescent="0.3"/>
  <cols>
    <col min="1" max="1" width="51.88671875" customWidth="1"/>
    <col min="2" max="2" width="7.44140625" customWidth="1"/>
    <col min="4" max="4" width="22.88671875" customWidth="1"/>
    <col min="5" max="60" width="15.6640625" customWidth="1"/>
  </cols>
  <sheetData>
    <row r="1" spans="1:60" x14ac:dyDescent="0.3">
      <c r="A1" t="s">
        <v>764</v>
      </c>
    </row>
    <row r="8" spans="1:60" ht="18" x14ac:dyDescent="0.35">
      <c r="A8" s="220" t="s">
        <v>505</v>
      </c>
      <c r="B8" s="220"/>
      <c r="C8" s="220"/>
      <c r="D8" s="220"/>
    </row>
    <row r="9" spans="1:60" ht="15" thickBot="1" x14ac:dyDescent="0.35"/>
    <row r="10" spans="1:60" ht="15" thickBot="1" x14ac:dyDescent="0.35">
      <c r="A10" s="221" t="s">
        <v>577</v>
      </c>
      <c r="B10" s="222"/>
      <c r="C10" s="222"/>
      <c r="D10" s="223"/>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3">
      <c r="B11" s="110"/>
      <c r="E11" s="146">
        <f>'4.1 Comptes 2020 natures'!E2</f>
        <v>923</v>
      </c>
      <c r="F11" s="146">
        <f>'4.1 Comptes 2020 natures'!F2</f>
        <v>270</v>
      </c>
      <c r="G11" s="146">
        <f>'4.1 Comptes 2020 natures'!G2</f>
        <v>485</v>
      </c>
      <c r="H11" s="146">
        <f>'4.1 Comptes 2020 natures'!H2</f>
        <v>446</v>
      </c>
      <c r="I11" s="146">
        <f>'4.1 Comptes 2020 natures'!I2</f>
        <v>3631</v>
      </c>
      <c r="J11" s="146">
        <f>'4.1 Comptes 2020 natures'!J2</f>
        <v>3313</v>
      </c>
      <c r="K11" s="146">
        <f>'4.1 Comptes 2020 natures'!K2</f>
        <v>2644</v>
      </c>
      <c r="L11" s="147">
        <f>'4.1 Comptes 2020 natures'!L2</f>
        <v>12618</v>
      </c>
      <c r="M11" s="147">
        <f>'4.1 Comptes 2020 natures'!M2</f>
        <v>1371</v>
      </c>
      <c r="N11" s="147">
        <f>'4.1 Comptes 2020 natures'!N2</f>
        <v>118</v>
      </c>
      <c r="O11" s="147">
        <f>'4.1 Comptes 2020 natures'!O2</f>
        <v>7167</v>
      </c>
      <c r="P11" s="147">
        <f>'4.1 Comptes 2020 natures'!P2</f>
        <v>528</v>
      </c>
      <c r="Q11" s="147">
        <f>'4.1 Comptes 2020 natures'!Q2</f>
        <v>108</v>
      </c>
      <c r="R11" s="147">
        <f>'4.1 Comptes 2020 natures'!R2</f>
        <v>415</v>
      </c>
      <c r="S11" s="147">
        <f>'4.1 Comptes 2020 natures'!S2</f>
        <v>349</v>
      </c>
      <c r="T11" s="147">
        <f>'4.1 Comptes 2020 natures'!T2</f>
        <v>687</v>
      </c>
      <c r="U11" s="147">
        <f>'4.1 Comptes 2020 natures'!U2</f>
        <v>255</v>
      </c>
      <c r="V11" s="147">
        <f>'4.1 Comptes 2020 natures'!V2</f>
        <v>436</v>
      </c>
      <c r="W11" s="147">
        <f>'4.1 Comptes 2020 natures'!W2</f>
        <v>3190</v>
      </c>
      <c r="X11" s="148">
        <f>'4.1 Comptes 2020 natures'!X2</f>
        <v>324</v>
      </c>
      <c r="Y11" s="148">
        <f>'4.1 Comptes 2020 natures'!Y2</f>
        <v>1246</v>
      </c>
      <c r="Z11" s="148">
        <f>'4.1 Comptes 2020 natures'!Z2</f>
        <v>1528</v>
      </c>
      <c r="AA11" s="148">
        <f>'4.1 Comptes 2020 natures'!AA2</f>
        <v>96</v>
      </c>
      <c r="AB11" s="148">
        <f>'4.1 Comptes 2020 natures'!AB2</f>
        <v>149</v>
      </c>
      <c r="AC11" s="148">
        <f>'4.1 Comptes 2020 natures'!AC2</f>
        <v>516</v>
      </c>
      <c r="AD11" s="148">
        <f>'4.1 Comptes 2020 natures'!AD2</f>
        <v>671</v>
      </c>
      <c r="AE11" s="148">
        <f>'4.1 Comptes 2020 natures'!AE2</f>
        <v>572</v>
      </c>
      <c r="AF11" s="148">
        <f>'4.1 Comptes 2020 natures'!AF2</f>
        <v>490</v>
      </c>
      <c r="AG11" s="148">
        <f>'4.1 Comptes 2020 natures'!AG2</f>
        <v>1914</v>
      </c>
      <c r="AH11" s="148">
        <f>'4.1 Comptes 2020 natures'!AH2</f>
        <v>2615</v>
      </c>
      <c r="AI11" s="148">
        <f>'4.1 Comptes 2020 natures'!AI2</f>
        <v>227</v>
      </c>
      <c r="AJ11" s="148">
        <f>'4.1 Comptes 2020 natures'!AJ2</f>
        <v>131</v>
      </c>
      <c r="AK11" s="149">
        <f>'4.1 Comptes 2020 natures'!AK2</f>
        <v>1895</v>
      </c>
      <c r="AL11" s="149">
        <f>'4.1 Comptes 2020 natures'!AL2</f>
        <v>1135</v>
      </c>
      <c r="AM11" s="149">
        <f>'4.1 Comptes 2020 natures'!AM2</f>
        <v>1241</v>
      </c>
      <c r="AN11" s="149">
        <f>'4.1 Comptes 2020 natures'!AN2</f>
        <v>119</v>
      </c>
      <c r="AO11" s="149">
        <f>'4.1 Comptes 2020 natures'!AO2</f>
        <v>1195</v>
      </c>
      <c r="AP11" s="149">
        <f>'4.1 Comptes 2020 natures'!AP2</f>
        <v>663</v>
      </c>
      <c r="AQ11" s="149">
        <f>'4.1 Comptes 2020 natures'!AQ2</f>
        <v>645</v>
      </c>
      <c r="AR11" s="149">
        <f>'4.1 Comptes 2020 natures'!AR2</f>
        <v>1263</v>
      </c>
      <c r="AS11" s="149">
        <f>'4.1 Comptes 2020 natures'!AS2</f>
        <v>740</v>
      </c>
      <c r="AT11" s="149">
        <f>'4.1 Comptes 2020 natures'!AT2</f>
        <v>1028</v>
      </c>
      <c r="AU11" s="149">
        <f>'4.1 Comptes 2020 natures'!AU2</f>
        <v>314</v>
      </c>
      <c r="AV11" s="149">
        <f>'4.1 Comptes 2020 natures'!AV2</f>
        <v>2400</v>
      </c>
      <c r="AW11" s="149">
        <f>'4.1 Comptes 2020 natures'!AW2</f>
        <v>755</v>
      </c>
      <c r="AX11" s="149">
        <f>'4.1 Comptes 2020 natures'!AX2</f>
        <v>181</v>
      </c>
      <c r="AY11" s="149">
        <f>'4.1 Comptes 2020 natures'!AY2</f>
        <v>347</v>
      </c>
      <c r="AZ11" s="149">
        <f>'4.1 Comptes 2020 natures'!AZ2</f>
        <v>1690</v>
      </c>
      <c r="BA11" s="149">
        <f>'4.1 Comptes 2020 natures'!BA2</f>
        <v>387</v>
      </c>
      <c r="BB11" s="149">
        <f>'4.1 Comptes 2020 natures'!BB2</f>
        <v>1096</v>
      </c>
      <c r="BC11" s="150">
        <f>'4.1 Comptes 2020 natures'!BC2</f>
        <v>188</v>
      </c>
      <c r="BD11" s="150">
        <f>'4.1 Comptes 2020 natures'!BD2</f>
        <v>6434</v>
      </c>
      <c r="BE11" s="149">
        <f>'4.1 Comptes 2020 natures'!BE2</f>
        <v>560</v>
      </c>
      <c r="BF11" s="1">
        <f>'4.1 Comptes 2020 natures'!BG2</f>
        <v>38954</v>
      </c>
      <c r="BG11" s="1">
        <f>'4.1 Comptes 2020 natures'!BH2</f>
        <v>10479</v>
      </c>
      <c r="BH11" s="1">
        <f>'4.1 Comptes 2020 natures'!BI2</f>
        <v>24276</v>
      </c>
    </row>
    <row r="13" spans="1:60" x14ac:dyDescent="0.3">
      <c r="A13" s="7" t="s">
        <v>506</v>
      </c>
      <c r="D13" s="117"/>
    </row>
    <row r="14" spans="1:60" ht="15" thickBot="1" x14ac:dyDescent="0.35"/>
    <row r="15" spans="1:60" ht="15" thickBot="1" x14ac:dyDescent="0.35">
      <c r="A15" t="s">
        <v>578</v>
      </c>
      <c r="D15" s="131">
        <f>'Quotité d''intéret + revenus det'!D36</f>
        <v>538714835.06000006</v>
      </c>
      <c r="E15" s="4">
        <f>'Quotité d''intéret + revenus det'!E36</f>
        <v>7362387.0700000003</v>
      </c>
      <c r="F15" s="4">
        <f>'Quotité d''intéret + revenus det'!F36</f>
        <v>1694059.85</v>
      </c>
      <c r="G15" s="4">
        <f>'Quotité d''intéret + revenus det'!G36</f>
        <v>5594890.2999999998</v>
      </c>
      <c r="H15" s="4">
        <f>'Quotité d''intéret + revenus det'!H36</f>
        <v>4325953.6500000004</v>
      </c>
      <c r="I15" s="4">
        <f>'Quotité d''intéret + revenus det'!I36</f>
        <v>22913378</v>
      </c>
      <c r="J15" s="4">
        <f>'Quotité d''intéret + revenus det'!J36</f>
        <v>20840155.5</v>
      </c>
      <c r="K15" s="4">
        <f>'Quotité d''intéret + revenus det'!K36</f>
        <v>6817290.6900000004</v>
      </c>
      <c r="L15" s="4">
        <f>'Quotité d''intéret + revenus det'!L36</f>
        <v>119224424.16999999</v>
      </c>
      <c r="M15" s="4">
        <f>'Quotité d''intéret + revenus det'!M36</f>
        <v>5654444.4800000004</v>
      </c>
      <c r="N15" s="4">
        <f>'Quotité d''intéret + revenus det'!N36</f>
        <v>0</v>
      </c>
      <c r="O15" s="4">
        <f>'Quotité d''intéret + revenus det'!O36</f>
        <v>38037365.759999998</v>
      </c>
      <c r="P15" s="4">
        <f>'Quotité d''intéret + revenus det'!P36</f>
        <v>3153128.1900000004</v>
      </c>
      <c r="Q15" s="4">
        <f>'Quotité d''intéret + revenus det'!Q36</f>
        <v>536394.25</v>
      </c>
      <c r="R15" s="4">
        <f>'Quotité d''intéret + revenus det'!R36</f>
        <v>3313530.66</v>
      </c>
      <c r="S15" s="4">
        <f>'Quotité d''intéret + revenus det'!S36</f>
        <v>4204776.53</v>
      </c>
      <c r="T15" s="4">
        <f>'Quotité d''intéret + revenus det'!T36</f>
        <v>5505378.5700000003</v>
      </c>
      <c r="U15" s="4">
        <f>'Quotité d''intéret + revenus det'!U36</f>
        <v>653720.47</v>
      </c>
      <c r="V15" s="4">
        <f>'Quotité d''intéret + revenus det'!V36</f>
        <v>2744898.29</v>
      </c>
      <c r="W15" s="4">
        <f>'Quotité d''intéret + revenus det'!W36</f>
        <v>14833017.120000001</v>
      </c>
      <c r="X15" s="4">
        <f>'Quotité d''intéret + revenus det'!X36</f>
        <v>567706</v>
      </c>
      <c r="Y15" s="4">
        <f>'Quotité d''intéret + revenus det'!Y36</f>
        <v>12076989.98</v>
      </c>
      <c r="Z15" s="4">
        <f>'Quotité d''intéret + revenus det'!Z36</f>
        <v>8118224.96</v>
      </c>
      <c r="AA15" s="4">
        <f>'Quotité d''intéret + revenus det'!AA36</f>
        <v>644147</v>
      </c>
      <c r="AB15" s="4">
        <f>'Quotité d''intéret + revenus det'!AB36</f>
        <v>1231444.1299999999</v>
      </c>
      <c r="AC15" s="4">
        <f>'Quotité d''intéret + revenus det'!AC36</f>
        <v>3067383.23</v>
      </c>
      <c r="AD15" s="4">
        <f>'Quotité d''intéret + revenus det'!AD36</f>
        <v>7698969.8399999999</v>
      </c>
      <c r="AE15" s="4">
        <f>'Quotité d''intéret + revenus det'!AE36</f>
        <v>3837428.94</v>
      </c>
      <c r="AF15" s="4">
        <f>'Quotité d''intéret + revenus det'!AF36</f>
        <v>1162741.5</v>
      </c>
      <c r="AG15" s="4">
        <f>'Quotité d''intéret + revenus det'!AG36</f>
        <v>7078615.3899999997</v>
      </c>
      <c r="AH15" s="4">
        <f>'Quotité d''intéret + revenus det'!AH36</f>
        <v>19272498</v>
      </c>
      <c r="AI15" s="4">
        <f>'Quotité d''intéret + revenus det'!AI36</f>
        <v>885057.5</v>
      </c>
      <c r="AJ15" s="4">
        <f>'Quotité d''intéret + revenus det'!AJ36</f>
        <v>719026.05</v>
      </c>
      <c r="AK15" s="4">
        <f>'Quotité d''intéret + revenus det'!AK36</f>
        <v>17180810.02</v>
      </c>
      <c r="AL15" s="4">
        <f>'Quotité d''intéret + revenus det'!AL36</f>
        <v>6479125</v>
      </c>
      <c r="AM15" s="4">
        <f>'Quotité d''intéret + revenus det'!AM36</f>
        <v>11423868.66</v>
      </c>
      <c r="AN15" s="4">
        <f>'Quotité d''intéret + revenus det'!AN36</f>
        <v>1630726.94</v>
      </c>
      <c r="AO15" s="4">
        <f>'Quotité d''intéret + revenus det'!AO36</f>
        <v>10097839.1</v>
      </c>
      <c r="AP15" s="4">
        <f>'Quotité d''intéret + revenus det'!AP36</f>
        <v>5139011.8899999997</v>
      </c>
      <c r="AQ15" s="4">
        <f>'Quotité d''intéret + revenus det'!AQ36</f>
        <v>4438993</v>
      </c>
      <c r="AR15" s="4">
        <f>'Quotité d''intéret + revenus det'!AR36</f>
        <v>9360629.9800000004</v>
      </c>
      <c r="AS15" s="4">
        <f>'Quotité d''intéret + revenus det'!AS36</f>
        <v>5509464.75</v>
      </c>
      <c r="AT15" s="4">
        <f>'Quotité d''intéret + revenus det'!AT36</f>
        <v>8021556.3700000001</v>
      </c>
      <c r="AU15" s="4">
        <f>'Quotité d''intéret + revenus det'!AU36</f>
        <v>1892447.1</v>
      </c>
      <c r="AV15" s="4">
        <f>'Quotité d''intéret + revenus det'!AV36</f>
        <v>13884615.460000001</v>
      </c>
      <c r="AW15" s="4">
        <f>'Quotité d''intéret + revenus det'!AW36</f>
        <v>5721798.2999999998</v>
      </c>
      <c r="AX15" s="4">
        <f>'Quotité d''intéret + revenus det'!AX36</f>
        <v>827166.2</v>
      </c>
      <c r="AY15" s="4">
        <f>'Quotité d''intéret + revenus det'!AY36</f>
        <v>2006984.94</v>
      </c>
      <c r="AZ15" s="4">
        <f>'Quotité d''intéret + revenus det'!AZ36</f>
        <v>20555588.629999999</v>
      </c>
      <c r="BA15" s="4">
        <f>'Quotité d''intéret + revenus det'!BA36</f>
        <v>1211925.51</v>
      </c>
      <c r="BB15" s="4">
        <f>'Quotité d''intéret + revenus det'!BB36</f>
        <v>10224980.140000001</v>
      </c>
      <c r="BC15" s="4">
        <f>'Quotité d''intéret + revenus det'!BC36</f>
        <v>206289.58000000002</v>
      </c>
      <c r="BD15" s="4">
        <f>'Quotité d''intéret + revenus det'!BD36</f>
        <v>64703530.620000005</v>
      </c>
      <c r="BE15" s="4">
        <f>'Quotité d''intéret + revenus det'!BE36</f>
        <v>4428056.8</v>
      </c>
      <c r="BF15" s="4">
        <f>SUM(E15:W15)</f>
        <v>267409193.54999995</v>
      </c>
      <c r="BG15" s="4">
        <f>SUM(X15:AJ15)</f>
        <v>66360232.519999996</v>
      </c>
      <c r="BH15" s="4">
        <f>SUM(AK15:BE15)</f>
        <v>204945408.99000004</v>
      </c>
    </row>
    <row r="16" spans="1:60" ht="15" thickBot="1" x14ac:dyDescent="0.35">
      <c r="D16" s="132"/>
      <c r="BF16" s="4"/>
      <c r="BG16" s="4"/>
      <c r="BH16" s="4"/>
    </row>
    <row r="17" spans="1:60" ht="15" thickBot="1" x14ac:dyDescent="0.35">
      <c r="A17" t="s">
        <v>509</v>
      </c>
      <c r="D17" s="131">
        <f>'Endett. net + degré d''auto.'!D15</f>
        <v>247940459.12999958</v>
      </c>
      <c r="E17" s="4">
        <f>'Endett. net + degré d''auto.'!E15</f>
        <v>1981542.2999999998</v>
      </c>
      <c r="F17" s="4">
        <f>'Endett. net + degré d''auto.'!F15</f>
        <v>347500.05000000005</v>
      </c>
      <c r="G17" s="4">
        <f>'Endett. net + degré d''auto.'!G15</f>
        <v>2113085.3899999997</v>
      </c>
      <c r="H17" s="4">
        <f>'Endett. net + degré d''auto.'!H15</f>
        <v>333820.88000000082</v>
      </c>
      <c r="I17" s="4">
        <f>'Endett. net + degré d''auto.'!I15</f>
        <v>11170167</v>
      </c>
      <c r="J17" s="4">
        <f>'Endett. net + degré d''auto.'!J15</f>
        <v>13112482.930000002</v>
      </c>
      <c r="K17" s="4">
        <f>'Endett. net + degré d''auto.'!K15</f>
        <v>1024849.9699999988</v>
      </c>
      <c r="L17" s="4">
        <f>'Endett. net + degré d''auto.'!L15</f>
        <v>70522811.370000005</v>
      </c>
      <c r="M17" s="4">
        <f>'Endett. net + degré d''auto.'!M15</f>
        <v>2124903.9499999997</v>
      </c>
      <c r="N17" s="4">
        <f>'Endett. net + degré d''auto.'!N15</f>
        <v>0</v>
      </c>
      <c r="O17" s="4">
        <f>'Endett. net + degré d''auto.'!O15</f>
        <v>21593781.700000003</v>
      </c>
      <c r="P17" s="4">
        <f>'Endett. net + degré d''auto.'!P15</f>
        <v>1367293.8899999997</v>
      </c>
      <c r="Q17" s="4">
        <f>'Endett. net + degré d''auto.'!Q15</f>
        <v>245034.5</v>
      </c>
      <c r="R17" s="4">
        <f>'Endett. net + degré d''auto.'!R15</f>
        <v>1875498.62</v>
      </c>
      <c r="S17" s="4">
        <f>'Endett. net + degré d''auto.'!S15</f>
        <v>2154227.6300000004</v>
      </c>
      <c r="T17" s="4">
        <f>'Endett. net + degré d''auto.'!T15</f>
        <v>212642.52999999933</v>
      </c>
      <c r="U17" s="4">
        <f>'Endett. net + degré d''auto.'!U15</f>
        <v>292787.20999999985</v>
      </c>
      <c r="V17" s="4">
        <f>'Endett. net + degré d''auto.'!V15</f>
        <v>439211.70000000019</v>
      </c>
      <c r="W17" s="4">
        <f>'Endett. net + degré d''auto.'!W15</f>
        <v>10418227.84</v>
      </c>
      <c r="X17" s="4">
        <f>'Endett. net + degré d''auto.'!X15</f>
        <v>-1080510</v>
      </c>
      <c r="Y17" s="4">
        <f>'Endett. net + degré d''auto.'!Y15</f>
        <v>7786577.9200000009</v>
      </c>
      <c r="Z17" s="4">
        <f>'Endett. net + degré d''auto.'!Z15</f>
        <v>-8985276.8900000006</v>
      </c>
      <c r="AA17" s="4">
        <f>'Endett. net + degré d''auto.'!AA15</f>
        <v>135991</v>
      </c>
      <c r="AB17" s="4">
        <f>'Endett. net + degré d''auto.'!AB15</f>
        <v>159244.26</v>
      </c>
      <c r="AC17" s="4">
        <f>'Endett. net + degré d''auto.'!AC15</f>
        <v>261711.14999999991</v>
      </c>
      <c r="AD17" s="4">
        <f>'Endett. net + degré d''auto.'!AD15</f>
        <v>6603345.2300000004</v>
      </c>
      <c r="AE17" s="4">
        <f>'Endett. net + degré d''auto.'!AE15</f>
        <v>1285721.0299999998</v>
      </c>
      <c r="AF17" s="4">
        <f>'Endett. net + degré d''auto.'!AF15</f>
        <v>-3100962.9499999997</v>
      </c>
      <c r="AG17" s="4">
        <f>'Endett. net + degré d''auto.'!AG15</f>
        <v>-1077667.79</v>
      </c>
      <c r="AH17" s="4">
        <f>'Endett. net + degré d''auto.'!AH15</f>
        <v>10187147</v>
      </c>
      <c r="AI17" s="4">
        <f>'Endett. net + degré d''auto.'!AI15</f>
        <v>122013</v>
      </c>
      <c r="AJ17" s="4">
        <f>'Endett. net + degré d''auto.'!AJ15</f>
        <v>-1131039.05</v>
      </c>
      <c r="AK17" s="4">
        <f>'Endett. net + degré d''auto.'!AK15</f>
        <v>11365852.559999999</v>
      </c>
      <c r="AL17" s="4">
        <f>'Endett. net + degré d''auto.'!AL15</f>
        <v>-3382369</v>
      </c>
      <c r="AM17" s="4">
        <f>'Endett. net + degré d''auto.'!AM15</f>
        <v>6847039.9500000002</v>
      </c>
      <c r="AN17" s="4">
        <f>'Endett. net + degré d''auto.'!AN15</f>
        <v>-517907.81999999995</v>
      </c>
      <c r="AO17" s="4">
        <f>'Endett. net + degré d''auto.'!AO15</f>
        <v>-3843093.0299999993</v>
      </c>
      <c r="AP17" s="4">
        <f>'Endett. net + degré d''auto.'!AP15</f>
        <v>1459848.7399999998</v>
      </c>
      <c r="AQ17" s="4">
        <f>'Endett. net + degré d''auto.'!AQ15</f>
        <v>928102</v>
      </c>
      <c r="AR17" s="4">
        <f>'Endett. net + degré d''auto.'!AR15</f>
        <v>-2020851.1899999995</v>
      </c>
      <c r="AS17" s="4">
        <f>'Endett. net + degré d''auto.'!AS15</f>
        <v>3139351.8900000006</v>
      </c>
      <c r="AT17" s="4">
        <f>'Endett. net + degré d''auto.'!AT15</f>
        <v>5090106.17</v>
      </c>
      <c r="AU17" s="4">
        <f>'Endett. net + degré d''auto.'!AU15</f>
        <v>-1809164.0300000003</v>
      </c>
      <c r="AV17" s="4">
        <f>'Endett. net + degré d''auto.'!AV15</f>
        <v>9800475.9100000001</v>
      </c>
      <c r="AW17" s="4">
        <f>'Endett. net + degré d''auto.'!AW15</f>
        <v>2942305.27</v>
      </c>
      <c r="AX17" s="4">
        <f>'Endett. net + degré d''auto.'!AX15</f>
        <v>303302.40000000002</v>
      </c>
      <c r="AY17" s="4">
        <f>'Endett. net + degré d''auto.'!AY15</f>
        <v>62364.760000000009</v>
      </c>
      <c r="AZ17" s="4">
        <f>'Endett. net + degré d''auto.'!AZ15</f>
        <v>16734582.77</v>
      </c>
      <c r="BA17" s="4">
        <f>'Endett. net + degré d''auto.'!BA15</f>
        <v>-420378.84000000008</v>
      </c>
      <c r="BB17" s="4">
        <f>'Endett. net + degré d''auto.'!BB15</f>
        <v>6329522.8200000003</v>
      </c>
      <c r="BC17" s="4">
        <f>'Endett. net + degré d''auto.'!BC15</f>
        <v>-570550.06000000006</v>
      </c>
      <c r="BD17" s="4">
        <f>'Endett. net + degré d''auto.'!BD15</f>
        <v>40863227.879999995</v>
      </c>
      <c r="BE17" s="4">
        <f>'Endett. net + degré d''auto.'!BE15</f>
        <v>2142526.61</v>
      </c>
      <c r="BF17" s="4">
        <f t="shared" ref="BF17:BF43" si="0">SUM(E17:W17)</f>
        <v>141329869.46000001</v>
      </c>
      <c r="BG17" s="4">
        <f t="shared" ref="BG17:BG43" si="1">SUM(X17:AJ17)</f>
        <v>11166293.91</v>
      </c>
      <c r="BH17" s="4">
        <f t="shared" ref="BH17:BH43" si="2">SUM(AK17:BE17)</f>
        <v>95444295.759999976</v>
      </c>
    </row>
    <row r="18" spans="1:60" ht="15" thickBot="1" x14ac:dyDescent="0.35">
      <c r="D18" s="132"/>
      <c r="BF18" s="4"/>
      <c r="BG18" s="4"/>
      <c r="BH18" s="4"/>
    </row>
    <row r="19" spans="1:60" ht="15" thickBot="1" x14ac:dyDescent="0.35">
      <c r="A19" t="s">
        <v>515</v>
      </c>
      <c r="D19" s="131">
        <f>'Endett. net + degré d''auto.'!D24</f>
        <v>117.28111054929138</v>
      </c>
      <c r="E19" s="4">
        <f>'Endett. net + degré d''auto.'!E24</f>
        <v>73.961428193617735</v>
      </c>
      <c r="F19" s="4">
        <f>'Endett. net + degré d''auto.'!F24</f>
        <v>45.637606853546188</v>
      </c>
      <c r="G19" s="4">
        <f>'Endett. net + degré d''auto.'!G24</f>
        <v>190.50927029513406</v>
      </c>
      <c r="H19" s="4">
        <f>'Endett. net + degré d''auto.'!H24</f>
        <v>29.836936326213404</v>
      </c>
      <c r="I19" s="4">
        <f>'Endett. net + degré d''auto.'!I24</f>
        <v>138.19892255940579</v>
      </c>
      <c r="J19" s="4">
        <f>'Endett. net + degré d''auto.'!J24</f>
        <v>146.21275852351943</v>
      </c>
      <c r="K19" s="4">
        <f>'Endett. net + degré d''auto.'!K24</f>
        <v>16.242072064674066</v>
      </c>
      <c r="L19" s="4">
        <f>'Endett. net + degré d''auto.'!L24</f>
        <v>205.94207770344184</v>
      </c>
      <c r="M19" s="4">
        <f>'Endett. net + degré d''auto.'!M24</f>
        <v>66.625944825254095</v>
      </c>
      <c r="N19" s="4" t="e">
        <f>'Endett. net + degré d''auto.'!N24</f>
        <v>#VALUE!</v>
      </c>
      <c r="O19" s="4">
        <f>'Endett. net + degré d''auto.'!O24</f>
        <v>136.50038563613555</v>
      </c>
      <c r="P19" s="4">
        <f>'Endett. net + degré d''auto.'!P24</f>
        <v>102.20765484411167</v>
      </c>
      <c r="Q19" s="4">
        <f>'Endett. net + degré d''auto.'!Q24</f>
        <v>118.62027733872939</v>
      </c>
      <c r="R19" s="4">
        <f>'Endett. net + degré d''auto.'!R24</f>
        <v>183.28367780200932</v>
      </c>
      <c r="S19" s="4">
        <f>'Endett. net + degré d''auto.'!S24</f>
        <v>278.41725658221168</v>
      </c>
      <c r="T19" s="4">
        <f>'Endett. net + degré d''auto.'!T24</f>
        <v>11.839593017718689</v>
      </c>
      <c r="U19" s="4">
        <f>'Endett. net + degré d''auto.'!U24</f>
        <v>45.150418141514933</v>
      </c>
      <c r="V19" s="4">
        <f>'Endett. net + degré d''auto.'!V24</f>
        <v>35.153173954112901</v>
      </c>
      <c r="W19" s="4">
        <f>'Endett. net + degré d''auto.'!W24</f>
        <v>129.97675808637399</v>
      </c>
      <c r="X19" s="4">
        <f>'Endett. net + degré d''auto.'!X24</f>
        <v>-142.35555754642158</v>
      </c>
      <c r="Y19" s="4">
        <f>'Endett. net + degré d''auto.'!Y24</f>
        <v>221.94677730489971</v>
      </c>
      <c r="Z19" s="4">
        <f>'Endett. net + degré d''auto.'!Z24</f>
        <v>-127.61722038559849</v>
      </c>
      <c r="AA19" s="4">
        <f>'Endett. net + degré d''auto.'!AA24</f>
        <v>54.353786631281075</v>
      </c>
      <c r="AB19" s="4">
        <f>'Endett. net + degré d''auto.'!AB24</f>
        <v>50.187349747683271</v>
      </c>
      <c r="AC19" s="4">
        <f>'Endett. net + degré d''auto.'!AC24</f>
        <v>23.987434492782</v>
      </c>
      <c r="AD19" s="4">
        <f>'Endett. net + degré d''auto.'!AD24</f>
        <v>464.32733048948006</v>
      </c>
      <c r="AE19" s="4">
        <f>'Endett. net + degré d''auto.'!AE24</f>
        <v>97.989706638158609</v>
      </c>
      <c r="AF19" s="4">
        <f>'Endett. net + degré d''auto.'!AF24</f>
        <v>-178.54850537396541</v>
      </c>
      <c r="AG19" s="4">
        <f>'Endett. net + degré d''auto.'!AG24</f>
        <v>-18.717430543287268</v>
      </c>
      <c r="AH19" s="4">
        <f>'Endett. net + degré d''auto.'!AH24</f>
        <v>146.15831700129414</v>
      </c>
      <c r="AI19" s="4">
        <f>'Endett. net + degré d''auto.'!AI24</f>
        <v>17.856693351285692</v>
      </c>
      <c r="AJ19" s="4">
        <f>'Endett. net + degré d''auto.'!AJ24</f>
        <v>-373.17177302107427</v>
      </c>
      <c r="AK19" s="4">
        <f>'Endett. net + degré d''auto.'!AK24</f>
        <v>224.44528056848463</v>
      </c>
      <c r="AL19" s="4">
        <f>'Endett. net + degré d''auto.'!AL24</f>
        <v>-145.19222349092971</v>
      </c>
      <c r="AM19" s="4">
        <f>'Endett. net + degré d''auto.'!AM24</f>
        <v>226.3063313809362</v>
      </c>
      <c r="AN19" s="4">
        <f>'Endett. net + degré d''auto.'!AN24</f>
        <v>-157.18475698113309</v>
      </c>
      <c r="AO19" s="4">
        <f>'Endett. net + degré d''auto.'!AO24</f>
        <v>-82.961020424776464</v>
      </c>
      <c r="AP19" s="4">
        <f>'Endett. net + degré d''auto.'!AP24</f>
        <v>80.529192291807561</v>
      </c>
      <c r="AQ19" s="4">
        <f>'Endett. net + degré d''auto.'!AQ24</f>
        <v>53.150845910411725</v>
      </c>
      <c r="AR19" s="4">
        <f>'Endett. net + degré d''auto.'!AR24</f>
        <v>-63.146519352685196</v>
      </c>
      <c r="AS19" s="4">
        <f>'Endett. net + degré d''auto.'!AS24</f>
        <v>189.73399634275683</v>
      </c>
      <c r="AT19" s="4">
        <f>'Endett. net + degré d''auto.'!AT24</f>
        <v>215.90250699362136</v>
      </c>
      <c r="AU19" s="4">
        <f>'Endett. net + degré d''auto.'!AU24</f>
        <v>-89.380650720081391</v>
      </c>
      <c r="AV19" s="4">
        <f>'Endett. net + degré d''auto.'!AV24</f>
        <v>191.22598377054521</v>
      </c>
      <c r="AW19" s="4">
        <f>'Endett. net + degré d''auto.'!AW24</f>
        <v>151.98209886215599</v>
      </c>
      <c r="AX19" s="4">
        <f>'Endett. net + degré d''auto.'!AX24</f>
        <v>62.237146068789869</v>
      </c>
      <c r="AY19" s="4">
        <f>'Endett. net + degré d''auto.'!AY24</f>
        <v>5.920731107013415</v>
      </c>
      <c r="AZ19" s="4">
        <f>'Endett. net + degré d''auto.'!AZ24</f>
        <v>336.5294731404727</v>
      </c>
      <c r="BA19" s="4">
        <f>'Endett. net + degré d''auto.'!BA24</f>
        <v>-37.683695074078997</v>
      </c>
      <c r="BB19" s="4">
        <f>'Endett. net + degré d''auto.'!BB24</f>
        <v>201.93679064653983</v>
      </c>
      <c r="BC19" s="4">
        <f>'Endett. net + degré d''auto.'!BC24</f>
        <v>-142.26256422915355</v>
      </c>
      <c r="BD19" s="4">
        <f>'Endett. net + degré d''auto.'!BD24</f>
        <v>184.04026387406529</v>
      </c>
      <c r="BE19" s="4">
        <f>'Endett. net + degré d''auto.'!BE24</f>
        <v>163.41719843017705</v>
      </c>
      <c r="BF19" s="4" t="e">
        <f t="shared" si="0"/>
        <v>#VALUE!</v>
      </c>
      <c r="BG19" s="4">
        <f t="shared" si="1"/>
        <v>236.39690878651754</v>
      </c>
      <c r="BH19" s="4">
        <f t="shared" si="2"/>
        <v>1569.5464091149393</v>
      </c>
    </row>
    <row r="20" spans="1:60" x14ac:dyDescent="0.3">
      <c r="D20" s="132"/>
      <c r="BF20" s="4"/>
      <c r="BG20" s="4"/>
      <c r="BH20" s="4"/>
    </row>
    <row r="21" spans="1:60" x14ac:dyDescent="0.3">
      <c r="D21" s="132"/>
      <c r="BF21" s="4"/>
      <c r="BG21" s="4"/>
      <c r="BH21" s="4"/>
    </row>
    <row r="22" spans="1:60" x14ac:dyDescent="0.3">
      <c r="A22" s="7" t="s">
        <v>517</v>
      </c>
      <c r="D22" s="132"/>
      <c r="BF22" s="4"/>
      <c r="BG22" s="4"/>
      <c r="BH22" s="4"/>
    </row>
    <row r="23" spans="1:60" ht="15" thickBot="1" x14ac:dyDescent="0.35">
      <c r="D23" s="132"/>
      <c r="BF23" s="4"/>
      <c r="BG23" s="4"/>
      <c r="BH23" s="4"/>
    </row>
    <row r="24" spans="1:60" ht="15" thickBot="1" x14ac:dyDescent="0.35">
      <c r="A24" t="s">
        <v>558</v>
      </c>
      <c r="D24" s="131">
        <f>'Endett. net + degré d''auto.'!D41</f>
        <v>22485634.750000007</v>
      </c>
      <c r="E24" s="4">
        <f>'Endett. net + degré d''auto.'!E41</f>
        <v>832459.83000000007</v>
      </c>
      <c r="F24" s="4">
        <f>'Endett. net + degré d''auto.'!F41</f>
        <v>205445.28</v>
      </c>
      <c r="G24" s="4">
        <f>'Endett. net + degré d''auto.'!G41</f>
        <v>-61794.959999999992</v>
      </c>
      <c r="H24" s="4">
        <f>'Endett. net + degré d''auto.'!H41</f>
        <v>189395.1</v>
      </c>
      <c r="I24" s="4">
        <f>'Endett. net + degré d''auto.'!I41</f>
        <v>164.30999999999767</v>
      </c>
      <c r="J24" s="4">
        <f>'Endett. net + degré d''auto.'!J41</f>
        <v>1876600.28</v>
      </c>
      <c r="K24" s="4">
        <f>'Endett. net + degré d''auto.'!K41</f>
        <v>486979.09000000008</v>
      </c>
      <c r="L24" s="4">
        <f>'Endett. net + degré d''auto.'!L41</f>
        <v>1468726.6999999997</v>
      </c>
      <c r="M24" s="4">
        <f>'Endett. net + degré d''auto.'!M41</f>
        <v>45022.169999999991</v>
      </c>
      <c r="N24" s="4">
        <f>'Endett. net + degré d''auto.'!N41</f>
        <v>0</v>
      </c>
      <c r="O24" s="4">
        <f>'Endett. net + degré d''auto.'!O41</f>
        <v>-408267.07000000007</v>
      </c>
      <c r="P24" s="4">
        <f>'Endett. net + degré d''auto.'!P41</f>
        <v>66001.91</v>
      </c>
      <c r="Q24" s="4">
        <f>'Endett. net + degré d''auto.'!Q41</f>
        <v>-73417.52</v>
      </c>
      <c r="R24" s="4">
        <f>'Endett. net + degré d''auto.'!R41</f>
        <v>64471.42</v>
      </c>
      <c r="S24" s="4">
        <f>'Endett. net + degré d''auto.'!S41</f>
        <v>54478.63</v>
      </c>
      <c r="T24" s="4">
        <f>'Endett. net + degré d''auto.'!T41</f>
        <v>181886.19</v>
      </c>
      <c r="U24" s="4">
        <f>'Endett. net + degré d''auto.'!U41</f>
        <v>31257.25</v>
      </c>
      <c r="V24" s="4">
        <f>'Endett. net + degré d''auto.'!V41</f>
        <v>-3983.6100000000151</v>
      </c>
      <c r="W24" s="4">
        <f>'Endett. net + degré d''auto.'!W41</f>
        <v>1099927.6200000001</v>
      </c>
      <c r="X24" s="4">
        <f>'Endett. net + degré d''auto.'!X41</f>
        <v>151103</v>
      </c>
      <c r="Y24" s="4">
        <f>'Endett. net + degré d''auto.'!Y41</f>
        <v>308378.78000000003</v>
      </c>
      <c r="Z24" s="4">
        <f>'Endett. net + degré d''auto.'!Z41</f>
        <v>3612940.13</v>
      </c>
      <c r="AA24" s="4">
        <f>'Endett. net + degré d''auto.'!AA41</f>
        <v>44754.25</v>
      </c>
      <c r="AB24" s="4">
        <f>'Endett. net + degré d''auto.'!AB41</f>
        <v>-9198.24</v>
      </c>
      <c r="AC24" s="4">
        <f>'Endett. net + degré d''auto.'!AC41</f>
        <v>-278712.08999999997</v>
      </c>
      <c r="AD24" s="4">
        <f>'Endett. net + degré d''auto.'!AD41</f>
        <v>-199633.86</v>
      </c>
      <c r="AE24" s="4">
        <f>'Endett. net + degré d''auto.'!AE41</f>
        <v>-49418.240000000013</v>
      </c>
      <c r="AF24" s="4">
        <f>'Endett. net + degré d''auto.'!AF41</f>
        <v>460433.87</v>
      </c>
      <c r="AG24" s="4">
        <f>'Endett. net + degré d''auto.'!AG41</f>
        <v>1326940.22</v>
      </c>
      <c r="AH24" s="4">
        <f>'Endett. net + degré d''auto.'!AH41</f>
        <v>1154249</v>
      </c>
      <c r="AI24" s="4">
        <f>'Endett. net + degré d''auto.'!AI41</f>
        <v>199878</v>
      </c>
      <c r="AJ24" s="4">
        <f>'Endett. net + degré d''auto.'!AJ41</f>
        <v>-34242.9</v>
      </c>
      <c r="AK24" s="4">
        <f>'Endett. net + degré d''auto.'!AK41</f>
        <v>78262.3</v>
      </c>
      <c r="AL24" s="4">
        <f>'Endett. net + degré d''auto.'!AL41</f>
        <v>351169</v>
      </c>
      <c r="AM24" s="4">
        <f>'Endett. net + degré d''auto.'!AM41</f>
        <v>74800</v>
      </c>
      <c r="AN24" s="4">
        <f>'Endett. net + degré d''auto.'!AN41</f>
        <v>33942.740000000005</v>
      </c>
      <c r="AO24" s="4">
        <f>'Endett. net + degré d''auto.'!AO41</f>
        <v>654861.09</v>
      </c>
      <c r="AP24" s="4">
        <f>'Endett. net + degré d''auto.'!AP41</f>
        <v>552003.74</v>
      </c>
      <c r="AQ24" s="4">
        <f>'Endett. net + degré d''auto.'!AQ41</f>
        <v>300994</v>
      </c>
      <c r="AR24" s="4">
        <f>'Endett. net + degré d''auto.'!AR41</f>
        <v>754497.03999999992</v>
      </c>
      <c r="AS24" s="4">
        <f>'Endett. net + degré d''auto.'!AS41</f>
        <v>183781.52</v>
      </c>
      <c r="AT24" s="4">
        <f>'Endett. net + degré d''auto.'!AT41</f>
        <v>51568.060000000012</v>
      </c>
      <c r="AU24" s="4">
        <f>'Endett. net + degré d''auto.'!AU41</f>
        <v>1356568</v>
      </c>
      <c r="AV24" s="4">
        <f>'Endett. net + degré d''auto.'!AV41</f>
        <v>-824702.74</v>
      </c>
      <c r="AW24" s="4">
        <f>'Endett. net + degré d''auto.'!AW41</f>
        <v>41052.320000000007</v>
      </c>
      <c r="AX24" s="4">
        <f>'Endett. net + degré d''auto.'!AX41</f>
        <v>1414.0600000000013</v>
      </c>
      <c r="AY24" s="4">
        <f>'Endett. net + degré d''auto.'!AY41</f>
        <v>225632.85</v>
      </c>
      <c r="AZ24" s="4">
        <f>'Endett. net + degré d''auto.'!AZ41</f>
        <v>670622.73</v>
      </c>
      <c r="BA24" s="4">
        <f>'Endett. net + degré d''auto.'!BA41</f>
        <v>253173.4</v>
      </c>
      <c r="BB24" s="4">
        <f>'Endett. net + degré d''auto.'!BB41</f>
        <v>769502.15</v>
      </c>
      <c r="BC24" s="4">
        <f>'Endett. net + degré d''auto.'!BC41</f>
        <v>10198.42</v>
      </c>
      <c r="BD24" s="4">
        <f>'Endett. net + degré d''auto.'!BD41</f>
        <v>4085388.59</v>
      </c>
      <c r="BE24" s="4">
        <f>'Endett. net + degré d''auto.'!BE41</f>
        <v>118080.94</v>
      </c>
      <c r="BF24" s="4">
        <f t="shared" si="0"/>
        <v>6055352.620000001</v>
      </c>
      <c r="BG24" s="4">
        <f t="shared" si="1"/>
        <v>6687471.9199999999</v>
      </c>
      <c r="BH24" s="4">
        <f t="shared" si="2"/>
        <v>9742810.209999999</v>
      </c>
    </row>
    <row r="25" spans="1:60" ht="15" thickBot="1" x14ac:dyDescent="0.35">
      <c r="D25" s="132"/>
      <c r="BF25" s="4"/>
      <c r="BG25" s="4"/>
      <c r="BH25" s="4"/>
    </row>
    <row r="26" spans="1:60" ht="15" thickBot="1" x14ac:dyDescent="0.35">
      <c r="A26" t="s">
        <v>579</v>
      </c>
      <c r="D26" s="131">
        <f>'Endett. net + degré d''auto.'!D48</f>
        <v>87.460441613465107</v>
      </c>
      <c r="E26" s="4">
        <f>'Endett. net + degré d''auto.'!E48</f>
        <v>140.17718914924001</v>
      </c>
      <c r="F26" s="4">
        <f>'Endett. net + degré d''auto.'!F48</f>
        <v>-96.059968607376661</v>
      </c>
      <c r="G26" s="4">
        <f>'Endett. net + degré d''auto.'!G48</f>
        <v>-3.6425543403056899</v>
      </c>
      <c r="H26" s="4">
        <f>'Endett. net + degré d''auto.'!H48</f>
        <v>-256.5750409968482</v>
      </c>
      <c r="I26" s="4">
        <f>'Endett. net + degré d''auto.'!I48</f>
        <v>7.7284310875680804E-3</v>
      </c>
      <c r="J26" s="4">
        <f>'Endett. net + degré d''auto.'!J48</f>
        <v>122.73924254567692</v>
      </c>
      <c r="K26" s="4">
        <f>'Endett. net + degré d''auto.'!K48</f>
        <v>38.449889242193898</v>
      </c>
      <c r="L26" s="4">
        <f>'Endett. net + degré d''auto.'!L48</f>
        <v>14.795729268374016</v>
      </c>
      <c r="M26" s="4">
        <f>'Endett. net + degré d''auto.'!M48</f>
        <v>24.410668281676422</v>
      </c>
      <c r="N26" s="4">
        <f>'Endett. net + degré d''auto.'!N48</f>
        <v>0</v>
      </c>
      <c r="O26" s="4">
        <f>'Endett. net + degré d''auto.'!O48</f>
        <v>-22.938461812471182</v>
      </c>
      <c r="P26" s="4">
        <f>'Endett. net + degré d''auto.'!P48</f>
        <v>212.77739647309096</v>
      </c>
      <c r="Q26" s="4" t="e">
        <f>'Endett. net + degré d''auto.'!Q48</f>
        <v>#VALUE!</v>
      </c>
      <c r="R26" s="4">
        <f>'Endett. net + degré d''auto.'!R48</f>
        <v>407.68572151258377</v>
      </c>
      <c r="S26" s="4">
        <f>'Endett. net + degré d''auto.'!S48</f>
        <v>31.814809558932168</v>
      </c>
      <c r="T26" s="4">
        <f>'Endett. net + degré d''auto.'!T48</f>
        <v>83.4427782912108</v>
      </c>
      <c r="U26" s="4">
        <f>'Endett. net + degré d''auto.'!U48</f>
        <v>47.505585361034697</v>
      </c>
      <c r="V26" s="4">
        <f>'Endett. net + degré d''auto.'!V48</f>
        <v>4.19245328729885</v>
      </c>
      <c r="W26" s="4">
        <f>'Endett. net + degré d''auto.'!W48</f>
        <v>339.18918889748409</v>
      </c>
      <c r="X26" s="4">
        <f>'Endett. net + degré d''auto.'!X48</f>
        <v>230.41598332376464</v>
      </c>
      <c r="Y26" s="4">
        <f>'Endett. net + degré d''auto.'!Y48</f>
        <v>-29.73231745424485</v>
      </c>
      <c r="Z26" s="4">
        <f>'Endett. net + degré d''auto.'!Z48</f>
        <v>717.38927807521566</v>
      </c>
      <c r="AA26" s="4" t="e">
        <f>'Endett. net + degré d''auto.'!AA48</f>
        <v>#VALUE!</v>
      </c>
      <c r="AB26" s="4">
        <f>'Endett. net + degré d''auto.'!AB48</f>
        <v>10.222555383233022</v>
      </c>
      <c r="AC26" s="4">
        <f>'Endett. net + degré d''auto.'!AC48</f>
        <v>-300.3563707920141</v>
      </c>
      <c r="AD26" s="4">
        <f>'Endett. net + degré d''auto.'!AD48</f>
        <v>-171.4140064078731</v>
      </c>
      <c r="AE26" s="4">
        <f>'Endett. net + degré d''auto.'!AE48</f>
        <v>-122.31087174968694</v>
      </c>
      <c r="AF26" s="4">
        <f>'Endett. net + degré d''auto.'!AF48</f>
        <v>179.59152175066228</v>
      </c>
      <c r="AG26" s="4">
        <f>'Endett. net + degré d''auto.'!AG48</f>
        <v>329.4671677507875</v>
      </c>
      <c r="AH26" s="4">
        <f>'Endett. net + degré d''auto.'!AH48</f>
        <v>-688.72123941170355</v>
      </c>
      <c r="AI26" s="4" t="e">
        <f>'Endett. net + degré d''auto.'!AI48</f>
        <v>#VALUE!</v>
      </c>
      <c r="AJ26" s="4" t="e">
        <f>'Endett. net + degré d''auto.'!AJ48</f>
        <v>#VALUE!</v>
      </c>
      <c r="AK26" s="4">
        <f>'Endett. net + degré d''auto.'!AK48</f>
        <v>3.9731846247777045</v>
      </c>
      <c r="AL26" s="4">
        <f>'Endett. net + degré d''auto.'!AL48</f>
        <v>93.928103351432313</v>
      </c>
      <c r="AM26" s="4">
        <f>'Endett. net + degré d''auto.'!AM48</f>
        <v>31.893118825105255</v>
      </c>
      <c r="AN26" s="4">
        <f>'Endett. net + degré d''auto.'!AN48</f>
        <v>6.0315413129004867</v>
      </c>
      <c r="AO26" s="4">
        <f>'Endett. net + degré d''auto.'!AO48</f>
        <v>76.759257577013187</v>
      </c>
      <c r="AP26" s="4">
        <f>'Endett. net + degré d''auto.'!AP48</f>
        <v>295.18585085408137</v>
      </c>
      <c r="AQ26" s="4">
        <f>'Endett. net + degré d''auto.'!AQ48</f>
        <v>764.21377084809114</v>
      </c>
      <c r="AR26" s="4">
        <f>'Endett. net + degré d''auto.'!AR48</f>
        <v>202.6221857527712</v>
      </c>
      <c r="AS26" s="4">
        <f>'Endett. net + degré d''auto.'!AS48</f>
        <v>1025.5665178571428</v>
      </c>
      <c r="AT26" s="4">
        <f>'Endett. net + degré d''auto.'!AT48</f>
        <v>54.706402173486403</v>
      </c>
      <c r="AU26" s="4">
        <f>'Endett. net + degré d''auto.'!AU48</f>
        <v>706.85029437158619</v>
      </c>
      <c r="AV26" s="4">
        <f>'Endett. net + degré d''auto.'!AV48</f>
        <v>-134.50563512642054</v>
      </c>
      <c r="AW26" s="4">
        <f>'Endett. net + degré d''auto.'!AW48</f>
        <v>84.583965187578301</v>
      </c>
      <c r="AX26" s="4" t="e">
        <f>'Endett. net + degré d''auto.'!AX48</f>
        <v>#VALUE!</v>
      </c>
      <c r="AY26" s="4" t="e">
        <f>'Endett. net + degré d''auto.'!AY48</f>
        <v>#VALUE!</v>
      </c>
      <c r="AZ26" s="4" t="e">
        <f>'Endett. net + degré d''auto.'!AZ48</f>
        <v>#VALUE!</v>
      </c>
      <c r="BA26" s="4">
        <f>'Endett. net + degré d''auto.'!BA48</f>
        <v>227.58192619080683</v>
      </c>
      <c r="BB26" s="4">
        <f>'Endett. net + degré d''auto.'!BB48</f>
        <v>219.90440829233057</v>
      </c>
      <c r="BC26" s="4" t="e">
        <f>'Endett. net + degré d''auto.'!BC48</f>
        <v>#VALUE!</v>
      </c>
      <c r="BD26" s="4">
        <f>'Endett. net + degré d''auto.'!BD48</f>
        <v>-1473.5315391598212</v>
      </c>
      <c r="BE26" s="4">
        <f>'Endett. net + degré d''auto.'!BE48</f>
        <v>1898.5142250769741</v>
      </c>
      <c r="BF26" s="4" t="e">
        <f t="shared" si="0"/>
        <v>#VALUE!</v>
      </c>
      <c r="BG26" s="4" t="e">
        <f t="shared" si="1"/>
        <v>#VALUE!</v>
      </c>
      <c r="BH26" s="4" t="e">
        <f t="shared" si="2"/>
        <v>#VALUE!</v>
      </c>
    </row>
    <row r="27" spans="1:60" x14ac:dyDescent="0.3">
      <c r="D27" s="132"/>
      <c r="BF27" s="4"/>
      <c r="BG27" s="4"/>
      <c r="BH27" s="4"/>
    </row>
    <row r="28" spans="1:60" ht="15" thickBot="1" x14ac:dyDescent="0.35">
      <c r="D28" s="132"/>
      <c r="BF28" s="4"/>
      <c r="BG28" s="4"/>
      <c r="BH28" s="4"/>
    </row>
    <row r="29" spans="1:60" ht="15" thickBot="1" x14ac:dyDescent="0.35">
      <c r="A29" s="7" t="s">
        <v>580</v>
      </c>
      <c r="D29" s="131">
        <f>'Quotité d''intéret + revenus det'!D25</f>
        <v>1.4435025366540681</v>
      </c>
      <c r="E29" s="4">
        <f>'Quotité d''intéret + revenus det'!E25</f>
        <v>7.6553601655648548E-2</v>
      </c>
      <c r="F29" s="4">
        <f>'Quotité d''intéret + revenus det'!F25</f>
        <v>2.862309213919795</v>
      </c>
      <c r="G29" s="4">
        <f>'Quotité d''intéret + revenus det'!G25</f>
        <v>4.7484417593637103</v>
      </c>
      <c r="H29" s="4">
        <f>'Quotité d''intéret + revenus det'!H25</f>
        <v>5.2980397416059608</v>
      </c>
      <c r="I29" s="4">
        <f>'Quotité d''intéret + revenus det'!I25</f>
        <v>2.138289938260042</v>
      </c>
      <c r="J29" s="4">
        <f>'Quotité d''intéret + revenus det'!J25</f>
        <v>1.0779907609403421</v>
      </c>
      <c r="K29" s="4">
        <f>'Quotité d''intéret + revenus det'!K25</f>
        <v>0.74979844162490739</v>
      </c>
      <c r="L29" s="4">
        <f>'Quotité d''intéret + revenus det'!L25</f>
        <v>0.57893410650682231</v>
      </c>
      <c r="M29" s="4">
        <f>'Quotité d''intéret + revenus det'!M25</f>
        <v>0.3556992448713735</v>
      </c>
      <c r="N29" s="4" t="e">
        <f>'Quotité d''intéret + revenus det'!N25</f>
        <v>#VALUE!</v>
      </c>
      <c r="O29" s="4">
        <f>'Quotité d''intéret + revenus det'!O25</f>
        <v>0.88767018302878675</v>
      </c>
      <c r="P29" s="4">
        <f>'Quotité d''intéret + revenus det'!P25</f>
        <v>2.4626782377352914</v>
      </c>
      <c r="Q29" s="4">
        <f>'Quotité d''intéret + revenus det'!Q25</f>
        <v>2.5978853826449186</v>
      </c>
      <c r="R29" s="4">
        <f>'Quotité d''intéret + revenus det'!R25</f>
        <v>3.7120647031162552</v>
      </c>
      <c r="S29" s="4">
        <f>'Quotité d''intéret + revenus det'!S25</f>
        <v>7.0274777957921826</v>
      </c>
      <c r="T29" s="4">
        <f>'Quotité d''intéret + revenus det'!T25</f>
        <v>1.6720419265770625</v>
      </c>
      <c r="U29" s="4">
        <f>'Quotité d''intéret + revenus det'!U25</f>
        <v>-0.18422801286332319</v>
      </c>
      <c r="V29" s="4">
        <f>'Quotité d''intéret + revenus det'!V25</f>
        <v>3.3745805148662011</v>
      </c>
      <c r="W29" s="4">
        <f>'Quotité d''intéret + revenus det'!W25</f>
        <v>1.5586797969178576</v>
      </c>
      <c r="X29" s="4">
        <f>'Quotité d''intéret + revenus det'!X25</f>
        <v>-0.26436980670608651</v>
      </c>
      <c r="Y29" s="4">
        <f>'Quotité d''intéret + revenus det'!Y25</f>
        <v>3.2033339174429494</v>
      </c>
      <c r="Z29" s="4">
        <f>'Quotité d''intéret + revenus det'!Z25</f>
        <v>-0.25376604648103745</v>
      </c>
      <c r="AA29" s="4">
        <f>'Quotité d''intéret + revenus det'!AA25</f>
        <v>8.4291939853166333</v>
      </c>
      <c r="AB29" s="4">
        <f>'Quotité d''intéret + revenus det'!AB25</f>
        <v>0.21439013414058061</v>
      </c>
      <c r="AC29" s="4">
        <f>'Quotité d''intéret + revenus det'!AC25</f>
        <v>2.5101974758090688</v>
      </c>
      <c r="AD29" s="4">
        <f>'Quotité d''intéret + revenus det'!AD25</f>
        <v>-1.5861619756923973</v>
      </c>
      <c r="AE29" s="4">
        <f>'Quotité d''intéret + revenus det'!AE25</f>
        <v>2.2598289132293403</v>
      </c>
      <c r="AF29" s="4">
        <f>'Quotité d''intéret + revenus det'!AF25</f>
        <v>0.19454663339817824</v>
      </c>
      <c r="AG29" s="4">
        <f>'Quotité d''intéret + revenus det'!AG25</f>
        <v>0.84150648684192442</v>
      </c>
      <c r="AH29" s="4">
        <f>'Quotité d''intéret + revenus det'!AH25</f>
        <v>1.9035812338406615</v>
      </c>
      <c r="AI29" s="4">
        <f>'Quotité d''intéret + revenus det'!AI25</f>
        <v>0.42364225824525847</v>
      </c>
      <c r="AJ29" s="4">
        <f>'Quotité d''intéret + revenus det'!AJ25</f>
        <v>0.16400197198503161</v>
      </c>
      <c r="AK29" s="4">
        <f>'Quotité d''intéret + revenus det'!AK25</f>
        <v>0.68738373157138666</v>
      </c>
      <c r="AL29" s="4">
        <f>'Quotité d''intéret + revenus det'!AL25</f>
        <v>3.5327958258023857</v>
      </c>
      <c r="AM29" s="4">
        <f>'Quotité d''intéret + revenus det'!AM25</f>
        <v>2.2483690909752845</v>
      </c>
      <c r="AN29" s="4">
        <f>'Quotité d''intéret + revenus det'!AN25</f>
        <v>-2.0535758989909589</v>
      </c>
      <c r="AO29" s="4">
        <f>'Quotité d''intéret + revenus det'!AO25</f>
        <v>0.62857726139987313</v>
      </c>
      <c r="AP29" s="4">
        <f>'Quotité d''intéret + revenus det'!AP25</f>
        <v>1.4402496146230848</v>
      </c>
      <c r="AQ29" s="4">
        <f>'Quotité d''intéret + revenus det'!AQ25</f>
        <v>1.5740459892609744</v>
      </c>
      <c r="AR29" s="4">
        <f>'Quotité d''intéret + revenus det'!AR25</f>
        <v>1.7595760092328301</v>
      </c>
      <c r="AS29" s="4">
        <f>'Quotité d''intéret + revenus det'!AS25</f>
        <v>1.9026119407402848</v>
      </c>
      <c r="AT29" s="4">
        <f>'Quotité d''intéret + revenus det'!AT25</f>
        <v>2.3316563378902511</v>
      </c>
      <c r="AU29" s="4">
        <f>'Quotité d''intéret + revenus det'!AU25</f>
        <v>0.81127491987407518</v>
      </c>
      <c r="AV29" s="4">
        <f>'Quotité d''intéret + revenus det'!AV25</f>
        <v>2.6740501161172174</v>
      </c>
      <c r="AW29" s="4">
        <f>'Quotité d''intéret + revenus det'!AW25</f>
        <v>1.4438600564771966</v>
      </c>
      <c r="AX29" s="4">
        <f>'Quotité d''intéret + revenus det'!AX25</f>
        <v>1.0029225818084</v>
      </c>
      <c r="AY29" s="4">
        <f>'Quotité d''intéret + revenus det'!AY25</f>
        <v>0.89846473112479441</v>
      </c>
      <c r="AZ29" s="4">
        <f>'Quotité d''intéret + revenus det'!AZ25</f>
        <v>5.4527880740282582</v>
      </c>
      <c r="BA29" s="4">
        <f>'Quotité d''intéret + revenus det'!BA25</f>
        <v>-0.21033873125089297</v>
      </c>
      <c r="BB29" s="4">
        <f>'Quotité d''intéret + revenus det'!BB25</f>
        <v>1.4692231724492817</v>
      </c>
      <c r="BC29" s="4">
        <f>'Quotité d''intéret + revenus det'!BC25</f>
        <v>-1.0828300530300936</v>
      </c>
      <c r="BD29" s="4">
        <f>'Quotité d''intéret + revenus det'!BD25</f>
        <v>2.4316799166573313</v>
      </c>
      <c r="BE29" s="4">
        <f>'Quotité d''intéret + revenus det'!BE25</f>
        <v>2.3162815648294512</v>
      </c>
      <c r="BF29" s="4" t="e">
        <f t="shared" si="0"/>
        <v>#VALUE!</v>
      </c>
      <c r="BG29" s="4">
        <f t="shared" si="1"/>
        <v>18.039925181370101</v>
      </c>
      <c r="BH29" s="4">
        <f t="shared" si="2"/>
        <v>31.259066251590415</v>
      </c>
    </row>
    <row r="30" spans="1:60" ht="15" thickBot="1" x14ac:dyDescent="0.35">
      <c r="D30" s="132"/>
      <c r="BF30" s="4"/>
      <c r="BG30" s="4"/>
      <c r="BH30" s="4"/>
    </row>
    <row r="31" spans="1:60" ht="15" thickBot="1" x14ac:dyDescent="0.35">
      <c r="A31" s="7" t="s">
        <v>581</v>
      </c>
      <c r="D31" s="131">
        <f>'Quotité d''intéret + revenus det'!D40</f>
        <v>255.25284918619286</v>
      </c>
      <c r="E31" s="4">
        <f>'Quotité d''intéret + revenus det'!E40</f>
        <v>222.00231094004522</v>
      </c>
      <c r="F31" s="4">
        <f>'Quotité d''intéret + revenus det'!F40</f>
        <v>239.11209636368235</v>
      </c>
      <c r="G31" s="4">
        <f>'Quotité d''intéret + revenus det'!G40</f>
        <v>485.98382992820933</v>
      </c>
      <c r="H31" s="4">
        <f>'Quotité d''intéret + revenus det'!H40</f>
        <v>419.48775690627667</v>
      </c>
      <c r="I31" s="4">
        <f>'Quotité d''intéret + revenus det'!I40</f>
        <v>305.26757401214337</v>
      </c>
      <c r="J31" s="4">
        <f>'Quotité d''intéret + revenus det'!J40</f>
        <v>222.03169083472639</v>
      </c>
      <c r="K31" s="4">
        <f>'Quotité d''intéret + revenus det'!K40</f>
        <v>96.362060861585036</v>
      </c>
      <c r="L31" s="4">
        <f>'Quotité d''intéret + revenus det'!L40</f>
        <v>329.5567878055179</v>
      </c>
      <c r="M31" s="4">
        <f>'Quotité d''intéret + revenus det'!M40</f>
        <v>167.34657871202828</v>
      </c>
      <c r="N31" s="4" t="e">
        <f>'Quotité d''intéret + revenus det'!N40</f>
        <v>#VALUE!</v>
      </c>
      <c r="O31" s="4">
        <f>'Quotité d''intéret + revenus det'!O40</f>
        <v>231.80936233037005</v>
      </c>
      <c r="P31" s="4">
        <f>'Quotité d''intéret + revenus det'!P40</f>
        <v>257.63861219080337</v>
      </c>
      <c r="Q31" s="4">
        <f>'Quotité d''intéret + revenus det'!Q40</f>
        <v>285.83957215261779</v>
      </c>
      <c r="R31" s="4">
        <f>'Quotité d''intéret + revenus det'!R40</f>
        <v>334.97662539875728</v>
      </c>
      <c r="S31" s="4">
        <f>'Quotité d''intéret + revenus det'!S40</f>
        <v>581.64660524769954</v>
      </c>
      <c r="T31" s="4">
        <f>'Quotité d''intéret + revenus det'!T40</f>
        <v>275.41460905746095</v>
      </c>
      <c r="U31" s="4">
        <f>'Quotité d''intéret + revenus det'!U40</f>
        <v>109.58373732375289</v>
      </c>
      <c r="V31" s="4">
        <f>'Quotité d''intéret + revenus det'!V40</f>
        <v>211.38321866941078</v>
      </c>
      <c r="W31" s="4">
        <f>'Quotité d''intéret + revenus det'!W40</f>
        <v>201.53482621513569</v>
      </c>
      <c r="X31" s="4">
        <f>'Quotité d''intéret + revenus det'!X40</f>
        <v>66.882497988362545</v>
      </c>
      <c r="Y31" s="4">
        <f>'Quotité d''intéret + revenus det'!Y40</f>
        <v>321.31633746844506</v>
      </c>
      <c r="Z31" s="4">
        <f>'Quotité d''intéret + revenus det'!Z40</f>
        <v>85.306255102747315</v>
      </c>
      <c r="AA31" s="4">
        <f>'Quotité d''intéret + revenus det'!AA40</f>
        <v>1264.4713595854109</v>
      </c>
      <c r="AB31" s="4">
        <f>'Quotité d''intéret + revenus det'!AB40</f>
        <v>430.2631555041242</v>
      </c>
      <c r="AC31" s="4">
        <f>'Quotité d''intéret + revenus det'!AC40</f>
        <v>357.5451156644491</v>
      </c>
      <c r="AD31" s="4">
        <f>'Quotité d''intéret + revenus det'!AD40</f>
        <v>658.83767280918175</v>
      </c>
      <c r="AE31" s="4">
        <f>'Quotité d''intéret + revenus det'!AE40</f>
        <v>311.94418310873277</v>
      </c>
      <c r="AF31" s="4">
        <f>'Quotité d''intéret + revenus det'!AF40</f>
        <v>92.848764247977613</v>
      </c>
      <c r="AG31" s="4">
        <f>'Quotité d''intéret + revenus det'!AG40</f>
        <v>102.36560756179199</v>
      </c>
      <c r="AH31" s="4">
        <f>'Quotité d''intéret + revenus det'!AH40</f>
        <v>251.07795800415377</v>
      </c>
      <c r="AI31" s="4">
        <f>'Quotité d''intéret + revenus det'!AI40</f>
        <v>169.74103324531347</v>
      </c>
      <c r="AJ31" s="4">
        <f>'Quotité d''intéret + revenus det'!AJ40</f>
        <v>240.56813845650186</v>
      </c>
      <c r="AK31" s="4">
        <f>'Quotité d''intéret + revenus det'!AK40</f>
        <v>316.57774476041084</v>
      </c>
      <c r="AL31" s="4">
        <f>'Quotité d''intéret + revenus det'!AL40</f>
        <v>261.03259003343538</v>
      </c>
      <c r="AM31" s="4">
        <f>'Quotité d''intéret + revenus det'!AM40</f>
        <v>385.80890000849035</v>
      </c>
      <c r="AN31" s="4">
        <f>'Quotité d''intéret + revenus det'!AN40</f>
        <v>487.4529903492957</v>
      </c>
      <c r="AO31" s="4">
        <f>'Quotité d''intéret + revenus det'!AO40</f>
        <v>147.87057668298502</v>
      </c>
      <c r="AP31" s="4">
        <f>'Quotité d''intéret + revenus det'!AP40</f>
        <v>266.02234485207941</v>
      </c>
      <c r="AQ31" s="4">
        <f>'Quotité d''intéret + revenus det'!AQ40</f>
        <v>227.43539164651389</v>
      </c>
      <c r="AR31" s="4">
        <f>'Quotité d''intéret + revenus det'!AR40</f>
        <v>281.71320359908935</v>
      </c>
      <c r="AS31" s="4">
        <f>'Quotité d''intéret + revenus det'!AS40</f>
        <v>326.15011644275955</v>
      </c>
      <c r="AT31" s="4">
        <f>'Quotité d''intéret + revenus det'!AT40</f>
        <v>335.39029587621678</v>
      </c>
      <c r="AU31" s="4">
        <f>'Quotité d''intéret + revenus det'!AU40</f>
        <v>83.95140335513787</v>
      </c>
      <c r="AV31" s="4">
        <f>'Quotité d''intéret + revenus det'!AV40</f>
        <v>250.0363158769014</v>
      </c>
      <c r="AW31" s="4">
        <f>'Quotité d''intéret + revenus det'!AW40</f>
        <v>259.83880343873039</v>
      </c>
      <c r="AX31" s="4">
        <f>'Quotité d''intéret + revenus det'!AX40</f>
        <v>218.3597587068308</v>
      </c>
      <c r="AY31" s="4">
        <f>'Quotité d''intéret + revenus det'!AY40</f>
        <v>222.34452259796734</v>
      </c>
      <c r="AZ31" s="4">
        <f>'Quotité d''intéret + revenus det'!AZ40</f>
        <v>423.16872990597949</v>
      </c>
      <c r="BA31" s="4">
        <f>'Quotité d''intéret + revenus det'!BA40</f>
        <v>123.07474538870397</v>
      </c>
      <c r="BB31" s="4">
        <f>'Quotité d''intéret + revenus det'!BB40</f>
        <v>282.9673788677465</v>
      </c>
      <c r="BC31" s="4">
        <f>'Quotité d''intéret + revenus det'!BC40</f>
        <v>60.374490006609925</v>
      </c>
      <c r="BD31" s="4">
        <f>'Quotité d''intéret + revenus det'!BD40</f>
        <v>262.10478939943715</v>
      </c>
      <c r="BE31" s="4">
        <f>'Quotité d''intéret + revenus det'!BE40</f>
        <v>418.42159658958639</v>
      </c>
      <c r="BF31" s="4" t="e">
        <f t="shared" si="0"/>
        <v>#VALUE!</v>
      </c>
      <c r="BG31" s="4">
        <f t="shared" si="1"/>
        <v>4353.1680787471923</v>
      </c>
      <c r="BH31" s="4">
        <f t="shared" si="2"/>
        <v>5640.0966883849078</v>
      </c>
    </row>
    <row r="32" spans="1:60" ht="15" thickBot="1" x14ac:dyDescent="0.35">
      <c r="D32" s="132"/>
      <c r="BF32" s="4"/>
      <c r="BG32" s="4"/>
      <c r="BH32" s="4"/>
    </row>
    <row r="33" spans="1:60" ht="15" thickBot="1" x14ac:dyDescent="0.35">
      <c r="A33" s="7" t="s">
        <v>539</v>
      </c>
      <c r="D33" s="131">
        <f>'Quotité d''invest + fin.'!D26</f>
        <v>11.443409394995824</v>
      </c>
      <c r="E33" s="4">
        <f>'Quotité d''invest + fin.'!E26</f>
        <v>17.330990228691572</v>
      </c>
      <c r="F33" s="4">
        <f>'Quotité d''invest + fin.'!F26</f>
        <v>0.64791760977818025</v>
      </c>
      <c r="G33" s="4">
        <f>'Quotité d''invest + fin.'!G26</f>
        <v>63.326469399585918</v>
      </c>
      <c r="H33" s="4">
        <f>'Quotité d''invest + fin.'!H26</f>
        <v>14.518359270190329</v>
      </c>
      <c r="I33" s="4">
        <f>'Quotité d''invest + fin.'!I26</f>
        <v>17.413025207451863</v>
      </c>
      <c r="J33" s="4">
        <f>'Quotité d''invest + fin.'!J26</f>
        <v>17.794638352713417</v>
      </c>
      <c r="K33" s="4">
        <f>'Quotité d''invest + fin.'!K26</f>
        <v>13.40904168518921</v>
      </c>
      <c r="L33" s="4">
        <f>'Quotité d''invest + fin.'!L26</f>
        <v>14.348159730024273</v>
      </c>
      <c r="M33" s="4">
        <f>'Quotité d''invest + fin.'!M26</f>
        <v>3.7572009362153644</v>
      </c>
      <c r="N33" s="4">
        <f>'Quotité d''invest + fin.'!N26</f>
        <v>100</v>
      </c>
      <c r="O33" s="4">
        <f>'Quotité d''invest + fin.'!O26</f>
        <v>8.7840529034370576</v>
      </c>
      <c r="P33" s="4">
        <f>'Quotité d''invest + fin.'!P26</f>
        <v>8.8708141483020917</v>
      </c>
      <c r="Q33" s="4">
        <f>'Quotité d''invest + fin.'!Q26</f>
        <v>0</v>
      </c>
      <c r="R33" s="4">
        <f>'Quotité d''invest + fin.'!R26</f>
        <v>1.2055371187386901</v>
      </c>
      <c r="S33" s="4">
        <f>'Quotité d''invest + fin.'!S26</f>
        <v>11.76691154371936</v>
      </c>
      <c r="T33" s="4">
        <f>'Quotité d''invest + fin.'!T26</f>
        <v>9.446254106951125</v>
      </c>
      <c r="U33" s="4">
        <f>'Quotité d''invest + fin.'!U26</f>
        <v>9.13810207188817</v>
      </c>
      <c r="V33" s="4">
        <f>'Quotité d''invest + fin.'!V26</f>
        <v>13.15956336409573</v>
      </c>
      <c r="W33" s="4">
        <f>'Quotité d''invest + fin.'!W26</f>
        <v>9.6406155609691364</v>
      </c>
      <c r="X33" s="4">
        <f>'Quotité d''invest + fin.'!X26</f>
        <v>5.046160099112833</v>
      </c>
      <c r="Y33" s="4">
        <f>'Quotité d''invest + fin.'!Y26</f>
        <v>2.6080903238253303</v>
      </c>
      <c r="Z33" s="4">
        <f>'Quotité d''invest + fin.'!Z26</f>
        <v>5.1170033647591895</v>
      </c>
      <c r="AA33" s="4">
        <f>'Quotité d''invest + fin.'!AA26</f>
        <v>0</v>
      </c>
      <c r="AB33" s="4">
        <f>'Quotité d''invest + fin.'!AB26</f>
        <v>10.712666501868693</v>
      </c>
      <c r="AC33" s="4">
        <f>'Quotité d''invest + fin.'!AC26</f>
        <v>4.5872008099482313</v>
      </c>
      <c r="AD33" s="4">
        <f>'Quotité d''invest + fin.'!AD26</f>
        <v>4.9097294138664385</v>
      </c>
      <c r="AE33" s="4">
        <f>'Quotité d''invest + fin.'!AE26</f>
        <v>1.6051701513612948</v>
      </c>
      <c r="AF33" s="4">
        <f>'Quotité d''invest + fin.'!AF26</f>
        <v>22.430143125738912</v>
      </c>
      <c r="AG33" s="4">
        <f>'Quotité d''invest + fin.'!AG26</f>
        <v>9.1928520691834166</v>
      </c>
      <c r="AH33" s="4">
        <f>'Quotité d''invest + fin.'!AH26</f>
        <v>3.7743738182535811</v>
      </c>
      <c r="AI33" s="4">
        <f>'Quotité d''invest + fin.'!AI26</f>
        <v>0</v>
      </c>
      <c r="AJ33" s="4">
        <f>'Quotité d''invest + fin.'!AJ26</f>
        <v>0</v>
      </c>
      <c r="AK33" s="4">
        <f>'Quotité d''invest + fin.'!AK26</f>
        <v>23.820959179579411</v>
      </c>
      <c r="AL33" s="4">
        <f>'Quotité d''invest + fin.'!AL26</f>
        <v>23.065040118746062</v>
      </c>
      <c r="AM33" s="4">
        <f>'Quotité d''invest + fin.'!AM26</f>
        <v>6.4972595160885129</v>
      </c>
      <c r="AN33" s="4">
        <f>'Quotité d''invest + fin.'!AN26</f>
        <v>52.961794650704185</v>
      </c>
      <c r="AO33" s="4">
        <f>'Quotité d''invest + fin.'!AO26</f>
        <v>10.89590242752487</v>
      </c>
      <c r="AP33" s="4">
        <f>'Quotité d''invest + fin.'!AP26</f>
        <v>11.835679379118719</v>
      </c>
      <c r="AQ33" s="4">
        <f>'Quotité d''invest + fin.'!AQ26</f>
        <v>2.5443146522539277</v>
      </c>
      <c r="AR33" s="4">
        <f>'Quotité d''invest + fin.'!AR26</f>
        <v>7.8034404525353276</v>
      </c>
      <c r="AS33" s="4">
        <f>'Quotité d''invest + fin.'!AS26</f>
        <v>2.8782432398462583</v>
      </c>
      <c r="AT33" s="4">
        <f>'Quotité d''invest + fin.'!AT26</f>
        <v>6.0533493249097008</v>
      </c>
      <c r="AU33" s="4">
        <f>'Quotité d''invest + fin.'!AU26</f>
        <v>19.048042847030661</v>
      </c>
      <c r="AV33" s="4">
        <f>'Quotité d''invest + fin.'!AV26</f>
        <v>7.6192184960653737</v>
      </c>
      <c r="AW33" s="4">
        <f>'Quotité d''invest + fin.'!AW26</f>
        <v>2.2211302166303115</v>
      </c>
      <c r="AX33" s="4">
        <f>'Quotité d''invest + fin.'!AX26</f>
        <v>0</v>
      </c>
      <c r="AY33" s="4">
        <f>'Quotité d''invest + fin.'!AY26</f>
        <v>0</v>
      </c>
      <c r="AZ33" s="4">
        <f>'Quotité d''invest + fin.'!AZ26</f>
        <v>0</v>
      </c>
      <c r="BA33" s="4">
        <f>'Quotité d''invest + fin.'!BA26</f>
        <v>10.62228683844004</v>
      </c>
      <c r="BB33" s="4">
        <f>'Quotité d''invest + fin.'!BB26</f>
        <v>6.3351996348293245</v>
      </c>
      <c r="BC33" s="4">
        <f>'Quotité d''invest + fin.'!BC26</f>
        <v>0</v>
      </c>
      <c r="BD33" s="4">
        <f>'Quotité d''invest + fin.'!BD26</f>
        <v>8.1188239344089208</v>
      </c>
      <c r="BE33" s="4">
        <f>'Quotité d''invest + fin.'!BE26</f>
        <v>0.31982333651332068</v>
      </c>
      <c r="BF33" s="4">
        <f t="shared" si="0"/>
        <v>334.55765323794145</v>
      </c>
      <c r="BG33" s="4">
        <f t="shared" si="1"/>
        <v>69.983389677917913</v>
      </c>
      <c r="BH33" s="4">
        <f t="shared" si="2"/>
        <v>202.64050824522494</v>
      </c>
    </row>
    <row r="34" spans="1:60" ht="15" thickBot="1" x14ac:dyDescent="0.35">
      <c r="D34" s="132"/>
      <c r="BF34" s="4"/>
      <c r="BG34" s="4"/>
      <c r="BH34" s="4"/>
    </row>
    <row r="35" spans="1:60" ht="15" thickBot="1" x14ac:dyDescent="0.35">
      <c r="A35" s="7" t="s">
        <v>582</v>
      </c>
      <c r="D35" s="131">
        <f>'Quotité d''invest + fin.'!D43</f>
        <v>9.7301118397617721</v>
      </c>
      <c r="E35" s="4">
        <f>'Quotité d''invest + fin.'!E43</f>
        <v>14.784702324106608</v>
      </c>
      <c r="F35" s="4">
        <f>'Quotité d''invest + fin.'!F43</f>
        <v>9.968938262365187</v>
      </c>
      <c r="G35" s="4">
        <f>'Quotité d''invest + fin.'!G43</f>
        <v>7.0494444170828885</v>
      </c>
      <c r="H35" s="4">
        <f>'Quotité d''invest + fin.'!H43</f>
        <v>14.397705224171869</v>
      </c>
      <c r="I35" s="4">
        <f>'Quotité d''invest + fin.'!I43</f>
        <v>8.7622858412698754</v>
      </c>
      <c r="J35" s="4">
        <f>'Quotité d''invest + fin.'!J43</f>
        <v>9.9658814735385448</v>
      </c>
      <c r="K35" s="4">
        <f>'Quotité d''invest + fin.'!K43</f>
        <v>6.9224454507237629</v>
      </c>
      <c r="L35" s="4">
        <f>'Quotité d''invest + fin.'!L43</f>
        <v>9.3816410367039502</v>
      </c>
      <c r="M35" s="4">
        <f>'Quotité d''invest + fin.'!M43</f>
        <v>6.0652790416694646</v>
      </c>
      <c r="N35" s="4" t="e">
        <f>'Quotité d''invest + fin.'!N43</f>
        <v>#VALUE!</v>
      </c>
      <c r="O35" s="4">
        <f>'Quotité d''invest + fin.'!O43</f>
        <v>7.3679904326552759</v>
      </c>
      <c r="P35" s="4">
        <f>'Quotité d''invest + fin.'!P43</f>
        <v>13.663169798432333</v>
      </c>
      <c r="Q35" s="4">
        <f>'Quotité d''invest + fin.'!Q43</f>
        <v>9.442867975766255</v>
      </c>
      <c r="R35" s="4">
        <f>'Quotité d''invest + fin.'!R43</f>
        <v>11.920862138049024</v>
      </c>
      <c r="S35" s="4">
        <f>'Quotité d''invest + fin.'!S43</f>
        <v>16.371667172839079</v>
      </c>
      <c r="T35" s="4">
        <f>'Quotité d''invest + fin.'!T43</f>
        <v>6.8027558176897678</v>
      </c>
      <c r="U35" s="4">
        <f>'Quotité d''invest + fin.'!U43</f>
        <v>4.7082468357995184</v>
      </c>
      <c r="V35" s="4">
        <f>'Quotité d''invest + fin.'!V43</f>
        <v>14.895935727879264</v>
      </c>
      <c r="W35" s="4">
        <f>'Quotité d''invest + fin.'!W43</f>
        <v>13.107220296447972</v>
      </c>
      <c r="X35" s="4">
        <f>'Quotité d''invest + fin.'!X43</f>
        <v>5.8230866470863365</v>
      </c>
      <c r="Y35" s="4">
        <f>'Quotité d''invest + fin.'!Y43</f>
        <v>8.9718941676598529</v>
      </c>
      <c r="Z35" s="4">
        <f>'Quotité d''invest + fin.'!Z43</f>
        <v>2.5676302079888136</v>
      </c>
      <c r="AA35" s="4">
        <f>'Quotité d''invest + fin.'!AA43</f>
        <v>87.415099524949952</v>
      </c>
      <c r="AB35" s="4">
        <f>'Quotité d''invest + fin.'!AB43</f>
        <v>0.45896818808192102</v>
      </c>
      <c r="AC35" s="4">
        <f>'Quotité d''invest + fin.'!AC43</f>
        <v>9.4511845964329932</v>
      </c>
      <c r="AD35" s="4">
        <f>'Quotité d''invest + fin.'!AD43</f>
        <v>8.5437529531322749</v>
      </c>
      <c r="AE35" s="4">
        <f>'Quotité d''invest + fin.'!AE43</f>
        <v>11.437457691151657</v>
      </c>
      <c r="AF35" s="4">
        <f>'Quotité d''invest + fin.'!AF43</f>
        <v>3.8759082665869418</v>
      </c>
      <c r="AG35" s="4">
        <f>'Quotité d''invest + fin.'!AG43</f>
        <v>7.1977886554797781</v>
      </c>
      <c r="AH35" s="4">
        <f>'Quotité d''invest + fin.'!AH43</f>
        <v>14.492134344602107</v>
      </c>
      <c r="AI35" s="4">
        <f>'Quotité d''invest + fin.'!AI43</f>
        <v>9.4747585111207204</v>
      </c>
      <c r="AJ35" s="4">
        <f>'Quotité d''invest + fin.'!AJ43</f>
        <v>1.7431959573972269</v>
      </c>
      <c r="AK35" s="4">
        <f>'Quotité d''invest + fin.'!AK43</f>
        <v>0.68738373157138666</v>
      </c>
      <c r="AL35" s="4">
        <f>'Quotité d''invest + fin.'!AL43</f>
        <v>13.080989561863055</v>
      </c>
      <c r="AM35" s="4">
        <f>'Quotité d''invest + fin.'!AM43</f>
        <v>8.0750825712810759</v>
      </c>
      <c r="AN35" s="4">
        <f>'Quotité d''invest + fin.'!AN43</f>
        <v>3.50629154300819</v>
      </c>
      <c r="AO35" s="4">
        <f>'Quotité d''invest + fin.'!AO43</f>
        <v>6.0681426971459169</v>
      </c>
      <c r="AP35" s="4">
        <f>'Quotité d''invest + fin.'!AP43</f>
        <v>4.2536921113888422</v>
      </c>
      <c r="AQ35" s="4">
        <f>'Quotité d''invest + fin.'!AQ43</f>
        <v>9.3475427306636067</v>
      </c>
      <c r="AR35" s="4">
        <f>'Quotité d''invest + fin.'!AR43</f>
        <v>17.090690438611176</v>
      </c>
      <c r="AS35" s="4">
        <f>'Quotité d''invest + fin.'!AS43</f>
        <v>7.7771284398564555</v>
      </c>
      <c r="AT35" s="4">
        <f>'Quotité d''invest + fin.'!AT43</f>
        <v>8.6036039642716418</v>
      </c>
      <c r="AU35" s="4">
        <f>'Quotité d''invest + fin.'!AU43</f>
        <v>19.979519721112961</v>
      </c>
      <c r="AV35" s="4">
        <f>'Quotité d''invest + fin.'!AV43</f>
        <v>8.7527734563056487</v>
      </c>
      <c r="AW35" s="4">
        <f>'Quotité d''invest + fin.'!AW43</f>
        <v>4.622895075962842</v>
      </c>
      <c r="AX35" s="4">
        <f>'Quotité d''invest + fin.'!AX43</f>
        <v>4.1047504427694275</v>
      </c>
      <c r="AY35" s="4">
        <f>'Quotité d''invest + fin.'!AY43</f>
        <v>16.574591303161942</v>
      </c>
      <c r="AZ35" s="4">
        <f>'Quotité d''invest + fin.'!AZ43</f>
        <v>14.743974295134926</v>
      </c>
      <c r="BA35" s="4">
        <f>'Quotité d''invest + fin.'!BA43</f>
        <v>2.7387621636448372</v>
      </c>
      <c r="BB35" s="4">
        <f>'Quotité d''invest + fin.'!BB43</f>
        <v>12.024400962361057</v>
      </c>
      <c r="BC35" s="4">
        <f>'Quotité d''invest + fin.'!BC43</f>
        <v>2.568503850129074</v>
      </c>
      <c r="BD35" s="4">
        <f>'Quotité d''invest + fin.'!BD43</f>
        <v>14.948587244369516</v>
      </c>
      <c r="BE35" s="4">
        <f>'Quotité d''invest + fin.'!BE43</f>
        <v>11.53885561176908</v>
      </c>
      <c r="BF35" s="4" t="e">
        <f t="shared" si="0"/>
        <v>#VALUE!</v>
      </c>
      <c r="BG35" s="4">
        <f t="shared" si="1"/>
        <v>171.45285971167058</v>
      </c>
      <c r="BH35" s="4">
        <f t="shared" si="2"/>
        <v>191.08816191638272</v>
      </c>
    </row>
    <row r="36" spans="1:60" ht="15" thickBot="1" x14ac:dyDescent="0.35">
      <c r="D36" s="132"/>
      <c r="BF36" s="4"/>
      <c r="BG36" s="4"/>
      <c r="BH36" s="4"/>
    </row>
    <row r="37" spans="1:60" ht="15" thickBot="1" x14ac:dyDescent="0.35">
      <c r="A37" s="7" t="s">
        <v>553</v>
      </c>
      <c r="D37" s="131">
        <f>'Quotité d''autofinancement'!D19</f>
        <v>3363.7745611797686</v>
      </c>
      <c r="E37" s="4">
        <f>'Quotité d''autofinancement'!E19</f>
        <v>2146.8497291440954</v>
      </c>
      <c r="F37" s="4">
        <f>'Quotité d''autofinancement'!F19</f>
        <v>1287.0372222222225</v>
      </c>
      <c r="G37" s="4">
        <f>'Quotité d''autofinancement'!G19</f>
        <v>4356.8770927835048</v>
      </c>
      <c r="H37" s="4">
        <f>'Quotité d''autofinancement'!H19</f>
        <v>748.47730941704219</v>
      </c>
      <c r="I37" s="4">
        <f>'Quotité d''autofinancement'!I19</f>
        <v>3076.3335169374827</v>
      </c>
      <c r="J37" s="4">
        <f>'Quotité d''autofinancement'!J19</f>
        <v>3957.8879957742233</v>
      </c>
      <c r="K37" s="4">
        <f>'Quotité d''autofinancement'!K19</f>
        <v>387.61345310136113</v>
      </c>
      <c r="L37" s="4">
        <f>'Quotité d''autofinancement'!L19</f>
        <v>5589.0641440798863</v>
      </c>
      <c r="M37" s="4">
        <f>'Quotité d''autofinancement'!M19</f>
        <v>1549.8934719183076</v>
      </c>
      <c r="N37" s="4">
        <f>'Quotité d''autofinancement'!N19</f>
        <v>0</v>
      </c>
      <c r="O37" s="4">
        <f>'Quotité d''autofinancement'!O19</f>
        <v>3012.9456815962053</v>
      </c>
      <c r="P37" s="4">
        <f>'Quotité d''autofinancement'!P19</f>
        <v>2589.5717613636357</v>
      </c>
      <c r="Q37" s="4">
        <f>'Quotité d''autofinancement'!Q19</f>
        <v>2268.837962962963</v>
      </c>
      <c r="R37" s="4">
        <f>'Quotité d''autofinancement'!R19</f>
        <v>4519.2737831325303</v>
      </c>
      <c r="S37" s="4">
        <f>'Quotité d''autofinancement'!S19</f>
        <v>6172.5720057306598</v>
      </c>
      <c r="T37" s="4">
        <f>'Quotité d''autofinancement'!T19</f>
        <v>309.52333333333235</v>
      </c>
      <c r="U37" s="4">
        <f>'Quotité d''autofinancement'!U19</f>
        <v>1148.1851372549013</v>
      </c>
      <c r="V37" s="4">
        <f>'Quotité d''autofinancement'!V19</f>
        <v>1007.3662844036702</v>
      </c>
      <c r="W37" s="4">
        <f>'Quotité d''autofinancement'!W19</f>
        <v>3265.9021442006269</v>
      </c>
      <c r="X37" s="4">
        <f>'Quotité d''autofinancement'!X19</f>
        <v>-3334.9074074074074</v>
      </c>
      <c r="Y37" s="4">
        <f>'Quotité d''autofinancement'!Y19</f>
        <v>6249.259967897272</v>
      </c>
      <c r="Z37" s="4">
        <f>'Quotité d''autofinancement'!Z19</f>
        <v>-5880.4168128272258</v>
      </c>
      <c r="AA37" s="4">
        <f>'Quotité d''autofinancement'!AA19</f>
        <v>1416.5729166666667</v>
      </c>
      <c r="AB37" s="4">
        <f>'Quotité d''autofinancement'!AB19</f>
        <v>1068.7534228187919</v>
      </c>
      <c r="AC37" s="4">
        <f>'Quotité d''autofinancement'!AC19</f>
        <v>507.19215116279054</v>
      </c>
      <c r="AD37" s="4">
        <f>'Quotité d''autofinancement'!AD19</f>
        <v>9841.0510134128181</v>
      </c>
      <c r="AE37" s="4">
        <f>'Quotité d''autofinancement'!AE19</f>
        <v>2247.7640384615379</v>
      </c>
      <c r="AF37" s="4">
        <f>'Quotité d''autofinancement'!AF19</f>
        <v>-6328.4958163265301</v>
      </c>
      <c r="AG37" s="4">
        <f>'Quotité d''autofinancement'!AG19</f>
        <v>-563.04482236154649</v>
      </c>
      <c r="AH37" s="4">
        <f>'Quotité d''autofinancement'!AH19</f>
        <v>3895.6585086042064</v>
      </c>
      <c r="AI37" s="4">
        <f>'Quotité d''autofinancement'!AI19</f>
        <v>537.50220264317181</v>
      </c>
      <c r="AJ37" s="4">
        <f>'Quotité d''autofinancement'!AJ19</f>
        <v>-8633.8858778625963</v>
      </c>
      <c r="AK37" s="4">
        <f>'Quotité d''autofinancement'!AK19</f>
        <v>5997.8113773087061</v>
      </c>
      <c r="AL37" s="4">
        <f>'Quotité d''autofinancement'!AL19</f>
        <v>-2980.0607929515418</v>
      </c>
      <c r="AM37" s="4">
        <f>'Quotité d''autofinancement'!AM19</f>
        <v>5517.3569298952461</v>
      </c>
      <c r="AN37" s="4">
        <f>'Quotité d''autofinancement'!AN19</f>
        <v>-4352.1665546218483</v>
      </c>
      <c r="AO37" s="4">
        <f>'Quotité d''autofinancement'!AO19</f>
        <v>-3215.9774309623426</v>
      </c>
      <c r="AP37" s="4">
        <f>'Quotité d''autofinancement'!AP19</f>
        <v>2201.8834690799395</v>
      </c>
      <c r="AQ37" s="4">
        <f>'Quotité d''autofinancement'!AQ19</f>
        <v>1438.9178294573644</v>
      </c>
      <c r="AR37" s="4">
        <f>'Quotité d''autofinancement'!AR19</f>
        <v>-1600.0405304829767</v>
      </c>
      <c r="AS37" s="4">
        <f>'Quotité d''autofinancement'!AS19</f>
        <v>4242.3674189189196</v>
      </c>
      <c r="AT37" s="4">
        <f>'Quotité d''autofinancement'!AT19</f>
        <v>4951.465145914397</v>
      </c>
      <c r="AU37" s="4">
        <f>'Quotité d''autofinancement'!AU19</f>
        <v>-5761.6688853503192</v>
      </c>
      <c r="AV37" s="4">
        <f>'Quotité d''autofinancement'!AV19</f>
        <v>4083.5316291666668</v>
      </c>
      <c r="AW37" s="4">
        <f>'Quotité d''autofinancement'!AW19</f>
        <v>3897.0930728476819</v>
      </c>
      <c r="AX37" s="4">
        <f>'Quotité d''autofinancement'!AX19</f>
        <v>1675.7038674033151</v>
      </c>
      <c r="AY37" s="4">
        <f>'Quotité d''autofinancement'!AY19</f>
        <v>179.72553314121041</v>
      </c>
      <c r="AZ37" s="4">
        <f>'Quotité d''autofinancement'!AZ19</f>
        <v>9902.1199822485196</v>
      </c>
      <c r="BA37" s="4">
        <f>'Quotité d''autofinancement'!BA19</f>
        <v>-1086.2502325581397</v>
      </c>
      <c r="BB37" s="4">
        <f>'Quotité d''autofinancement'!BB19</f>
        <v>5775.112062043796</v>
      </c>
      <c r="BC37" s="4">
        <f>'Quotité d''autofinancement'!BC19</f>
        <v>-3034.8407446808515</v>
      </c>
      <c r="BD37" s="4">
        <f>'Quotité d''autofinancement'!BD19</f>
        <v>6351.1389306807578</v>
      </c>
      <c r="BE37" s="4">
        <f>'Quotité d''autofinancement'!BE19</f>
        <v>3825.9403749999997</v>
      </c>
      <c r="BF37" s="4">
        <f t="shared" si="0"/>
        <v>47394.212029356648</v>
      </c>
      <c r="BG37" s="4">
        <f t="shared" si="1"/>
        <v>1023.0034848819487</v>
      </c>
      <c r="BH37" s="4">
        <f t="shared" si="2"/>
        <v>38009.162451498494</v>
      </c>
    </row>
    <row r="38" spans="1:60" ht="15" thickBot="1" x14ac:dyDescent="0.35">
      <c r="A38" s="7"/>
      <c r="D38" s="133"/>
      <c r="BF38" s="4"/>
      <c r="BG38" s="4"/>
      <c r="BH38" s="4"/>
    </row>
    <row r="39" spans="1:60" ht="15" thickBot="1" x14ac:dyDescent="0.35">
      <c r="A39" s="7" t="s">
        <v>557</v>
      </c>
      <c r="D39" s="131">
        <f>'Quotité d''autofinancement'!D28</f>
        <v>10.654101135080721</v>
      </c>
      <c r="E39" s="4">
        <f>'Quotité d''autofinancement'!E28</f>
        <v>25.10164220756695</v>
      </c>
      <c r="F39" s="4">
        <f>'Quotité d''autofinancement'!F28</f>
        <v>28.998061425529741</v>
      </c>
      <c r="G39" s="4">
        <f>'Quotité d''autofinancement'!G28</f>
        <v>-5.3676389921461896</v>
      </c>
      <c r="H39" s="4">
        <f>'Quotité d''autofinancement'!H28</f>
        <v>18.365644224606971</v>
      </c>
      <c r="I39" s="4">
        <f>'Quotité d''autofinancement'!I28</f>
        <v>2.1890493442710442E-3</v>
      </c>
      <c r="J39" s="4">
        <f>'Quotité d''autofinancement'!J28</f>
        <v>19.993360087419742</v>
      </c>
      <c r="K39" s="4">
        <f>'Quotité d''autofinancement'!K28</f>
        <v>6.8834249326838224</v>
      </c>
      <c r="L39" s="4">
        <f>'Quotité d''autofinancement'!L28</f>
        <v>4.0598128846991139</v>
      </c>
      <c r="M39" s="4">
        <f>'Quotité d''autofinancement'!M28</f>
        <v>1.3324573514410587</v>
      </c>
      <c r="N39" s="4" t="e">
        <f>'Quotité d''autofinancement'!N28</f>
        <v>#VALUE!</v>
      </c>
      <c r="O39" s="4">
        <f>'Quotité d''autofinancement'!O28</f>
        <v>-2.4880831589213752</v>
      </c>
      <c r="P39" s="4">
        <f>'Quotité d''autofinancement'!P28</f>
        <v>5.3929429663759745</v>
      </c>
      <c r="Q39" s="4">
        <f>'Quotité d''autofinancement'!Q28</f>
        <v>-39.123522493587991</v>
      </c>
      <c r="R39" s="4">
        <f>'Quotité d''autofinancement'!R28</f>
        <v>6.5176456542176506</v>
      </c>
      <c r="S39" s="4">
        <f>'Quotité d''autofinancement'!S28</f>
        <v>7.536027175752305</v>
      </c>
      <c r="T39" s="4">
        <f>'Quotité d''autofinancement'!T28</f>
        <v>9.0991224808362379</v>
      </c>
      <c r="U39" s="4">
        <f>'Quotité d''autofinancement'!U28</f>
        <v>5.2396803077971157</v>
      </c>
      <c r="V39" s="4">
        <f>'Quotité d''autofinancement'!V28</f>
        <v>-0.30677577627973046</v>
      </c>
      <c r="W39" s="4">
        <f>'Quotité d''autofinancement'!W28</f>
        <v>14.944614433636403</v>
      </c>
      <c r="X39" s="4">
        <f>'Quotité d''autofinancement'!X28</f>
        <v>17.801725001207572</v>
      </c>
      <c r="Y39" s="4">
        <f>'Quotité d''autofinancement'!Y28</f>
        <v>8.2046222036020424</v>
      </c>
      <c r="Z39" s="4">
        <f>'Quotité d''autofinancement'!Z28</f>
        <v>37.964751398159464</v>
      </c>
      <c r="AA39" s="4">
        <f>'Quotité d''autofinancement'!AA28</f>
        <v>87.853343017549363</v>
      </c>
      <c r="AB39" s="4">
        <f>'Quotité d''autofinancement'!AB28</f>
        <v>-3.2138394841219928</v>
      </c>
      <c r="AC39" s="4">
        <f>'Quotité d''autofinancement'!AC28</f>
        <v>-32.487674015264901</v>
      </c>
      <c r="AD39" s="4">
        <f>'Quotité d''autofinancement'!AD28</f>
        <v>-17.083624234111038</v>
      </c>
      <c r="AE39" s="4">
        <f>'Quotité d''autofinancement'!AE28</f>
        <v>-4.0172033797898301</v>
      </c>
      <c r="AF39" s="4">
        <f>'Quotité d''autofinancement'!AF28</f>
        <v>36.767171247791509</v>
      </c>
      <c r="AG39" s="4">
        <f>'Quotité d''autofinancement'!AG28</f>
        <v>19.189210648507622</v>
      </c>
      <c r="AH39" s="4">
        <f>'Quotité d''autofinancement'!AH28</f>
        <v>15.0373076675549</v>
      </c>
      <c r="AI39" s="4">
        <f>'Quotité d''autofinancement'!AI28</f>
        <v>38.333665601395126</v>
      </c>
      <c r="AJ39" s="4">
        <f>'Quotité d''autofinancement'!AJ28</f>
        <v>-11.456818161667643</v>
      </c>
      <c r="AK39" s="4">
        <f>'Quotité d''autofinancement'!AK28</f>
        <v>1.4420799953506909</v>
      </c>
      <c r="AL39" s="4">
        <f>'Quotité d''autofinancement'!AL28</f>
        <v>14.147983502317283</v>
      </c>
      <c r="AM39" s="4">
        <f>'Quotité d''autofinancement'!AM28</f>
        <v>2.5261587453015304</v>
      </c>
      <c r="AN39" s="4">
        <f>'Quotité d''autofinancement'!AN28</f>
        <v>10.146082527862486</v>
      </c>
      <c r="AO39" s="4">
        <f>'Quotité d''autofinancement'!AO28</f>
        <v>9.5896444839914476</v>
      </c>
      <c r="AP39" s="4">
        <f>'Quotité d''autofinancement'!AP28</f>
        <v>28.574623376074264</v>
      </c>
      <c r="AQ39" s="4">
        <f>'Quotité d''autofinancement'!AQ28</f>
        <v>15.421670697216872</v>
      </c>
      <c r="AR39" s="4">
        <f>'Quotité d''autofinancement'!AR28</f>
        <v>22.706995009798504</v>
      </c>
      <c r="AS39" s="4">
        <f>'Quotité d''autofinancement'!AS28</f>
        <v>10.879525846503935</v>
      </c>
      <c r="AT39" s="4">
        <f>'Quotité d''autofinancement'!AT28</f>
        <v>2.156118601353481</v>
      </c>
      <c r="AU39" s="4">
        <f>'Quotité d''autofinancement'!AU28</f>
        <v>60.179112719543213</v>
      </c>
      <c r="AV39" s="4">
        <f>'Quotité d''autofinancement'!AV28</f>
        <v>-14.851375279152748</v>
      </c>
      <c r="AW39" s="4">
        <f>'Quotité d''autofinancement'!AW28</f>
        <v>1.8642715363077136</v>
      </c>
      <c r="AX39" s="4">
        <f>'Quotité d''autofinancement'!AX28</f>
        <v>0.37329112383579194</v>
      </c>
      <c r="AY39" s="4">
        <f>'Quotité d''autofinancement'!AY28</f>
        <v>24.9968135364627</v>
      </c>
      <c r="AZ39" s="4">
        <f>'Quotité d''autofinancement'!AZ28</f>
        <v>13.805810867707594</v>
      </c>
      <c r="BA39" s="4">
        <f>'Quotité d''autofinancement'!BA28</f>
        <v>25.71053376390477</v>
      </c>
      <c r="BB39" s="4">
        <f>'Quotité d''autofinancement'!BB28</f>
        <v>21.295298713274121</v>
      </c>
      <c r="BC39" s="4">
        <f>'Quotité d''autofinancement'!BC28</f>
        <v>2.9847576711010357</v>
      </c>
      <c r="BD39" s="4">
        <f>'Quotité d''autofinancement'!BD28</f>
        <v>16.549327459200917</v>
      </c>
      <c r="BE39" s="4">
        <f>'Quotité d''autofinancement'!BE28</f>
        <v>11.157854940252609</v>
      </c>
      <c r="BF39" s="4" t="e">
        <f t="shared" si="0"/>
        <v>#VALUE!</v>
      </c>
      <c r="BG39" s="4">
        <f t="shared" si="1"/>
        <v>192.89263751081216</v>
      </c>
      <c r="BH39" s="4">
        <f t="shared" si="2"/>
        <v>281.65657983820819</v>
      </c>
    </row>
    <row r="40" spans="1:60" ht="15" thickBot="1" x14ac:dyDescent="0.35">
      <c r="D40" s="132"/>
      <c r="BF40" s="4"/>
      <c r="BG40" s="4"/>
      <c r="BH40" s="4"/>
    </row>
    <row r="41" spans="1:60" ht="15" thickBot="1" x14ac:dyDescent="0.35">
      <c r="A41" s="7" t="s">
        <v>561</v>
      </c>
      <c r="D41" s="131">
        <f>'Quotité d''autofinancement'!D48</f>
        <v>-0.49986973569250925</v>
      </c>
      <c r="E41" s="4">
        <f>'Quotité d''autofinancement'!E48</f>
        <v>-0.61835504459007262</v>
      </c>
      <c r="F41" s="4">
        <f>'Quotité d''autofinancement'!F48</f>
        <v>2.6479099034215912</v>
      </c>
      <c r="G41" s="4">
        <f>'Quotité d''autofinancement'!G48</f>
        <v>-0.47435089943930031</v>
      </c>
      <c r="H41" s="4">
        <f>'Quotité d''autofinancement'!H48</f>
        <v>-0.34443921149836265</v>
      </c>
      <c r="I41" s="4">
        <f>'Quotité d''autofinancement'!I48</f>
        <v>-5.397780237581193</v>
      </c>
      <c r="J41" s="4">
        <f>'Quotité d''autofinancement'!J48</f>
        <v>0.99121749555925076</v>
      </c>
      <c r="K41" s="4">
        <f>'Quotité d''autofinancement'!K48</f>
        <v>0.27475931728989472</v>
      </c>
      <c r="L41" s="4">
        <f>'Quotité d''autofinancement'!L48</f>
        <v>-0.43029233393941796</v>
      </c>
      <c r="M41" s="4">
        <f>'Quotité d''autofinancement'!M48</f>
        <v>4.1171688210509934E-2</v>
      </c>
      <c r="N41" s="4" t="e">
        <f>'Quotité d''autofinancement'!N48</f>
        <v>#VALUE!</v>
      </c>
      <c r="O41" s="4">
        <f>'Quotité d''autofinancement'!O48</f>
        <v>0.68919211892267274</v>
      </c>
      <c r="P41" s="4">
        <f>'Quotité d''autofinancement'!P48</f>
        <v>1.0524828364752012</v>
      </c>
      <c r="Q41" s="4">
        <f>'Quotité d''autofinancement'!Q48</f>
        <v>-2.4901332157096392</v>
      </c>
      <c r="R41" s="4">
        <f>'Quotité d''autofinancement'!R48</f>
        <v>0.97214500605342391</v>
      </c>
      <c r="S41" s="4">
        <f>'Quotité d''autofinancement'!S48</f>
        <v>6.3342830510079144</v>
      </c>
      <c r="T41" s="4">
        <f>'Quotité d''autofinancement'!T48</f>
        <v>1.6065951956240987</v>
      </c>
      <c r="U41" s="4">
        <f>'Quotité d''autofinancement'!U48</f>
        <v>-1.7733384657406683</v>
      </c>
      <c r="V41" s="4">
        <f>'Quotité d''autofinancement'!V48</f>
        <v>2.2226388551243841</v>
      </c>
      <c r="W41" s="4">
        <f>'Quotité d''autofinancement'!W48</f>
        <v>-1.1368104852848662</v>
      </c>
      <c r="X41" s="4">
        <f>'Quotité d''autofinancement'!X48</f>
        <v>2.6700961479576211E-2</v>
      </c>
      <c r="Y41" s="4">
        <f>'Quotité d''autofinancement'!Y48</f>
        <v>2.0713462472600286</v>
      </c>
      <c r="Z41" s="4">
        <f>'Quotité d''autofinancement'!Z48</f>
        <v>3.4140192614827071E-2</v>
      </c>
      <c r="AA41" s="4">
        <f>'Quotité d''autofinancement'!AA48</f>
        <v>-4.3289369536023337</v>
      </c>
      <c r="AB41" s="4">
        <f>'Quotité d''autofinancement'!AB48</f>
        <v>-4.4624582205118255</v>
      </c>
      <c r="AC41" s="4">
        <f>'Quotité d''autofinancement'!AC48</f>
        <v>0.32256309814869116</v>
      </c>
      <c r="AD41" s="4">
        <f>'Quotité d''autofinancement'!AD48</f>
        <v>-4.8933377718056548</v>
      </c>
      <c r="AE41" s="4">
        <f>'Quotité d''autofinancement'!AE48</f>
        <v>-1.614874686712894</v>
      </c>
      <c r="AF41" s="4">
        <f>'Quotité d''autofinancement'!AF48</f>
        <v>-2.3795868196753434</v>
      </c>
      <c r="AG41" s="4">
        <f>'Quotité d''autofinancement'!AG48</f>
        <v>1.1482295441985918E-2</v>
      </c>
      <c r="AH41" s="4">
        <f>'Quotité d''autofinancement'!AH48</f>
        <v>0.57385401428597638</v>
      </c>
      <c r="AI41" s="4">
        <f>'Quotité d''autofinancement'!AI48</f>
        <v>1.6242109830556417</v>
      </c>
      <c r="AJ41" s="4">
        <f>'Quotité d''autofinancement'!AJ48</f>
        <v>-1.0041697415242847</v>
      </c>
      <c r="AK41" s="4">
        <f>'Quotité d''autofinancement'!AK48</f>
        <v>1.7780488706639779</v>
      </c>
      <c r="AL41" s="4">
        <f>'Quotité d''autofinancement'!AL48</f>
        <v>-5.732777554373877</v>
      </c>
      <c r="AM41" s="4">
        <f>'Quotité d''autofinancement'!AM48</f>
        <v>1.4904041699502613</v>
      </c>
      <c r="AN41" s="4">
        <f>'Quotité d''autofinancement'!AN48</f>
        <v>3.4126225596261071</v>
      </c>
      <c r="AO41" s="4">
        <f>'Quotité d''autofinancement'!AO48</f>
        <v>-0.81976153386833506</v>
      </c>
      <c r="AP41" s="4">
        <f>'Quotité d''autofinancement'!AP48</f>
        <v>0.37628239393761437</v>
      </c>
      <c r="AQ41" s="4">
        <f>'Quotité d''autofinancement'!AQ48</f>
        <v>1.3774946370212668</v>
      </c>
      <c r="AR41" s="4">
        <f>'Quotité d''autofinancement'!AR48</f>
        <v>-8.1282371951500938</v>
      </c>
      <c r="AS41" s="4">
        <f>'Quotité d''autofinancement'!AS48</f>
        <v>-5.08274635583658</v>
      </c>
      <c r="AT41" s="4">
        <f>'Quotité d''autofinancement'!AT48</f>
        <v>5.2809038779647328E-2</v>
      </c>
      <c r="AU41" s="4">
        <f>'Quotité d''autofinancement'!AU48</f>
        <v>-0.32519913808361622</v>
      </c>
      <c r="AV41" s="4">
        <f>'Quotité d''autofinancement'!AV48</f>
        <v>2.5024438796371458</v>
      </c>
      <c r="AW41" s="4">
        <f>'Quotité d''autofinancement'!AW48</f>
        <v>-0.10782544415512418</v>
      </c>
      <c r="AX41" s="4">
        <f>'Quotité d''autofinancement'!AX48</f>
        <v>-1.0871514162913094</v>
      </c>
      <c r="AY41" s="4">
        <f>'Quotité d''autofinancement'!AY48</f>
        <v>-3.9309294528324323</v>
      </c>
      <c r="AZ41" s="4">
        <f>'Quotité d''autofinancement'!AZ48</f>
        <v>2.0724646938734366</v>
      </c>
      <c r="BA41" s="4">
        <f>'Quotité d''autofinancement'!BA48</f>
        <v>-3.3422065977215309</v>
      </c>
      <c r="BB41" s="4">
        <f>'Quotité d''autofinancement'!BB48</f>
        <v>-2.0592453560740736</v>
      </c>
      <c r="BC41" s="4">
        <f>'Quotité d''autofinancement'!BC48</f>
        <v>-1.8379466662706283</v>
      </c>
      <c r="BD41" s="4">
        <f>'Quotité d''autofinancement'!BD48</f>
        <v>-1.639107901842753</v>
      </c>
      <c r="BE41" s="4">
        <f>'Quotité d''autofinancement'!BE48</f>
        <v>-3.7494105941268909</v>
      </c>
      <c r="BF41" s="4" t="e">
        <f t="shared" si="0"/>
        <v>#VALUE!</v>
      </c>
      <c r="BG41" s="4">
        <f t="shared" si="1"/>
        <v>-14.019066401545606</v>
      </c>
      <c r="BH41" s="4">
        <f t="shared" si="2"/>
        <v>-24.779974963137782</v>
      </c>
    </row>
    <row r="42" spans="1:60" ht="15" thickBot="1" x14ac:dyDescent="0.35">
      <c r="D42" s="132"/>
      <c r="BF42" s="4"/>
      <c r="BG42" s="4"/>
      <c r="BH42" s="4"/>
    </row>
    <row r="43" spans="1:60" ht="15" thickBot="1" x14ac:dyDescent="0.35">
      <c r="A43" s="7" t="s">
        <v>583</v>
      </c>
      <c r="D43" s="131">
        <f>'Quotient excédent du bilan'!D18</f>
        <v>39.390565472842447</v>
      </c>
      <c r="E43" s="4">
        <f>'Quotient excédent du bilan'!E18</f>
        <v>75.867256869872477</v>
      </c>
      <c r="F43" s="4">
        <f>'Quotient excédent du bilan'!F18</f>
        <v>34.102681711358791</v>
      </c>
      <c r="G43" s="4">
        <f>'Quotient excédent du bilan'!G18</f>
        <v>27.659675117735922</v>
      </c>
      <c r="H43" s="4">
        <f>'Quotient excédent du bilan'!H18</f>
        <v>11.782981952687461</v>
      </c>
      <c r="I43" s="4">
        <f>'Quotient excédent du bilan'!I18</f>
        <v>60.29272741826869</v>
      </c>
      <c r="J43" s="4">
        <f>'Quotient excédent du bilan'!J18</f>
        <v>16.410855297580039</v>
      </c>
      <c r="K43" s="4">
        <f>'Quotient excédent du bilan'!K18</f>
        <v>44.578162345271913</v>
      </c>
      <c r="L43" s="4">
        <f>'Quotient excédent du bilan'!L18</f>
        <v>9.8336508587596327</v>
      </c>
      <c r="M43" s="4">
        <f>'Quotient excédent du bilan'!M18</f>
        <v>30.993305987848057</v>
      </c>
      <c r="N43" s="4" t="e">
        <f>'Quotient excédent du bilan'!N18</f>
        <v>#VALUE!</v>
      </c>
      <c r="O43" s="4">
        <f>'Quotient excédent du bilan'!O18</f>
        <v>-4.710515369325079</v>
      </c>
      <c r="P43" s="4">
        <f>'Quotient excédent du bilan'!P18</f>
        <v>20.429333122533304</v>
      </c>
      <c r="Q43" s="4">
        <f>'Quotient excédent du bilan'!Q18</f>
        <v>39.487816508165494</v>
      </c>
      <c r="R43" s="4">
        <f>'Quotient excédent du bilan'!R18</f>
        <v>21.332483579216717</v>
      </c>
      <c r="S43" s="4">
        <f>'Quotient excédent du bilan'!S18</f>
        <v>12.832901254903614</v>
      </c>
      <c r="T43" s="4">
        <f>'Quotient excédent du bilan'!T18</f>
        <v>36.730811787259235</v>
      </c>
      <c r="U43" s="4">
        <f>'Quotient excédent du bilan'!U18</f>
        <v>0.51558540081960524</v>
      </c>
      <c r="V43" s="4">
        <f>'Quotient excédent du bilan'!V18</f>
        <v>22.947046899904009</v>
      </c>
      <c r="W43" s="4">
        <f>'Quotient excédent du bilan'!W18</f>
        <v>20.226114939746179</v>
      </c>
      <c r="X43" s="4">
        <f>'Quotient excédent du bilan'!X18</f>
        <v>255.28798901744611</v>
      </c>
      <c r="Y43" s="4">
        <f>'Quotient excédent du bilan'!Y18</f>
        <v>31.975437782323723</v>
      </c>
      <c r="Z43" s="4">
        <f>'Quotient excédent du bilan'!Z18</f>
        <v>149.65503784841806</v>
      </c>
      <c r="AA43" s="4">
        <f>'Quotient excédent du bilan'!AA18</f>
        <v>142.80524069129802</v>
      </c>
      <c r="AB43" s="4">
        <f>'Quotient excédent du bilan'!AB18</f>
        <v>325.11937298376677</v>
      </c>
      <c r="AC43" s="4">
        <f>'Quotient excédent du bilan'!AC18</f>
        <v>53.11129021739783</v>
      </c>
      <c r="AD43" s="4">
        <f>'Quotient excédent du bilan'!AD18</f>
        <v>62.227777107813168</v>
      </c>
      <c r="AE43" s="4">
        <f>'Quotient excédent du bilan'!AE18</f>
        <v>100.75331717778255</v>
      </c>
      <c r="AF43" s="4">
        <f>'Quotient excédent du bilan'!AF18</f>
        <v>275.42236006748652</v>
      </c>
      <c r="AG43" s="4">
        <f>'Quotient excédent du bilan'!AG18</f>
        <v>55.872622419488572</v>
      </c>
      <c r="AH43" s="4">
        <f>'Quotient excédent du bilan'!AH18</f>
        <v>29.582019357411969</v>
      </c>
      <c r="AI43" s="4">
        <f>'Quotient excédent du bilan'!AI18</f>
        <v>162.97589603243131</v>
      </c>
      <c r="AJ43" s="4">
        <f>'Quotient excédent du bilan'!AJ18</f>
        <v>192.44536694864743</v>
      </c>
      <c r="AK43" s="4">
        <f>'Quotient excédent du bilan'!AK18</f>
        <v>6.3528249947765847</v>
      </c>
      <c r="AL43" s="4">
        <f>'Quotient excédent du bilan'!AL18</f>
        <v>-1.4090093493247711</v>
      </c>
      <c r="AM43" s="4">
        <f>'Quotient excédent du bilan'!AM18</f>
        <v>76.502951665817392</v>
      </c>
      <c r="AN43" s="4">
        <f>'Quotient excédent du bilan'!AN18</f>
        <v>2.6587222641304429</v>
      </c>
      <c r="AO43" s="4">
        <f>'Quotient excédent du bilan'!AO18</f>
        <v>148.65939747406972</v>
      </c>
      <c r="AP43" s="4">
        <f>'Quotient excédent du bilan'!AP18</f>
        <v>108.09175685629559</v>
      </c>
      <c r="AQ43" s="4">
        <f>'Quotient excédent du bilan'!AQ18</f>
        <v>61.935234107181103</v>
      </c>
      <c r="AR43" s="4">
        <f>'Quotient excédent du bilan'!AR18</f>
        <v>148.8161047793202</v>
      </c>
      <c r="AS43" s="4">
        <f>'Quotient excédent du bilan'!AS18</f>
        <v>17.941512333185834</v>
      </c>
      <c r="AT43" s="4">
        <f>'Quotient excédent du bilan'!AT18</f>
        <v>24.848476609476673</v>
      </c>
      <c r="AU43" s="4">
        <f>'Quotient excédent du bilan'!AU18</f>
        <v>147.00870777128631</v>
      </c>
      <c r="AV43" s="4">
        <f>'Quotient excédent du bilan'!AV18</f>
        <v>95.304033213029214</v>
      </c>
      <c r="AW43" s="4">
        <f>'Quotient excédent du bilan'!AW18</f>
        <v>22.897143562442551</v>
      </c>
      <c r="AX43" s="4">
        <f>'Quotient excédent du bilan'!AX18</f>
        <v>34.237006944321891</v>
      </c>
      <c r="AY43" s="4">
        <f>'Quotient excédent du bilan'!AY18</f>
        <v>19.735500418815136</v>
      </c>
      <c r="AZ43" s="4">
        <f>'Quotient excédent du bilan'!AZ18</f>
        <v>44.950554222157081</v>
      </c>
      <c r="BA43" s="4">
        <f>'Quotient excédent du bilan'!BA18</f>
        <v>134.12628007978518</v>
      </c>
      <c r="BB43" s="4">
        <f>'Quotient excédent du bilan'!BB18</f>
        <v>57.630321860305379</v>
      </c>
      <c r="BC43" s="4">
        <f>'Quotient excédent du bilan'!BC18</f>
        <v>181.00434542209689</v>
      </c>
      <c r="BD43" s="4">
        <f>'Quotient excédent du bilan'!BD18</f>
        <v>6.7979545950389477</v>
      </c>
      <c r="BE43" s="4">
        <f>'Quotient excédent du bilan'!BE18</f>
        <v>27.81034504588515</v>
      </c>
      <c r="BF43" s="4" t="e">
        <f t="shared" si="0"/>
        <v>#VALUE!</v>
      </c>
      <c r="BG43" s="4">
        <f t="shared" si="1"/>
        <v>1837.2337276517121</v>
      </c>
      <c r="BH43" s="4">
        <f t="shared" si="2"/>
        <v>1365.9001648700928</v>
      </c>
    </row>
    <row r="45" spans="1:60" x14ac:dyDescent="0.3">
      <c r="A45" t="s">
        <v>585</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H45"/>
  <sheetViews>
    <sheetView tabSelected="1" topLeftCell="A2" zoomScale="115" zoomScaleNormal="115" workbookViewId="0">
      <selection activeCell="G28" sqref="G28"/>
    </sheetView>
  </sheetViews>
  <sheetFormatPr baseColWidth="10" defaultRowHeight="14.4" x14ac:dyDescent="0.3"/>
  <cols>
    <col min="1" max="1" width="44.109375" customWidth="1"/>
    <col min="3" max="3" width="12.5546875" customWidth="1"/>
    <col min="4" max="4" width="20.44140625" customWidth="1"/>
    <col min="5" max="5" width="9.44140625" customWidth="1"/>
  </cols>
  <sheetData>
    <row r="1" spans="1:8" ht="18.600000000000001" hidden="1" customHeight="1" x14ac:dyDescent="0.35">
      <c r="A1" s="220"/>
      <c r="B1" s="220"/>
      <c r="C1" s="220"/>
      <c r="D1" s="220"/>
    </row>
    <row r="2" spans="1:8" ht="18" x14ac:dyDescent="0.35">
      <c r="A2" s="227" t="s">
        <v>505</v>
      </c>
      <c r="B2" s="227"/>
      <c r="C2" s="227"/>
      <c r="D2" s="227"/>
      <c r="E2" s="220"/>
      <c r="F2" s="220"/>
      <c r="G2" s="220"/>
      <c r="H2" s="220"/>
    </row>
    <row r="3" spans="1:8" ht="18" x14ac:dyDescent="0.35">
      <c r="A3" s="232" t="s">
        <v>820</v>
      </c>
      <c r="B3" s="155"/>
      <c r="C3" s="155"/>
      <c r="D3" s="155"/>
      <c r="E3" s="155"/>
      <c r="F3" s="155"/>
      <c r="G3" s="155"/>
      <c r="H3" s="155"/>
    </row>
    <row r="4" spans="1:8" ht="15" thickBot="1" x14ac:dyDescent="0.35">
      <c r="B4" s="228" t="s">
        <v>819</v>
      </c>
      <c r="C4" s="228"/>
      <c r="D4" s="228"/>
    </row>
    <row r="5" spans="1:8" ht="15" thickBot="1" x14ac:dyDescent="0.35">
      <c r="A5" s="156" t="s">
        <v>584</v>
      </c>
      <c r="B5" s="214" t="s">
        <v>13</v>
      </c>
      <c r="C5" s="215"/>
      <c r="D5" s="216"/>
      <c r="F5" s="110"/>
    </row>
    <row r="6" spans="1:8" ht="15" thickBot="1" x14ac:dyDescent="0.35">
      <c r="E6" s="7"/>
      <c r="H6" s="117"/>
    </row>
    <row r="7" spans="1:8" ht="15" thickBot="1" x14ac:dyDescent="0.35">
      <c r="A7" s="224" t="s">
        <v>577</v>
      </c>
      <c r="B7" s="225"/>
      <c r="C7" s="225"/>
      <c r="D7" s="226"/>
    </row>
    <row r="8" spans="1:8" x14ac:dyDescent="0.3">
      <c r="H8" s="132"/>
    </row>
    <row r="9" spans="1:8" hidden="1" x14ac:dyDescent="0.3">
      <c r="H9" s="132"/>
    </row>
    <row r="10" spans="1:8" ht="15" thickBot="1" x14ac:dyDescent="0.35">
      <c r="A10" s="7" t="s">
        <v>506</v>
      </c>
      <c r="H10" s="132"/>
    </row>
    <row r="11" spans="1:8" ht="15" hidden="1" thickBot="1" x14ac:dyDescent="0.35">
      <c r="H11" s="132"/>
    </row>
    <row r="12" spans="1:8" ht="15" thickBot="1" x14ac:dyDescent="0.35">
      <c r="A12" s="159" t="s">
        <v>597</v>
      </c>
      <c r="D12" s="229">
        <f>HLOOKUP($B$5,Récapitulatif!E10:BE43,6,0)</f>
        <v>3153128.1900000004</v>
      </c>
      <c r="E12" s="7"/>
      <c r="H12" s="132"/>
    </row>
    <row r="13" spans="1:8" ht="15" thickBot="1" x14ac:dyDescent="0.35">
      <c r="A13" t="s">
        <v>458</v>
      </c>
      <c r="D13" s="229">
        <f>D12/HLOOKUP(B5,Récapitulatif!E10:BE11,2,0)</f>
        <v>5971.8336931818194</v>
      </c>
      <c r="E13" s="7"/>
      <c r="H13" s="132"/>
    </row>
    <row r="14" spans="1:8" ht="15" hidden="1" thickBot="1" x14ac:dyDescent="0.35">
      <c r="D14" s="72"/>
      <c r="H14" s="132"/>
    </row>
    <row r="15" spans="1:8" ht="15" thickBot="1" x14ac:dyDescent="0.35">
      <c r="A15" s="159" t="s">
        <v>598</v>
      </c>
      <c r="D15" s="229">
        <f>HLOOKUP($B$5,Récapitulatif!E10:BE43,8,0)</f>
        <v>1367293.8899999997</v>
      </c>
      <c r="H15" s="132"/>
    </row>
    <row r="16" spans="1:8" ht="15" thickBot="1" x14ac:dyDescent="0.35">
      <c r="A16" t="s">
        <v>458</v>
      </c>
      <c r="D16" s="229">
        <f>D15/HLOOKUP(B5,Récapitulatif!E10:BE11,2,0)</f>
        <v>2589.5717613636357</v>
      </c>
      <c r="H16" s="132"/>
    </row>
    <row r="17" spans="1:8" ht="15" hidden="1" thickBot="1" x14ac:dyDescent="0.35">
      <c r="D17" s="4"/>
      <c r="H17" s="132"/>
    </row>
    <row r="18" spans="1:8" ht="15" thickBot="1" x14ac:dyDescent="0.35">
      <c r="A18" t="s">
        <v>515</v>
      </c>
      <c r="D18" s="230">
        <f>HLOOKUP($B$5,Récapitulatif!E10:BE43,10,0)</f>
        <v>102.20765484411167</v>
      </c>
      <c r="H18" s="132"/>
    </row>
    <row r="19" spans="1:8" ht="6" customHeight="1" x14ac:dyDescent="0.3">
      <c r="D19" s="4"/>
      <c r="H19" s="132"/>
    </row>
    <row r="20" spans="1:8" ht="15" thickBot="1" x14ac:dyDescent="0.35">
      <c r="A20" s="7" t="s">
        <v>517</v>
      </c>
      <c r="D20" s="4"/>
      <c r="H20" s="231"/>
    </row>
    <row r="21" spans="1:8" ht="15" hidden="1" thickBot="1" x14ac:dyDescent="0.35">
      <c r="D21" s="4"/>
      <c r="H21" s="132"/>
    </row>
    <row r="22" spans="1:8" ht="15" thickBot="1" x14ac:dyDescent="0.35">
      <c r="A22" t="s">
        <v>558</v>
      </c>
      <c r="D22" s="229">
        <f>HLOOKUP($B$5,Récapitulatif!E10:BE43,15,0)</f>
        <v>66001.91</v>
      </c>
      <c r="E22" s="7"/>
      <c r="H22" s="133"/>
    </row>
    <row r="23" spans="1:8" ht="15" hidden="1" thickBot="1" x14ac:dyDescent="0.35">
      <c r="D23" s="4"/>
      <c r="H23" s="132"/>
    </row>
    <row r="24" spans="1:8" ht="15" thickBot="1" x14ac:dyDescent="0.35">
      <c r="A24" t="s">
        <v>579</v>
      </c>
      <c r="D24" s="230">
        <f>HLOOKUP($B$5,Récapitulatif!E10:BE43,17,0)</f>
        <v>212.77739647309096</v>
      </c>
      <c r="H24" s="132"/>
    </row>
    <row r="25" spans="1:8" ht="6" customHeight="1" thickBot="1" x14ac:dyDescent="0.35">
      <c r="D25" s="4"/>
    </row>
    <row r="26" spans="1:8" ht="15" thickBot="1" x14ac:dyDescent="0.35">
      <c r="A26" s="7" t="s">
        <v>580</v>
      </c>
      <c r="D26" s="230">
        <f>HLOOKUP($B$5,Récapitulatif!E10:BE43,20,0)</f>
        <v>2.4626782377352914</v>
      </c>
    </row>
    <row r="27" spans="1:8" ht="6" customHeight="1" thickBot="1" x14ac:dyDescent="0.35">
      <c r="D27" s="4"/>
    </row>
    <row r="28" spans="1:8" ht="15" thickBot="1" x14ac:dyDescent="0.35">
      <c r="A28" s="7" t="s">
        <v>581</v>
      </c>
      <c r="D28" s="230">
        <f>HLOOKUP($B$5,Récapitulatif!E10:BE43,22,0)</f>
        <v>257.63861219080337</v>
      </c>
    </row>
    <row r="29" spans="1:8" ht="6" customHeight="1" thickBot="1" x14ac:dyDescent="0.35">
      <c r="D29" s="4"/>
    </row>
    <row r="30" spans="1:8" ht="15" thickBot="1" x14ac:dyDescent="0.35">
      <c r="A30" s="7" t="s">
        <v>539</v>
      </c>
      <c r="D30" s="230">
        <f>HLOOKUP($B$5,Récapitulatif!E10:BE43,24,0)</f>
        <v>8.8708141483020917</v>
      </c>
    </row>
    <row r="31" spans="1:8" ht="6" customHeight="1" thickBot="1" x14ac:dyDescent="0.35">
      <c r="B31" s="110"/>
      <c r="D31" s="119"/>
    </row>
    <row r="32" spans="1:8" ht="15" thickBot="1" x14ac:dyDescent="0.35">
      <c r="A32" s="7" t="s">
        <v>582</v>
      </c>
      <c r="D32" s="230">
        <f>HLOOKUP($B$5,Récapitulatif!E10:BE43,26,0)</f>
        <v>13.663169798432333</v>
      </c>
    </row>
    <row r="33" spans="1:4" ht="6" customHeight="1" thickBot="1" x14ac:dyDescent="0.35">
      <c r="D33" s="4"/>
    </row>
    <row r="34" spans="1:4" ht="15" thickBot="1" x14ac:dyDescent="0.35">
      <c r="A34" s="7" t="s">
        <v>553</v>
      </c>
      <c r="D34" s="230">
        <f>HLOOKUP($B$5,Récapitulatif!E10:BE43,28,0)</f>
        <v>2589.5717613636357</v>
      </c>
    </row>
    <row r="35" spans="1:4" ht="6" customHeight="1" thickBot="1" x14ac:dyDescent="0.35">
      <c r="D35" s="132"/>
    </row>
    <row r="36" spans="1:4" ht="15" thickBot="1" x14ac:dyDescent="0.35">
      <c r="A36" s="7" t="s">
        <v>557</v>
      </c>
      <c r="D36" s="230">
        <f>HLOOKUP($B$5,Récapitulatif!E10:BE43,30,0)</f>
        <v>5.3929429663759745</v>
      </c>
    </row>
    <row r="37" spans="1:4" ht="6" customHeight="1" thickBot="1" x14ac:dyDescent="0.35">
      <c r="D37" s="132"/>
    </row>
    <row r="38" spans="1:4" ht="15" thickBot="1" x14ac:dyDescent="0.35">
      <c r="A38" s="7" t="s">
        <v>561</v>
      </c>
      <c r="D38" s="230">
        <f>HLOOKUP($B$5,Récapitulatif!E10:BE43,32,0)</f>
        <v>1.0524828364752012</v>
      </c>
    </row>
    <row r="39" spans="1:4" ht="6" customHeight="1" thickBot="1" x14ac:dyDescent="0.35">
      <c r="D39" s="4"/>
    </row>
    <row r="40" spans="1:4" ht="15" thickBot="1" x14ac:dyDescent="0.35">
      <c r="A40" s="7" t="s">
        <v>583</v>
      </c>
      <c r="D40" s="230">
        <f>HLOOKUP($B$5,Récapitulatif!E10:BE43,34,0)</f>
        <v>20.429333122533304</v>
      </c>
    </row>
    <row r="41" spans="1:4" ht="6" customHeight="1" x14ac:dyDescent="0.3"/>
    <row r="42" spans="1:4" x14ac:dyDescent="0.3">
      <c r="A42" s="159" t="s">
        <v>585</v>
      </c>
    </row>
    <row r="45" spans="1:4" x14ac:dyDescent="0.3">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workbookViewId="0">
      <pane xSplit="4" ySplit="3" topLeftCell="E139" activePane="bottomRight" state="frozen"/>
      <selection activeCell="F155" sqref="F155"/>
      <selection pane="topRight" activeCell="F155" sqref="F155"/>
      <selection pane="bottomLeft" activeCell="F155" sqref="F155"/>
      <selection pane="bottomRight" activeCell="F155" sqref="F155"/>
    </sheetView>
  </sheetViews>
  <sheetFormatPr baseColWidth="10" defaultRowHeight="14.4" x14ac:dyDescent="0.3"/>
  <cols>
    <col min="1" max="2" width="5.6640625" customWidth="1"/>
    <col min="3" max="3" width="9" customWidth="1"/>
    <col min="4" max="4" width="63.5546875" customWidth="1"/>
    <col min="5" max="16" width="16.33203125" customWidth="1"/>
    <col min="17" max="17" width="18.44140625" customWidth="1"/>
    <col min="18" max="18" width="16.33203125" customWidth="1"/>
  </cols>
  <sheetData>
    <row r="1" spans="1:19" ht="25.8" x14ac:dyDescent="0.5">
      <c r="A1" s="42" t="s">
        <v>199</v>
      </c>
      <c r="B1" s="7"/>
      <c r="C1" s="7"/>
      <c r="D1" s="7"/>
    </row>
    <row r="2" spans="1:19" ht="21" x14ac:dyDescent="0.4">
      <c r="A2" s="202" t="s">
        <v>766</v>
      </c>
      <c r="E2" s="57">
        <v>1</v>
      </c>
      <c r="F2" s="57">
        <v>2</v>
      </c>
      <c r="G2" s="57">
        <v>3</v>
      </c>
      <c r="H2" s="57">
        <v>4</v>
      </c>
      <c r="I2" s="57">
        <v>5</v>
      </c>
      <c r="J2" s="57">
        <v>6</v>
      </c>
      <c r="K2" s="57">
        <v>7</v>
      </c>
      <c r="L2" s="57">
        <v>8</v>
      </c>
      <c r="M2" s="57">
        <v>9</v>
      </c>
      <c r="N2" s="57">
        <v>10</v>
      </c>
      <c r="O2" s="57">
        <v>11</v>
      </c>
      <c r="P2" s="57">
        <v>12</v>
      </c>
      <c r="Q2" s="57">
        <v>13</v>
      </c>
      <c r="R2" s="57">
        <f>SUM(E2:Q2)</f>
        <v>91</v>
      </c>
    </row>
    <row r="3" spans="1:19" x14ac:dyDescent="0.3">
      <c r="E3" s="43" t="s">
        <v>56</v>
      </c>
      <c r="F3" s="43" t="s">
        <v>18</v>
      </c>
      <c r="G3" s="43" t="s">
        <v>57</v>
      </c>
      <c r="H3" s="43" t="s">
        <v>770</v>
      </c>
      <c r="I3" s="43" t="s">
        <v>33</v>
      </c>
      <c r="J3" s="43" t="s">
        <v>28</v>
      </c>
      <c r="K3" s="43" t="s">
        <v>771</v>
      </c>
      <c r="L3" s="43" t="s">
        <v>16</v>
      </c>
      <c r="M3" s="43" t="s">
        <v>772</v>
      </c>
      <c r="N3" s="43" t="s">
        <v>773</v>
      </c>
      <c r="O3" s="43" t="s">
        <v>59</v>
      </c>
      <c r="P3" s="43" t="s">
        <v>774</v>
      </c>
      <c r="Q3" s="43" t="s">
        <v>775</v>
      </c>
      <c r="R3" s="47" t="s">
        <v>65</v>
      </c>
    </row>
    <row r="4" spans="1:19" ht="21" x14ac:dyDescent="0.4">
      <c r="A4" s="92">
        <v>3</v>
      </c>
      <c r="B4" s="92"/>
      <c r="C4" s="92"/>
      <c r="D4" s="92" t="s">
        <v>60</v>
      </c>
      <c r="E4" s="93">
        <f>E5+E15+E27+E31+E39+E43+E53+E56+E64</f>
        <v>807498.95</v>
      </c>
      <c r="F4" s="93">
        <f t="shared" ref="F4:R4" si="0">F5+F15+F27+F31+F39+F43+F53+F56+F64</f>
        <v>0</v>
      </c>
      <c r="G4" s="93">
        <f t="shared" si="0"/>
        <v>123187.69</v>
      </c>
      <c r="H4" s="93">
        <f t="shared" si="0"/>
        <v>36425.54</v>
      </c>
      <c r="I4" s="93">
        <f t="shared" si="0"/>
        <v>302706.64999999997</v>
      </c>
      <c r="J4" s="93">
        <f t="shared" si="0"/>
        <v>1823722.5999999999</v>
      </c>
      <c r="K4" s="93">
        <f t="shared" si="0"/>
        <v>0</v>
      </c>
      <c r="L4" s="93">
        <f t="shared" si="0"/>
        <v>0</v>
      </c>
      <c r="M4" s="93">
        <f t="shared" si="0"/>
        <v>0</v>
      </c>
      <c r="N4" s="93">
        <f t="shared" si="0"/>
        <v>0</v>
      </c>
      <c r="O4" s="93">
        <f t="shared" si="0"/>
        <v>146812.35999999999</v>
      </c>
      <c r="P4" s="93">
        <f t="shared" si="0"/>
        <v>0</v>
      </c>
      <c r="Q4" s="93">
        <f t="shared" si="0"/>
        <v>0</v>
      </c>
      <c r="R4" s="93">
        <f t="shared" si="0"/>
        <v>3240353.7900000005</v>
      </c>
      <c r="S4">
        <v>2</v>
      </c>
    </row>
    <row r="5" spans="1:19" x14ac:dyDescent="0.3">
      <c r="A5" s="94"/>
      <c r="B5" s="94">
        <v>30</v>
      </c>
      <c r="C5" s="94"/>
      <c r="D5" s="94" t="s">
        <v>61</v>
      </c>
      <c r="E5" s="95">
        <f>E6+E7+E8+E9+E10+E11+E12+E13</f>
        <v>205518.05</v>
      </c>
      <c r="F5" s="95">
        <f t="shared" ref="F5:R5" si="1">F6+F7+F8+F9+F10+F11+F12+F13</f>
        <v>0</v>
      </c>
      <c r="G5" s="95">
        <f t="shared" si="1"/>
        <v>11955.349999999999</v>
      </c>
      <c r="H5" s="95">
        <f t="shared" si="1"/>
        <v>9924.85</v>
      </c>
      <c r="I5" s="95">
        <f t="shared" si="1"/>
        <v>33536.9</v>
      </c>
      <c r="J5" s="95">
        <f t="shared" si="1"/>
        <v>388212.29999999993</v>
      </c>
      <c r="K5" s="95">
        <f t="shared" si="1"/>
        <v>0</v>
      </c>
      <c r="L5" s="95">
        <f t="shared" si="1"/>
        <v>0</v>
      </c>
      <c r="M5" s="95">
        <f t="shared" si="1"/>
        <v>0</v>
      </c>
      <c r="N5" s="95">
        <f t="shared" si="1"/>
        <v>0</v>
      </c>
      <c r="O5" s="95">
        <f t="shared" si="1"/>
        <v>27216.5</v>
      </c>
      <c r="P5" s="95">
        <f t="shared" si="1"/>
        <v>0</v>
      </c>
      <c r="Q5" s="95">
        <f t="shared" si="1"/>
        <v>0</v>
      </c>
      <c r="R5" s="95">
        <f t="shared" si="1"/>
        <v>676363.95</v>
      </c>
      <c r="S5">
        <v>3</v>
      </c>
    </row>
    <row r="6" spans="1:19" x14ac:dyDescent="0.3">
      <c r="C6">
        <v>300</v>
      </c>
      <c r="D6" t="s">
        <v>80</v>
      </c>
      <c r="E6" s="4">
        <v>16485.25</v>
      </c>
      <c r="F6" s="4"/>
      <c r="G6" s="4">
        <v>6242.2</v>
      </c>
      <c r="H6" s="4">
        <v>2670</v>
      </c>
      <c r="I6" s="4">
        <v>11120</v>
      </c>
      <c r="J6" s="4">
        <v>47100</v>
      </c>
      <c r="K6" s="4"/>
      <c r="L6" s="4"/>
      <c r="M6" s="4"/>
      <c r="N6" s="4"/>
      <c r="O6" s="4">
        <v>21807.5</v>
      </c>
      <c r="P6" s="4"/>
      <c r="Q6" s="4"/>
      <c r="R6" s="4">
        <f t="shared" ref="R6:R13" si="2">SUM(E6:Q6)</f>
        <v>105424.95</v>
      </c>
      <c r="S6">
        <v>4</v>
      </c>
    </row>
    <row r="7" spans="1:19" x14ac:dyDescent="0.3">
      <c r="C7">
        <v>301</v>
      </c>
      <c r="D7" t="s">
        <v>81</v>
      </c>
      <c r="E7" s="4">
        <v>169946.85</v>
      </c>
      <c r="F7" s="4"/>
      <c r="G7" s="4">
        <v>4202.3999999999996</v>
      </c>
      <c r="H7" s="4">
        <v>6200</v>
      </c>
      <c r="I7" s="4">
        <v>17838</v>
      </c>
      <c r="J7" s="4">
        <v>245737.5</v>
      </c>
      <c r="K7" s="4"/>
      <c r="L7" s="4"/>
      <c r="M7" s="4"/>
      <c r="N7" s="4"/>
      <c r="O7" s="4">
        <v>200</v>
      </c>
      <c r="P7" s="4"/>
      <c r="Q7" s="4"/>
      <c r="R7" s="4">
        <f t="shared" si="2"/>
        <v>444124.75</v>
      </c>
      <c r="S7">
        <v>5</v>
      </c>
    </row>
    <row r="8" spans="1:19" x14ac:dyDescent="0.3">
      <c r="C8">
        <v>302</v>
      </c>
      <c r="D8" t="s">
        <v>82</v>
      </c>
      <c r="E8" s="4">
        <v>0</v>
      </c>
      <c r="F8" s="4"/>
      <c r="G8" s="4">
        <v>0</v>
      </c>
      <c r="H8" s="4">
        <v>0</v>
      </c>
      <c r="I8" s="4">
        <v>0</v>
      </c>
      <c r="J8" s="4">
        <v>0</v>
      </c>
      <c r="K8" s="4"/>
      <c r="L8" s="4"/>
      <c r="M8" s="4"/>
      <c r="N8" s="4"/>
      <c r="O8" s="4">
        <v>0</v>
      </c>
      <c r="P8" s="4"/>
      <c r="Q8" s="4"/>
      <c r="R8" s="4">
        <f t="shared" si="2"/>
        <v>0</v>
      </c>
      <c r="S8">
        <v>6</v>
      </c>
    </row>
    <row r="9" spans="1:19" x14ac:dyDescent="0.3">
      <c r="C9">
        <v>303</v>
      </c>
      <c r="D9" t="s">
        <v>83</v>
      </c>
      <c r="E9" s="4">
        <v>0</v>
      </c>
      <c r="F9" s="4"/>
      <c r="G9" s="4">
        <v>0</v>
      </c>
      <c r="H9" s="4">
        <v>0</v>
      </c>
      <c r="I9" s="4">
        <v>0</v>
      </c>
      <c r="J9" s="4">
        <v>0</v>
      </c>
      <c r="K9" s="4"/>
      <c r="L9" s="4"/>
      <c r="M9" s="4"/>
      <c r="N9" s="4"/>
      <c r="O9" s="4">
        <v>0</v>
      </c>
      <c r="P9" s="4"/>
      <c r="Q9" s="4"/>
      <c r="R9" s="4">
        <f t="shared" si="2"/>
        <v>0</v>
      </c>
      <c r="S9">
        <v>7</v>
      </c>
    </row>
    <row r="10" spans="1:19" x14ac:dyDescent="0.3">
      <c r="C10">
        <v>304</v>
      </c>
      <c r="D10" t="s">
        <v>596</v>
      </c>
      <c r="E10" s="4">
        <v>0</v>
      </c>
      <c r="F10" s="4"/>
      <c r="G10" s="4">
        <v>0</v>
      </c>
      <c r="H10" s="4">
        <v>0</v>
      </c>
      <c r="I10" s="4">
        <v>0</v>
      </c>
      <c r="J10" s="4">
        <v>8107.3</v>
      </c>
      <c r="K10" s="4"/>
      <c r="L10" s="4"/>
      <c r="M10" s="4"/>
      <c r="N10" s="4"/>
      <c r="O10" s="4">
        <v>0</v>
      </c>
      <c r="P10" s="4"/>
      <c r="Q10" s="4"/>
      <c r="R10" s="4">
        <f t="shared" si="2"/>
        <v>8107.3</v>
      </c>
      <c r="S10">
        <v>8</v>
      </c>
    </row>
    <row r="11" spans="1:19" x14ac:dyDescent="0.3">
      <c r="C11">
        <v>305</v>
      </c>
      <c r="D11" t="s">
        <v>84</v>
      </c>
      <c r="E11" s="4">
        <v>17560.400000000001</v>
      </c>
      <c r="F11" s="4"/>
      <c r="G11" s="4">
        <v>1510.75</v>
      </c>
      <c r="H11" s="4">
        <v>1054.8499999999999</v>
      </c>
      <c r="I11" s="4">
        <v>3071.8</v>
      </c>
      <c r="J11" s="4">
        <v>79504.899999999994</v>
      </c>
      <c r="K11" s="4"/>
      <c r="L11" s="4"/>
      <c r="M11" s="4"/>
      <c r="N11" s="4"/>
      <c r="O11" s="4">
        <v>3837.5</v>
      </c>
      <c r="P11" s="4"/>
      <c r="Q11" s="4"/>
      <c r="R11" s="4">
        <f t="shared" si="2"/>
        <v>106540.2</v>
      </c>
      <c r="S11">
        <v>9</v>
      </c>
    </row>
    <row r="12" spans="1:19" x14ac:dyDescent="0.3">
      <c r="C12">
        <v>306</v>
      </c>
      <c r="D12" t="s">
        <v>85</v>
      </c>
      <c r="E12" s="4">
        <v>0</v>
      </c>
      <c r="F12" s="4"/>
      <c r="G12" s="4">
        <v>0</v>
      </c>
      <c r="H12" s="4">
        <v>0</v>
      </c>
      <c r="I12" s="4">
        <v>0</v>
      </c>
      <c r="J12" s="4">
        <v>0</v>
      </c>
      <c r="K12" s="4"/>
      <c r="L12" s="4"/>
      <c r="M12" s="4"/>
      <c r="N12" s="4"/>
      <c r="O12" s="4">
        <v>0</v>
      </c>
      <c r="P12" s="4"/>
      <c r="Q12" s="4"/>
      <c r="R12" s="4">
        <f t="shared" si="2"/>
        <v>0</v>
      </c>
      <c r="S12">
        <v>10</v>
      </c>
    </row>
    <row r="13" spans="1:19" x14ac:dyDescent="0.3">
      <c r="C13">
        <v>309</v>
      </c>
      <c r="D13" t="s">
        <v>86</v>
      </c>
      <c r="E13" s="4">
        <v>1525.55</v>
      </c>
      <c r="F13" s="4"/>
      <c r="G13" s="4">
        <v>0</v>
      </c>
      <c r="H13" s="4">
        <v>0</v>
      </c>
      <c r="I13" s="4">
        <v>1507.1</v>
      </c>
      <c r="J13" s="4">
        <v>7762.6</v>
      </c>
      <c r="K13" s="4"/>
      <c r="L13" s="4"/>
      <c r="M13" s="4"/>
      <c r="N13" s="4"/>
      <c r="O13" s="4">
        <v>1371.5</v>
      </c>
      <c r="P13" s="4"/>
      <c r="Q13" s="4"/>
      <c r="R13" s="4">
        <f t="shared" si="2"/>
        <v>12166.75</v>
      </c>
      <c r="S13">
        <v>11</v>
      </c>
    </row>
    <row r="14" spans="1:19" x14ac:dyDescent="0.3">
      <c r="E14" s="4"/>
      <c r="F14" s="4"/>
      <c r="G14" s="4"/>
      <c r="H14" s="4"/>
      <c r="I14" s="4"/>
      <c r="J14" s="4"/>
      <c r="K14" s="4"/>
      <c r="L14" s="4"/>
      <c r="M14" s="4"/>
      <c r="N14" s="4"/>
      <c r="O14" s="4"/>
      <c r="P14" s="4"/>
      <c r="Q14" s="4"/>
      <c r="R14" s="4"/>
      <c r="S14">
        <v>12</v>
      </c>
    </row>
    <row r="15" spans="1:19" x14ac:dyDescent="0.3">
      <c r="B15" s="94">
        <v>31</v>
      </c>
      <c r="C15" s="94"/>
      <c r="D15" s="94" t="s">
        <v>87</v>
      </c>
      <c r="E15" s="95">
        <f>E16+E17+E18+E19+E20+E21+E22+E23+E24+E25</f>
        <v>253904.08000000002</v>
      </c>
      <c r="F15" s="95">
        <f t="shared" ref="F15:R15" si="3">F16+F17+F18+F19+F20+F21+F22+F23+F24+F25</f>
        <v>0</v>
      </c>
      <c r="G15" s="95">
        <f t="shared" si="3"/>
        <v>57426.9</v>
      </c>
      <c r="H15" s="95">
        <f t="shared" si="3"/>
        <v>20762.28</v>
      </c>
      <c r="I15" s="95">
        <f t="shared" si="3"/>
        <v>129539.25</v>
      </c>
      <c r="J15" s="95">
        <f t="shared" si="3"/>
        <v>595456.80000000005</v>
      </c>
      <c r="K15" s="95">
        <f t="shared" si="3"/>
        <v>0</v>
      </c>
      <c r="L15" s="95">
        <f t="shared" si="3"/>
        <v>0</v>
      </c>
      <c r="M15" s="95">
        <f t="shared" si="3"/>
        <v>0</v>
      </c>
      <c r="N15" s="95">
        <f t="shared" si="3"/>
        <v>0</v>
      </c>
      <c r="O15" s="95">
        <f t="shared" si="3"/>
        <v>77265.5</v>
      </c>
      <c r="P15" s="95">
        <f t="shared" si="3"/>
        <v>0</v>
      </c>
      <c r="Q15" s="95">
        <f t="shared" si="3"/>
        <v>0</v>
      </c>
      <c r="R15" s="95">
        <f t="shared" si="3"/>
        <v>1134354.8100000003</v>
      </c>
      <c r="S15">
        <v>13</v>
      </c>
    </row>
    <row r="16" spans="1:19" x14ac:dyDescent="0.3">
      <c r="C16">
        <v>310</v>
      </c>
      <c r="D16" t="s">
        <v>88</v>
      </c>
      <c r="E16" s="4">
        <v>30868.26</v>
      </c>
      <c r="F16" s="4"/>
      <c r="G16" s="4">
        <v>1020</v>
      </c>
      <c r="H16" s="4">
        <v>1326.3</v>
      </c>
      <c r="I16" s="4">
        <v>2835.95</v>
      </c>
      <c r="J16" s="4">
        <v>9944.5499999999993</v>
      </c>
      <c r="K16" s="4"/>
      <c r="L16" s="4"/>
      <c r="M16" s="4"/>
      <c r="N16" s="4"/>
      <c r="O16" s="4">
        <v>1640.8</v>
      </c>
      <c r="P16" s="4"/>
      <c r="Q16" s="4"/>
      <c r="R16" s="4">
        <f t="shared" ref="R16:R25" si="4">SUM(E16:Q16)</f>
        <v>47635.86</v>
      </c>
      <c r="S16">
        <v>14</v>
      </c>
    </row>
    <row r="17" spans="2:19" x14ac:dyDescent="0.3">
      <c r="C17">
        <v>311</v>
      </c>
      <c r="D17" t="s">
        <v>462</v>
      </c>
      <c r="E17" s="4">
        <v>600</v>
      </c>
      <c r="F17" s="4"/>
      <c r="G17" s="4">
        <v>0</v>
      </c>
      <c r="H17" s="4">
        <v>0</v>
      </c>
      <c r="I17" s="4">
        <v>0</v>
      </c>
      <c r="J17" s="4">
        <v>2119.35</v>
      </c>
      <c r="K17" s="4"/>
      <c r="L17" s="4"/>
      <c r="M17" s="4"/>
      <c r="N17" s="4"/>
      <c r="O17" s="4">
        <v>0</v>
      </c>
      <c r="P17" s="4"/>
      <c r="Q17" s="4"/>
      <c r="R17" s="4">
        <f t="shared" si="4"/>
        <v>2719.35</v>
      </c>
      <c r="S17">
        <v>15</v>
      </c>
    </row>
    <row r="18" spans="2:19" x14ac:dyDescent="0.3">
      <c r="C18">
        <v>312</v>
      </c>
      <c r="D18" t="s">
        <v>90</v>
      </c>
      <c r="E18" s="4">
        <v>10441.1</v>
      </c>
      <c r="F18" s="4"/>
      <c r="G18" s="4">
        <v>0</v>
      </c>
      <c r="H18" s="4">
        <v>0</v>
      </c>
      <c r="I18" s="4">
        <v>888</v>
      </c>
      <c r="J18" s="4">
        <v>121050.8</v>
      </c>
      <c r="K18" s="4"/>
      <c r="L18" s="4"/>
      <c r="M18" s="4"/>
      <c r="N18" s="4"/>
      <c r="O18" s="4">
        <v>710.5</v>
      </c>
      <c r="P18" s="4"/>
      <c r="Q18" s="4"/>
      <c r="R18" s="4">
        <f t="shared" si="4"/>
        <v>133090.4</v>
      </c>
      <c r="S18">
        <v>16</v>
      </c>
    </row>
    <row r="19" spans="2:19" x14ac:dyDescent="0.3">
      <c r="C19">
        <v>313</v>
      </c>
      <c r="D19" t="s">
        <v>91</v>
      </c>
      <c r="E19" s="4">
        <v>186498.52</v>
      </c>
      <c r="F19" s="4"/>
      <c r="G19" s="4">
        <v>53127.5</v>
      </c>
      <c r="H19" s="4">
        <v>13522.2</v>
      </c>
      <c r="I19" s="4">
        <v>114463.75</v>
      </c>
      <c r="J19" s="4">
        <v>290485.7</v>
      </c>
      <c r="K19" s="4"/>
      <c r="L19" s="4"/>
      <c r="M19" s="4"/>
      <c r="N19" s="4"/>
      <c r="O19" s="4">
        <v>36366.550000000003</v>
      </c>
      <c r="P19" s="4"/>
      <c r="Q19" s="4"/>
      <c r="R19" s="4">
        <f t="shared" si="4"/>
        <v>694464.22</v>
      </c>
      <c r="S19">
        <v>17</v>
      </c>
    </row>
    <row r="20" spans="2:19" x14ac:dyDescent="0.3">
      <c r="C20">
        <v>314</v>
      </c>
      <c r="D20" t="s">
        <v>92</v>
      </c>
      <c r="E20" s="4">
        <v>6874.55</v>
      </c>
      <c r="F20" s="4"/>
      <c r="G20" s="4">
        <v>850.9</v>
      </c>
      <c r="H20" s="4">
        <v>4499.28</v>
      </c>
      <c r="I20" s="4">
        <v>8408.7999999999993</v>
      </c>
      <c r="J20" s="4">
        <v>168164.4</v>
      </c>
      <c r="K20" s="4"/>
      <c r="L20" s="4"/>
      <c r="M20" s="4"/>
      <c r="N20" s="4"/>
      <c r="O20" s="4">
        <v>37356.25</v>
      </c>
      <c r="P20" s="4"/>
      <c r="Q20" s="4"/>
      <c r="R20" s="4">
        <f t="shared" si="4"/>
        <v>226154.18</v>
      </c>
      <c r="S20">
        <v>18</v>
      </c>
    </row>
    <row r="21" spans="2:19" x14ac:dyDescent="0.3">
      <c r="C21">
        <v>315</v>
      </c>
      <c r="D21" t="s">
        <v>93</v>
      </c>
      <c r="E21" s="4">
        <v>12697.35</v>
      </c>
      <c r="F21" s="4"/>
      <c r="G21" s="4">
        <v>538.5</v>
      </c>
      <c r="H21" s="4">
        <v>0</v>
      </c>
      <c r="I21" s="4">
        <v>2692.5</v>
      </c>
      <c r="J21" s="4">
        <v>0</v>
      </c>
      <c r="K21" s="4"/>
      <c r="L21" s="4"/>
      <c r="M21" s="4"/>
      <c r="N21" s="4"/>
      <c r="O21" s="4">
        <v>0</v>
      </c>
      <c r="P21" s="4"/>
      <c r="Q21" s="4"/>
      <c r="R21" s="4">
        <f t="shared" si="4"/>
        <v>15928.35</v>
      </c>
      <c r="S21">
        <v>19</v>
      </c>
    </row>
    <row r="22" spans="2:19" x14ac:dyDescent="0.3">
      <c r="C22">
        <v>316</v>
      </c>
      <c r="D22" t="s">
        <v>94</v>
      </c>
      <c r="E22" s="4">
        <v>2112.85</v>
      </c>
      <c r="F22" s="4"/>
      <c r="G22" s="4">
        <v>950</v>
      </c>
      <c r="H22" s="4">
        <v>0</v>
      </c>
      <c r="I22" s="4">
        <v>0</v>
      </c>
      <c r="J22" s="4">
        <v>0</v>
      </c>
      <c r="K22" s="4"/>
      <c r="L22" s="4"/>
      <c r="M22" s="4"/>
      <c r="N22" s="4"/>
      <c r="O22" s="4">
        <v>0</v>
      </c>
      <c r="P22" s="4"/>
      <c r="Q22" s="4"/>
      <c r="R22" s="4">
        <f t="shared" si="4"/>
        <v>3062.85</v>
      </c>
      <c r="S22">
        <v>20</v>
      </c>
    </row>
    <row r="23" spans="2:19" x14ac:dyDescent="0.3">
      <c r="C23">
        <v>317</v>
      </c>
      <c r="D23" t="s">
        <v>95</v>
      </c>
      <c r="E23" s="4">
        <v>3811.45</v>
      </c>
      <c r="F23" s="4"/>
      <c r="G23" s="4">
        <v>0</v>
      </c>
      <c r="H23" s="4">
        <v>0</v>
      </c>
      <c r="I23" s="4">
        <v>0</v>
      </c>
      <c r="J23" s="4">
        <v>3692</v>
      </c>
      <c r="K23" s="4"/>
      <c r="L23" s="4"/>
      <c r="M23" s="4"/>
      <c r="N23" s="4"/>
      <c r="O23" s="4">
        <v>1041.4000000000001</v>
      </c>
      <c r="P23" s="4"/>
      <c r="Q23" s="4"/>
      <c r="R23" s="4">
        <f t="shared" si="4"/>
        <v>8544.85</v>
      </c>
      <c r="S23">
        <v>21</v>
      </c>
    </row>
    <row r="24" spans="2:19" x14ac:dyDescent="0.3">
      <c r="C24">
        <v>318</v>
      </c>
      <c r="D24" t="s">
        <v>96</v>
      </c>
      <c r="E24" s="4">
        <v>0</v>
      </c>
      <c r="F24" s="4"/>
      <c r="G24" s="4">
        <v>0</v>
      </c>
      <c r="H24" s="4">
        <v>0</v>
      </c>
      <c r="I24" s="4">
        <v>0</v>
      </c>
      <c r="J24" s="4">
        <v>0</v>
      </c>
      <c r="K24" s="4"/>
      <c r="L24" s="4"/>
      <c r="M24" s="4"/>
      <c r="N24" s="4"/>
      <c r="O24" s="4">
        <v>0</v>
      </c>
      <c r="P24" s="4"/>
      <c r="Q24" s="4"/>
      <c r="R24" s="4">
        <f t="shared" si="4"/>
        <v>0</v>
      </c>
      <c r="S24">
        <v>22</v>
      </c>
    </row>
    <row r="25" spans="2:19" x14ac:dyDescent="0.3">
      <c r="C25">
        <v>319</v>
      </c>
      <c r="D25" t="s">
        <v>97</v>
      </c>
      <c r="E25" s="4">
        <v>0</v>
      </c>
      <c r="F25" s="4"/>
      <c r="G25" s="4">
        <v>940</v>
      </c>
      <c r="H25" s="4">
        <v>1414.5</v>
      </c>
      <c r="I25" s="4">
        <v>250.25</v>
      </c>
      <c r="J25" s="4">
        <v>0</v>
      </c>
      <c r="K25" s="4"/>
      <c r="L25" s="4"/>
      <c r="M25" s="4"/>
      <c r="N25" s="4"/>
      <c r="O25" s="4">
        <v>150</v>
      </c>
      <c r="P25" s="4"/>
      <c r="Q25" s="4"/>
      <c r="R25" s="4">
        <f t="shared" si="4"/>
        <v>2754.75</v>
      </c>
      <c r="S25">
        <v>23</v>
      </c>
    </row>
    <row r="26" spans="2:19" x14ac:dyDescent="0.3">
      <c r="E26" s="4"/>
      <c r="F26" s="4"/>
      <c r="G26" s="4"/>
      <c r="H26" s="4"/>
      <c r="I26" s="4"/>
      <c r="J26" s="4"/>
      <c r="K26" s="4"/>
      <c r="L26" s="4"/>
      <c r="M26" s="4"/>
      <c r="N26" s="4"/>
      <c r="O26" s="4"/>
      <c r="P26" s="4"/>
      <c r="Q26" s="4"/>
      <c r="R26" s="4"/>
      <c r="S26">
        <v>24</v>
      </c>
    </row>
    <row r="27" spans="2:19" x14ac:dyDescent="0.3">
      <c r="B27" s="94">
        <v>33</v>
      </c>
      <c r="C27" s="94"/>
      <c r="D27" s="94" t="s">
        <v>98</v>
      </c>
      <c r="E27" s="95">
        <f>E28+E29</f>
        <v>60162.8</v>
      </c>
      <c r="F27" s="95">
        <f t="shared" ref="F27:R27" si="5">F28+F29</f>
        <v>0</v>
      </c>
      <c r="G27" s="95">
        <f t="shared" si="5"/>
        <v>30335</v>
      </c>
      <c r="H27" s="95">
        <f t="shared" si="5"/>
        <v>0</v>
      </c>
      <c r="I27" s="95">
        <f t="shared" si="5"/>
        <v>17020</v>
      </c>
      <c r="J27" s="95">
        <f t="shared" si="5"/>
        <v>197327.15</v>
      </c>
      <c r="K27" s="95">
        <f t="shared" si="5"/>
        <v>0</v>
      </c>
      <c r="L27" s="95">
        <f t="shared" si="5"/>
        <v>0</v>
      </c>
      <c r="M27" s="95">
        <f t="shared" si="5"/>
        <v>0</v>
      </c>
      <c r="N27" s="95">
        <f t="shared" si="5"/>
        <v>0</v>
      </c>
      <c r="O27" s="95">
        <f t="shared" si="5"/>
        <v>25500</v>
      </c>
      <c r="P27" s="95">
        <f t="shared" si="5"/>
        <v>0</v>
      </c>
      <c r="Q27" s="95">
        <f t="shared" si="5"/>
        <v>0</v>
      </c>
      <c r="R27" s="95">
        <f t="shared" si="5"/>
        <v>330344.95</v>
      </c>
      <c r="S27">
        <v>25</v>
      </c>
    </row>
    <row r="28" spans="2:19" x14ac:dyDescent="0.3">
      <c r="C28">
        <v>330</v>
      </c>
      <c r="D28" t="s">
        <v>100</v>
      </c>
      <c r="E28" s="4">
        <v>60162.8</v>
      </c>
      <c r="F28" s="4"/>
      <c r="G28" s="4">
        <v>30335</v>
      </c>
      <c r="H28" s="4">
        <v>0</v>
      </c>
      <c r="I28" s="4">
        <v>17020</v>
      </c>
      <c r="J28" s="4">
        <v>197327.15</v>
      </c>
      <c r="K28" s="4"/>
      <c r="L28" s="4"/>
      <c r="M28" s="4"/>
      <c r="N28" s="4"/>
      <c r="O28" s="4">
        <v>25500</v>
      </c>
      <c r="P28" s="4"/>
      <c r="Q28" s="4"/>
      <c r="R28" s="4">
        <f>SUM(E28:Q28)</f>
        <v>330344.95</v>
      </c>
      <c r="S28">
        <v>26</v>
      </c>
    </row>
    <row r="29" spans="2:19" x14ac:dyDescent="0.3">
      <c r="C29">
        <v>332</v>
      </c>
      <c r="D29" t="s">
        <v>99</v>
      </c>
      <c r="E29" s="4">
        <v>0</v>
      </c>
      <c r="F29" s="4"/>
      <c r="G29" s="4">
        <v>0</v>
      </c>
      <c r="H29" s="4">
        <v>0</v>
      </c>
      <c r="I29" s="4">
        <v>0</v>
      </c>
      <c r="J29" s="4">
        <v>0</v>
      </c>
      <c r="K29" s="4"/>
      <c r="L29" s="4"/>
      <c r="M29" s="4"/>
      <c r="N29" s="4"/>
      <c r="O29" s="4">
        <v>0</v>
      </c>
      <c r="P29" s="4"/>
      <c r="Q29" s="4"/>
      <c r="R29" s="4">
        <f>SUM(E29:Q29)</f>
        <v>0</v>
      </c>
      <c r="S29">
        <v>27</v>
      </c>
    </row>
    <row r="30" spans="2:19" x14ac:dyDescent="0.3">
      <c r="E30" s="4"/>
      <c r="F30" s="4"/>
      <c r="G30" s="4"/>
      <c r="H30" s="4"/>
      <c r="I30" s="4"/>
      <c r="J30" s="4"/>
      <c r="K30" s="4"/>
      <c r="L30" s="4"/>
      <c r="M30" s="4"/>
      <c r="N30" s="4"/>
      <c r="O30" s="4"/>
      <c r="P30" s="4"/>
      <c r="Q30" s="4"/>
      <c r="R30" s="4"/>
      <c r="S30">
        <v>28</v>
      </c>
    </row>
    <row r="31" spans="2:19" x14ac:dyDescent="0.3">
      <c r="B31" s="94">
        <v>34</v>
      </c>
      <c r="C31" s="94"/>
      <c r="D31" s="94" t="s">
        <v>101</v>
      </c>
      <c r="E31" s="95">
        <f>E32+E33+E34+E35+E36+E37</f>
        <v>78298.819999999992</v>
      </c>
      <c r="F31" s="95">
        <f t="shared" ref="F31:R31" si="6">F32+F33+F34+F35+F36+F37</f>
        <v>0</v>
      </c>
      <c r="G31" s="95">
        <f t="shared" si="6"/>
        <v>9289.35</v>
      </c>
      <c r="H31" s="95">
        <f t="shared" si="6"/>
        <v>0</v>
      </c>
      <c r="I31" s="95">
        <f t="shared" si="6"/>
        <v>12643.05</v>
      </c>
      <c r="J31" s="95">
        <f t="shared" si="6"/>
        <v>118687.45</v>
      </c>
      <c r="K31" s="95">
        <f t="shared" si="6"/>
        <v>0</v>
      </c>
      <c r="L31" s="95">
        <f t="shared" si="6"/>
        <v>0</v>
      </c>
      <c r="M31" s="95">
        <f t="shared" si="6"/>
        <v>0</v>
      </c>
      <c r="N31" s="95">
        <f t="shared" si="6"/>
        <v>0</v>
      </c>
      <c r="O31" s="95">
        <f t="shared" si="6"/>
        <v>402.7</v>
      </c>
      <c r="P31" s="95">
        <f t="shared" si="6"/>
        <v>0</v>
      </c>
      <c r="Q31" s="95">
        <f t="shared" si="6"/>
        <v>0</v>
      </c>
      <c r="R31" s="95">
        <f t="shared" si="6"/>
        <v>219321.37000000002</v>
      </c>
      <c r="S31">
        <v>29</v>
      </c>
    </row>
    <row r="32" spans="2:19" x14ac:dyDescent="0.3">
      <c r="C32">
        <v>340</v>
      </c>
      <c r="D32" t="s">
        <v>102</v>
      </c>
      <c r="E32" s="4">
        <v>24101.200000000001</v>
      </c>
      <c r="F32" s="4"/>
      <c r="G32" s="4">
        <v>2978.6</v>
      </c>
      <c r="H32" s="4">
        <v>0</v>
      </c>
      <c r="I32" s="4">
        <v>5312.8</v>
      </c>
      <c r="J32" s="4">
        <v>24969.599999999999</v>
      </c>
      <c r="K32" s="4"/>
      <c r="L32" s="4"/>
      <c r="M32" s="4"/>
      <c r="N32" s="4"/>
      <c r="O32" s="4">
        <v>0</v>
      </c>
      <c r="P32" s="4"/>
      <c r="Q32" s="4"/>
      <c r="R32" s="4">
        <f t="shared" ref="R32:R37" si="7">SUM(E32:Q32)</f>
        <v>57362.2</v>
      </c>
      <c r="S32">
        <v>30</v>
      </c>
    </row>
    <row r="33" spans="2:19" x14ac:dyDescent="0.3">
      <c r="C33">
        <v>341</v>
      </c>
      <c r="D33" t="s">
        <v>103</v>
      </c>
      <c r="E33" s="4">
        <v>0</v>
      </c>
      <c r="F33" s="4"/>
      <c r="G33" s="4">
        <v>0</v>
      </c>
      <c r="H33" s="4">
        <v>0</v>
      </c>
      <c r="I33" s="4">
        <v>0</v>
      </c>
      <c r="J33" s="4">
        <v>0</v>
      </c>
      <c r="K33" s="4"/>
      <c r="L33" s="4"/>
      <c r="M33" s="4"/>
      <c r="N33" s="4"/>
      <c r="O33" s="4">
        <v>0</v>
      </c>
      <c r="P33" s="4"/>
      <c r="Q33" s="4"/>
      <c r="R33" s="4">
        <f t="shared" si="7"/>
        <v>0</v>
      </c>
      <c r="S33">
        <v>31</v>
      </c>
    </row>
    <row r="34" spans="2:19" x14ac:dyDescent="0.3">
      <c r="C34">
        <v>342</v>
      </c>
      <c r="D34" t="s">
        <v>104</v>
      </c>
      <c r="E34" s="4">
        <v>0</v>
      </c>
      <c r="F34" s="4"/>
      <c r="G34" s="4">
        <v>0</v>
      </c>
      <c r="H34" s="4">
        <v>0</v>
      </c>
      <c r="I34" s="4">
        <v>0</v>
      </c>
      <c r="J34" s="4">
        <v>0</v>
      </c>
      <c r="K34" s="4"/>
      <c r="L34" s="4"/>
      <c r="M34" s="4"/>
      <c r="N34" s="4"/>
      <c r="O34" s="4">
        <v>0</v>
      </c>
      <c r="P34" s="4"/>
      <c r="Q34" s="4"/>
      <c r="R34" s="4">
        <f t="shared" si="7"/>
        <v>0</v>
      </c>
      <c r="S34">
        <v>32</v>
      </c>
    </row>
    <row r="35" spans="2:19" x14ac:dyDescent="0.3">
      <c r="C35">
        <v>343</v>
      </c>
      <c r="D35" t="s">
        <v>105</v>
      </c>
      <c r="E35" s="4">
        <v>45914.46</v>
      </c>
      <c r="F35" s="4"/>
      <c r="G35" s="4">
        <v>5102.5</v>
      </c>
      <c r="H35" s="4">
        <v>0</v>
      </c>
      <c r="I35" s="4">
        <v>7330.25</v>
      </c>
      <c r="J35" s="4">
        <v>91628.3</v>
      </c>
      <c r="K35" s="4"/>
      <c r="L35" s="4"/>
      <c r="M35" s="4"/>
      <c r="N35" s="4"/>
      <c r="O35" s="4">
        <v>0</v>
      </c>
      <c r="P35" s="4"/>
      <c r="Q35" s="4"/>
      <c r="R35" s="4">
        <f t="shared" si="7"/>
        <v>149975.51</v>
      </c>
      <c r="S35">
        <v>33</v>
      </c>
    </row>
    <row r="36" spans="2:19" x14ac:dyDescent="0.3">
      <c r="C36">
        <v>344</v>
      </c>
      <c r="D36" t="s">
        <v>106</v>
      </c>
      <c r="E36" s="4">
        <v>5376.01</v>
      </c>
      <c r="F36" s="4"/>
      <c r="G36" s="4">
        <v>0</v>
      </c>
      <c r="H36" s="4">
        <v>0</v>
      </c>
      <c r="I36" s="4">
        <v>0</v>
      </c>
      <c r="J36" s="4">
        <v>0</v>
      </c>
      <c r="K36" s="4"/>
      <c r="L36" s="4"/>
      <c r="M36" s="4"/>
      <c r="N36" s="4"/>
      <c r="O36" s="4">
        <v>0</v>
      </c>
      <c r="P36" s="4"/>
      <c r="Q36" s="4"/>
      <c r="R36" s="4">
        <f t="shared" si="7"/>
        <v>5376.01</v>
      </c>
      <c r="S36">
        <v>34</v>
      </c>
    </row>
    <row r="37" spans="2:19" x14ac:dyDescent="0.3">
      <c r="C37">
        <v>349</v>
      </c>
      <c r="D37" t="s">
        <v>107</v>
      </c>
      <c r="E37" s="4">
        <v>2907.15</v>
      </c>
      <c r="F37" s="4"/>
      <c r="G37" s="4">
        <v>1208.25</v>
      </c>
      <c r="H37" s="4">
        <v>0</v>
      </c>
      <c r="I37" s="4">
        <v>0</v>
      </c>
      <c r="J37" s="4">
        <v>2089.5500000000002</v>
      </c>
      <c r="K37" s="4"/>
      <c r="L37" s="4"/>
      <c r="M37" s="4"/>
      <c r="N37" s="4"/>
      <c r="O37" s="4">
        <v>402.7</v>
      </c>
      <c r="P37" s="4"/>
      <c r="Q37" s="4"/>
      <c r="R37" s="4">
        <f t="shared" si="7"/>
        <v>6607.65</v>
      </c>
      <c r="S37">
        <v>35</v>
      </c>
    </row>
    <row r="38" spans="2:19" x14ac:dyDescent="0.3">
      <c r="E38" s="4"/>
      <c r="F38" s="4"/>
      <c r="G38" s="4"/>
      <c r="H38" s="4"/>
      <c r="I38" s="4"/>
      <c r="J38" s="4"/>
      <c r="K38" s="4"/>
      <c r="L38" s="4"/>
      <c r="M38" s="4"/>
      <c r="N38" s="4"/>
      <c r="O38" s="4"/>
      <c r="P38" s="4"/>
      <c r="Q38" s="4"/>
      <c r="R38" s="4"/>
      <c r="S38">
        <v>36</v>
      </c>
    </row>
    <row r="39" spans="2:19" x14ac:dyDescent="0.3">
      <c r="B39" s="94">
        <v>35</v>
      </c>
      <c r="C39" s="94"/>
      <c r="D39" s="94" t="s">
        <v>109</v>
      </c>
      <c r="E39" s="95">
        <f>E40+E41</f>
        <v>0</v>
      </c>
      <c r="F39" s="95">
        <f t="shared" ref="F39:R39" si="8">F40+F41</f>
        <v>0</v>
      </c>
      <c r="G39" s="95">
        <f t="shared" si="8"/>
        <v>22.29</v>
      </c>
      <c r="H39" s="95">
        <f t="shared" si="8"/>
        <v>1099.31</v>
      </c>
      <c r="I39" s="95">
        <f t="shared" si="8"/>
        <v>34712</v>
      </c>
      <c r="J39" s="95">
        <f t="shared" si="8"/>
        <v>464005.7</v>
      </c>
      <c r="K39" s="95">
        <f t="shared" si="8"/>
        <v>0</v>
      </c>
      <c r="L39" s="95">
        <f t="shared" si="8"/>
        <v>0</v>
      </c>
      <c r="M39" s="95">
        <f t="shared" si="8"/>
        <v>0</v>
      </c>
      <c r="N39" s="95">
        <f t="shared" si="8"/>
        <v>0</v>
      </c>
      <c r="O39" s="95">
        <f t="shared" si="8"/>
        <v>99.16</v>
      </c>
      <c r="P39" s="95">
        <f t="shared" si="8"/>
        <v>0</v>
      </c>
      <c r="Q39" s="95">
        <f t="shared" si="8"/>
        <v>0</v>
      </c>
      <c r="R39" s="95">
        <f t="shared" si="8"/>
        <v>499938.45999999996</v>
      </c>
      <c r="S39">
        <v>37</v>
      </c>
    </row>
    <row r="40" spans="2:19" x14ac:dyDescent="0.3">
      <c r="C40">
        <v>350</v>
      </c>
      <c r="D40" t="s">
        <v>109</v>
      </c>
      <c r="E40" s="4">
        <v>0</v>
      </c>
      <c r="F40" s="4"/>
      <c r="G40" s="4">
        <v>0</v>
      </c>
      <c r="H40" s="4">
        <v>0</v>
      </c>
      <c r="I40" s="4">
        <v>0</v>
      </c>
      <c r="J40" s="4">
        <v>0</v>
      </c>
      <c r="K40" s="4"/>
      <c r="L40" s="4"/>
      <c r="M40" s="4"/>
      <c r="N40" s="4"/>
      <c r="O40" s="4">
        <v>0</v>
      </c>
      <c r="P40" s="4"/>
      <c r="Q40" s="4"/>
      <c r="R40" s="4">
        <f t="shared" ref="R40:R41" si="9">SUM(E40:Q40)</f>
        <v>0</v>
      </c>
      <c r="S40">
        <v>38</v>
      </c>
    </row>
    <row r="41" spans="2:19" x14ac:dyDescent="0.3">
      <c r="C41">
        <v>351</v>
      </c>
      <c r="D41" t="s">
        <v>108</v>
      </c>
      <c r="E41" s="4">
        <v>0</v>
      </c>
      <c r="F41" s="4"/>
      <c r="G41" s="4">
        <v>22.29</v>
      </c>
      <c r="H41" s="4">
        <v>1099.31</v>
      </c>
      <c r="I41" s="4">
        <v>34712</v>
      </c>
      <c r="J41" s="4">
        <v>464005.7</v>
      </c>
      <c r="K41" s="4"/>
      <c r="L41" s="4"/>
      <c r="M41" s="4"/>
      <c r="N41" s="4"/>
      <c r="O41" s="4">
        <v>99.16</v>
      </c>
      <c r="P41" s="4"/>
      <c r="Q41" s="4"/>
      <c r="R41" s="4">
        <f t="shared" si="9"/>
        <v>499938.45999999996</v>
      </c>
      <c r="S41">
        <v>39</v>
      </c>
    </row>
    <row r="42" spans="2:19" x14ac:dyDescent="0.3">
      <c r="E42" s="4"/>
      <c r="F42" s="4"/>
      <c r="G42" s="4"/>
      <c r="H42" s="4"/>
      <c r="I42" s="4"/>
      <c r="J42" s="4"/>
      <c r="K42" s="4"/>
      <c r="L42" s="4"/>
      <c r="M42" s="4"/>
      <c r="N42" s="4"/>
      <c r="O42" s="4"/>
      <c r="P42" s="4"/>
      <c r="Q42" s="4"/>
      <c r="R42" s="4"/>
      <c r="S42">
        <v>40</v>
      </c>
    </row>
    <row r="43" spans="2:19" x14ac:dyDescent="0.3">
      <c r="B43" s="94">
        <v>36</v>
      </c>
      <c r="C43" s="94"/>
      <c r="D43" s="94" t="s">
        <v>110</v>
      </c>
      <c r="E43" s="95">
        <f>E44+E45+E46+E47+E48+E49+E50+E51</f>
        <v>55547.35</v>
      </c>
      <c r="F43" s="95">
        <f t="shared" ref="F43:R43" si="10">F44+F45+F46+F47+F48+F49+F50+F51</f>
        <v>0</v>
      </c>
      <c r="G43" s="95">
        <f t="shared" si="10"/>
        <v>14158.8</v>
      </c>
      <c r="H43" s="95">
        <f t="shared" si="10"/>
        <v>4639.1000000000004</v>
      </c>
      <c r="I43" s="95">
        <f t="shared" si="10"/>
        <v>75255.45</v>
      </c>
      <c r="J43" s="95">
        <f t="shared" si="10"/>
        <v>60033.2</v>
      </c>
      <c r="K43" s="95">
        <f t="shared" si="10"/>
        <v>0</v>
      </c>
      <c r="L43" s="95">
        <f t="shared" si="10"/>
        <v>0</v>
      </c>
      <c r="M43" s="95">
        <f t="shared" si="10"/>
        <v>0</v>
      </c>
      <c r="N43" s="95">
        <f t="shared" si="10"/>
        <v>0</v>
      </c>
      <c r="O43" s="95">
        <f t="shared" si="10"/>
        <v>16328.5</v>
      </c>
      <c r="P43" s="95">
        <f t="shared" si="10"/>
        <v>0</v>
      </c>
      <c r="Q43" s="95">
        <f t="shared" si="10"/>
        <v>0</v>
      </c>
      <c r="R43" s="95">
        <f t="shared" si="10"/>
        <v>225962.4</v>
      </c>
      <c r="S43">
        <v>41</v>
      </c>
    </row>
    <row r="44" spans="2:19" x14ac:dyDescent="0.3">
      <c r="C44">
        <v>360</v>
      </c>
      <c r="D44" t="s">
        <v>111</v>
      </c>
      <c r="E44" s="4">
        <v>2858.8</v>
      </c>
      <c r="F44" s="4"/>
      <c r="G44" s="4">
        <v>0</v>
      </c>
      <c r="H44" s="4">
        <v>0</v>
      </c>
      <c r="I44" s="4">
        <v>0</v>
      </c>
      <c r="J44" s="4">
        <v>2000</v>
      </c>
      <c r="K44" s="4"/>
      <c r="L44" s="4"/>
      <c r="M44" s="4"/>
      <c r="N44" s="4"/>
      <c r="O44" s="4">
        <v>0</v>
      </c>
      <c r="P44" s="4"/>
      <c r="Q44" s="4"/>
      <c r="R44" s="4">
        <f t="shared" ref="R44:R51" si="11">SUM(E44:Q44)</f>
        <v>4858.8</v>
      </c>
      <c r="S44">
        <v>42</v>
      </c>
    </row>
    <row r="45" spans="2:19" x14ac:dyDescent="0.3">
      <c r="C45">
        <v>361</v>
      </c>
      <c r="D45" t="s">
        <v>112</v>
      </c>
      <c r="E45" s="4">
        <v>1859.05</v>
      </c>
      <c r="F45" s="4"/>
      <c r="G45" s="4">
        <v>-580.25</v>
      </c>
      <c r="H45" s="4">
        <v>0</v>
      </c>
      <c r="I45" s="4">
        <v>52984</v>
      </c>
      <c r="J45" s="4">
        <v>0</v>
      </c>
      <c r="K45" s="4"/>
      <c r="L45" s="4"/>
      <c r="M45" s="4"/>
      <c r="N45" s="4"/>
      <c r="O45" s="4">
        <v>0</v>
      </c>
      <c r="P45" s="4"/>
      <c r="Q45" s="4"/>
      <c r="R45" s="4">
        <f t="shared" si="11"/>
        <v>54262.8</v>
      </c>
      <c r="S45">
        <v>43</v>
      </c>
    </row>
    <row r="46" spans="2:19" x14ac:dyDescent="0.3">
      <c r="C46">
        <v>362</v>
      </c>
      <c r="D46" t="s">
        <v>113</v>
      </c>
      <c r="E46" s="4">
        <v>0</v>
      </c>
      <c r="F46" s="4"/>
      <c r="G46" s="4">
        <v>0</v>
      </c>
      <c r="H46" s="4">
        <v>0</v>
      </c>
      <c r="I46" s="4">
        <v>0</v>
      </c>
      <c r="J46" s="4">
        <v>0</v>
      </c>
      <c r="K46" s="4"/>
      <c r="L46" s="4"/>
      <c r="M46" s="4"/>
      <c r="N46" s="4"/>
      <c r="O46" s="4">
        <v>4297.1000000000004</v>
      </c>
      <c r="P46" s="4"/>
      <c r="Q46" s="4"/>
      <c r="R46" s="4">
        <f t="shared" si="11"/>
        <v>4297.1000000000004</v>
      </c>
      <c r="S46">
        <v>44</v>
      </c>
    </row>
    <row r="47" spans="2:19" x14ac:dyDescent="0.3">
      <c r="C47">
        <v>363</v>
      </c>
      <c r="D47" t="s">
        <v>114</v>
      </c>
      <c r="E47" s="4">
        <v>50829.5</v>
      </c>
      <c r="F47" s="4"/>
      <c r="G47" s="4">
        <v>14739.05</v>
      </c>
      <c r="H47" s="4">
        <v>4639.1000000000004</v>
      </c>
      <c r="I47" s="4">
        <v>22271.45</v>
      </c>
      <c r="J47" s="4">
        <v>58033.2</v>
      </c>
      <c r="K47" s="4"/>
      <c r="L47" s="4"/>
      <c r="M47" s="4"/>
      <c r="N47" s="4"/>
      <c r="O47" s="4">
        <v>12031.4</v>
      </c>
      <c r="P47" s="4"/>
      <c r="Q47" s="4"/>
      <c r="R47" s="4">
        <f t="shared" si="11"/>
        <v>162543.69999999998</v>
      </c>
      <c r="S47">
        <v>45</v>
      </c>
    </row>
    <row r="48" spans="2:19" x14ac:dyDescent="0.3">
      <c r="C48">
        <v>364</v>
      </c>
      <c r="D48" t="s">
        <v>115</v>
      </c>
      <c r="E48" s="4">
        <v>0</v>
      </c>
      <c r="F48" s="4"/>
      <c r="G48" s="4">
        <v>0</v>
      </c>
      <c r="H48" s="4">
        <v>0</v>
      </c>
      <c r="I48" s="4">
        <v>0</v>
      </c>
      <c r="J48" s="4">
        <v>0</v>
      </c>
      <c r="K48" s="4"/>
      <c r="L48" s="4"/>
      <c r="M48" s="4"/>
      <c r="N48" s="4"/>
      <c r="O48" s="4">
        <v>0</v>
      </c>
      <c r="P48" s="4"/>
      <c r="Q48" s="4"/>
      <c r="R48" s="4">
        <f t="shared" si="11"/>
        <v>0</v>
      </c>
      <c r="S48">
        <v>46</v>
      </c>
    </row>
    <row r="49" spans="2:19" x14ac:dyDescent="0.3">
      <c r="C49">
        <v>365</v>
      </c>
      <c r="D49" t="s">
        <v>116</v>
      </c>
      <c r="E49" s="4">
        <v>0</v>
      </c>
      <c r="F49" s="4"/>
      <c r="G49" s="4">
        <v>0</v>
      </c>
      <c r="H49" s="4">
        <v>0</v>
      </c>
      <c r="I49" s="4">
        <v>0</v>
      </c>
      <c r="J49" s="4">
        <v>0</v>
      </c>
      <c r="K49" s="4"/>
      <c r="L49" s="4"/>
      <c r="M49" s="4"/>
      <c r="N49" s="4"/>
      <c r="O49" s="4">
        <v>0</v>
      </c>
      <c r="P49" s="4"/>
      <c r="Q49" s="4"/>
      <c r="R49" s="4">
        <f t="shared" si="11"/>
        <v>0</v>
      </c>
      <c r="S49">
        <v>47</v>
      </c>
    </row>
    <row r="50" spans="2:19" x14ac:dyDescent="0.3">
      <c r="C50">
        <v>366</v>
      </c>
      <c r="D50" t="s">
        <v>117</v>
      </c>
      <c r="E50" s="4">
        <v>0</v>
      </c>
      <c r="F50" s="4"/>
      <c r="G50" s="4">
        <v>0</v>
      </c>
      <c r="H50" s="4">
        <v>0</v>
      </c>
      <c r="I50" s="4">
        <v>0</v>
      </c>
      <c r="J50" s="4">
        <v>0</v>
      </c>
      <c r="K50" s="4"/>
      <c r="L50" s="4"/>
      <c r="M50" s="4"/>
      <c r="N50" s="4"/>
      <c r="O50" s="4">
        <v>0</v>
      </c>
      <c r="P50" s="4"/>
      <c r="Q50" s="4"/>
      <c r="R50" s="4">
        <f t="shared" si="11"/>
        <v>0</v>
      </c>
      <c r="S50">
        <v>48</v>
      </c>
    </row>
    <row r="51" spans="2:19" x14ac:dyDescent="0.3">
      <c r="C51">
        <v>369</v>
      </c>
      <c r="D51" t="s">
        <v>118</v>
      </c>
      <c r="E51" s="4">
        <v>0</v>
      </c>
      <c r="F51" s="4"/>
      <c r="G51" s="4">
        <v>0</v>
      </c>
      <c r="H51" s="4">
        <v>0</v>
      </c>
      <c r="I51" s="4">
        <v>0</v>
      </c>
      <c r="J51" s="4">
        <v>0</v>
      </c>
      <c r="K51" s="4"/>
      <c r="L51" s="4"/>
      <c r="M51" s="4"/>
      <c r="N51" s="4"/>
      <c r="O51" s="4">
        <v>0</v>
      </c>
      <c r="P51" s="4"/>
      <c r="Q51" s="4"/>
      <c r="R51" s="4">
        <f t="shared" si="11"/>
        <v>0</v>
      </c>
      <c r="S51">
        <v>49</v>
      </c>
    </row>
    <row r="52" spans="2:19" x14ac:dyDescent="0.3">
      <c r="E52" s="4"/>
      <c r="F52" s="4"/>
      <c r="G52" s="4"/>
      <c r="H52" s="4"/>
      <c r="I52" s="4"/>
      <c r="J52" s="4"/>
      <c r="K52" s="4"/>
      <c r="L52" s="4"/>
      <c r="M52" s="4"/>
      <c r="N52" s="4"/>
      <c r="O52" s="4"/>
      <c r="P52" s="4"/>
      <c r="Q52" s="4"/>
      <c r="R52" s="4"/>
      <c r="S52">
        <v>50</v>
      </c>
    </row>
    <row r="53" spans="2:19" x14ac:dyDescent="0.3">
      <c r="B53" s="94">
        <v>37</v>
      </c>
      <c r="C53" s="94"/>
      <c r="D53" s="94" t="s">
        <v>119</v>
      </c>
      <c r="E53" s="95">
        <f>E54</f>
        <v>67300</v>
      </c>
      <c r="F53" s="95">
        <f t="shared" ref="F53:R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67300</v>
      </c>
      <c r="S53">
        <v>51</v>
      </c>
    </row>
    <row r="54" spans="2:19" x14ac:dyDescent="0.3">
      <c r="C54">
        <v>370</v>
      </c>
      <c r="D54" t="s">
        <v>120</v>
      </c>
      <c r="E54" s="4">
        <v>67300</v>
      </c>
      <c r="F54" s="4"/>
      <c r="G54" s="4">
        <v>0</v>
      </c>
      <c r="H54" s="4">
        <v>0</v>
      </c>
      <c r="I54" s="4">
        <v>0</v>
      </c>
      <c r="J54" s="4">
        <v>0</v>
      </c>
      <c r="K54" s="4"/>
      <c r="L54" s="4"/>
      <c r="M54" s="4"/>
      <c r="N54" s="4"/>
      <c r="O54" s="4">
        <v>0</v>
      </c>
      <c r="P54" s="4"/>
      <c r="Q54" s="4"/>
      <c r="R54" s="4">
        <f>SUM(E54:Q54)</f>
        <v>67300</v>
      </c>
      <c r="S54">
        <v>52</v>
      </c>
    </row>
    <row r="55" spans="2:19" x14ac:dyDescent="0.3">
      <c r="E55" s="4"/>
      <c r="F55" s="4"/>
      <c r="G55" s="4"/>
      <c r="H55" s="4"/>
      <c r="I55" s="4"/>
      <c r="J55" s="4"/>
      <c r="K55" s="4"/>
      <c r="L55" s="4"/>
      <c r="M55" s="4"/>
      <c r="N55" s="4"/>
      <c r="O55" s="4"/>
      <c r="P55" s="4"/>
      <c r="Q55" s="4"/>
      <c r="R55" s="4"/>
      <c r="S55">
        <v>53</v>
      </c>
    </row>
    <row r="56" spans="2:19" x14ac:dyDescent="0.3">
      <c r="B56" s="94">
        <v>38</v>
      </c>
      <c r="C56" s="94"/>
      <c r="D56" s="94" t="s">
        <v>121</v>
      </c>
      <c r="E56" s="95">
        <f>E57+E58+E59+E60+E61+E62</f>
        <v>0</v>
      </c>
      <c r="F56" s="95">
        <f t="shared" ref="F56:R56" si="13">F57+F58+F59+F60+F61+F62</f>
        <v>0</v>
      </c>
      <c r="G56" s="95">
        <f t="shared" si="13"/>
        <v>0</v>
      </c>
      <c r="H56" s="95">
        <f t="shared" si="13"/>
        <v>0</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v>54</v>
      </c>
    </row>
    <row r="57" spans="2:19" x14ac:dyDescent="0.3">
      <c r="C57">
        <v>380</v>
      </c>
      <c r="D57" t="s">
        <v>122</v>
      </c>
      <c r="E57" s="4">
        <v>0</v>
      </c>
      <c r="F57" s="4"/>
      <c r="G57" s="4">
        <v>0</v>
      </c>
      <c r="H57" s="4">
        <v>0</v>
      </c>
      <c r="I57" s="4">
        <v>0</v>
      </c>
      <c r="J57" s="4">
        <v>0</v>
      </c>
      <c r="K57" s="4"/>
      <c r="L57" s="4"/>
      <c r="M57" s="4"/>
      <c r="N57" s="4"/>
      <c r="O57" s="4">
        <v>0</v>
      </c>
      <c r="P57" s="4"/>
      <c r="Q57" s="4"/>
      <c r="R57" s="4">
        <f t="shared" ref="R57:R62" si="14">SUM(E57:Q57)</f>
        <v>0</v>
      </c>
      <c r="S57">
        <v>55</v>
      </c>
    </row>
    <row r="58" spans="2:19" x14ac:dyDescent="0.3">
      <c r="C58">
        <v>381</v>
      </c>
      <c r="D58" t="s">
        <v>123</v>
      </c>
      <c r="E58" s="4">
        <v>0</v>
      </c>
      <c r="F58" s="4"/>
      <c r="G58" s="4">
        <v>0</v>
      </c>
      <c r="H58" s="4">
        <v>0</v>
      </c>
      <c r="I58" s="4">
        <v>0</v>
      </c>
      <c r="J58" s="4">
        <v>0</v>
      </c>
      <c r="K58" s="4"/>
      <c r="L58" s="4"/>
      <c r="M58" s="4"/>
      <c r="N58" s="4"/>
      <c r="O58" s="4">
        <v>0</v>
      </c>
      <c r="P58" s="4"/>
      <c r="Q58" s="4"/>
      <c r="R58" s="4">
        <f t="shared" si="14"/>
        <v>0</v>
      </c>
      <c r="S58">
        <v>56</v>
      </c>
    </row>
    <row r="59" spans="2:19" x14ac:dyDescent="0.3">
      <c r="C59">
        <v>384</v>
      </c>
      <c r="D59" t="s">
        <v>124</v>
      </c>
      <c r="E59" s="4">
        <v>0</v>
      </c>
      <c r="F59" s="4"/>
      <c r="G59" s="4">
        <v>0</v>
      </c>
      <c r="H59" s="4">
        <v>0</v>
      </c>
      <c r="I59" s="4">
        <v>0</v>
      </c>
      <c r="J59" s="4">
        <v>0</v>
      </c>
      <c r="K59" s="4"/>
      <c r="L59" s="4"/>
      <c r="M59" s="4"/>
      <c r="N59" s="4"/>
      <c r="O59" s="4">
        <v>0</v>
      </c>
      <c r="P59" s="4"/>
      <c r="Q59" s="4"/>
      <c r="R59" s="4">
        <f t="shared" si="14"/>
        <v>0</v>
      </c>
      <c r="S59">
        <v>57</v>
      </c>
    </row>
    <row r="60" spans="2:19" x14ac:dyDescent="0.3">
      <c r="C60">
        <v>385</v>
      </c>
      <c r="D60" t="s">
        <v>125</v>
      </c>
      <c r="E60" s="4">
        <v>0</v>
      </c>
      <c r="F60" s="4"/>
      <c r="G60" s="4">
        <v>0</v>
      </c>
      <c r="H60" s="4">
        <v>0</v>
      </c>
      <c r="I60" s="4">
        <v>0</v>
      </c>
      <c r="J60" s="4">
        <v>0</v>
      </c>
      <c r="K60" s="4"/>
      <c r="L60" s="4"/>
      <c r="M60" s="4"/>
      <c r="N60" s="4"/>
      <c r="O60" s="4">
        <v>0</v>
      </c>
      <c r="P60" s="4"/>
      <c r="Q60" s="4"/>
      <c r="R60" s="4">
        <f t="shared" si="14"/>
        <v>0</v>
      </c>
      <c r="S60">
        <v>58</v>
      </c>
    </row>
    <row r="61" spans="2:19" x14ac:dyDescent="0.3">
      <c r="C61">
        <v>386</v>
      </c>
      <c r="D61" t="s">
        <v>126</v>
      </c>
      <c r="E61" s="4">
        <v>0</v>
      </c>
      <c r="F61" s="4"/>
      <c r="G61" s="4">
        <v>0</v>
      </c>
      <c r="H61" s="4">
        <v>0</v>
      </c>
      <c r="I61" s="4">
        <v>0</v>
      </c>
      <c r="J61" s="4">
        <v>0</v>
      </c>
      <c r="K61" s="4"/>
      <c r="L61" s="4"/>
      <c r="M61" s="4"/>
      <c r="N61" s="4"/>
      <c r="O61" s="4">
        <v>0</v>
      </c>
      <c r="P61" s="4"/>
      <c r="Q61" s="4"/>
      <c r="R61" s="4">
        <f t="shared" si="14"/>
        <v>0</v>
      </c>
      <c r="S61">
        <v>59</v>
      </c>
    </row>
    <row r="62" spans="2:19" x14ac:dyDescent="0.3">
      <c r="C62">
        <v>389</v>
      </c>
      <c r="D62" t="s">
        <v>297</v>
      </c>
      <c r="E62" s="4">
        <v>0</v>
      </c>
      <c r="F62" s="4"/>
      <c r="G62" s="4">
        <v>0</v>
      </c>
      <c r="H62" s="4">
        <v>0</v>
      </c>
      <c r="I62" s="4">
        <v>0</v>
      </c>
      <c r="J62" s="4">
        <v>0</v>
      </c>
      <c r="K62" s="4"/>
      <c r="L62" s="4"/>
      <c r="M62" s="4"/>
      <c r="N62" s="4"/>
      <c r="O62" s="4">
        <v>0</v>
      </c>
      <c r="P62" s="4"/>
      <c r="Q62" s="4"/>
      <c r="R62" s="4">
        <f t="shared" si="14"/>
        <v>0</v>
      </c>
      <c r="S62">
        <v>60</v>
      </c>
    </row>
    <row r="63" spans="2:19" x14ac:dyDescent="0.3">
      <c r="E63" s="4"/>
      <c r="F63" s="4"/>
      <c r="G63" s="4"/>
      <c r="H63" s="4"/>
      <c r="I63" s="4"/>
      <c r="J63" s="4"/>
      <c r="K63" s="4"/>
      <c r="L63" s="4"/>
      <c r="M63" s="4"/>
      <c r="N63" s="4"/>
      <c r="O63" s="4"/>
      <c r="P63" s="4"/>
      <c r="Q63" s="4"/>
      <c r="R63" s="4"/>
      <c r="S63">
        <v>61</v>
      </c>
    </row>
    <row r="64" spans="2:19" x14ac:dyDescent="0.3">
      <c r="B64" s="94">
        <v>39</v>
      </c>
      <c r="C64" s="94"/>
      <c r="D64" s="94" t="s">
        <v>128</v>
      </c>
      <c r="E64" s="95">
        <f>E65+E66+E67+E68+E69+E70+E71+E72</f>
        <v>86767.85</v>
      </c>
      <c r="F64" s="95">
        <f t="shared" ref="F64:R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86767.85</v>
      </c>
      <c r="S64">
        <v>62</v>
      </c>
    </row>
    <row r="65" spans="1:19" x14ac:dyDescent="0.3">
      <c r="C65">
        <v>390</v>
      </c>
      <c r="D65" t="s">
        <v>129</v>
      </c>
      <c r="E65" s="4">
        <v>15634.5</v>
      </c>
      <c r="F65" s="4"/>
      <c r="G65" s="4">
        <v>0</v>
      </c>
      <c r="H65" s="4">
        <v>0</v>
      </c>
      <c r="I65" s="4">
        <v>0</v>
      </c>
      <c r="J65" s="4">
        <v>0</v>
      </c>
      <c r="K65" s="4"/>
      <c r="L65" s="4"/>
      <c r="M65" s="4"/>
      <c r="N65" s="4"/>
      <c r="O65" s="4">
        <v>0</v>
      </c>
      <c r="P65" s="4"/>
      <c r="Q65" s="4"/>
      <c r="R65" s="4">
        <f t="shared" ref="R65:R73" si="16">SUM(E65:Q65)</f>
        <v>15634.5</v>
      </c>
      <c r="S65">
        <v>63</v>
      </c>
    </row>
    <row r="66" spans="1:19" x14ac:dyDescent="0.3">
      <c r="C66">
        <v>391</v>
      </c>
      <c r="D66" t="s">
        <v>130</v>
      </c>
      <c r="E66" s="4">
        <v>71053.350000000006</v>
      </c>
      <c r="F66" s="4"/>
      <c r="G66" s="4">
        <v>0</v>
      </c>
      <c r="H66" s="4">
        <v>0</v>
      </c>
      <c r="I66" s="4">
        <v>0</v>
      </c>
      <c r="J66" s="4">
        <v>0</v>
      </c>
      <c r="K66" s="4"/>
      <c r="L66" s="4"/>
      <c r="M66" s="4"/>
      <c r="N66" s="4"/>
      <c r="O66" s="4">
        <v>0</v>
      </c>
      <c r="P66" s="4"/>
      <c r="Q66" s="4"/>
      <c r="R66" s="4">
        <f t="shared" si="16"/>
        <v>71053.350000000006</v>
      </c>
      <c r="S66">
        <v>64</v>
      </c>
    </row>
    <row r="67" spans="1:19" x14ac:dyDescent="0.3">
      <c r="C67">
        <v>392</v>
      </c>
      <c r="D67" t="s">
        <v>131</v>
      </c>
      <c r="E67" s="4">
        <v>0</v>
      </c>
      <c r="F67" s="4"/>
      <c r="G67" s="4">
        <v>0</v>
      </c>
      <c r="H67" s="4">
        <v>0</v>
      </c>
      <c r="I67" s="4">
        <v>0</v>
      </c>
      <c r="J67" s="4">
        <v>0</v>
      </c>
      <c r="K67" s="4"/>
      <c r="L67" s="4"/>
      <c r="M67" s="4"/>
      <c r="N67" s="4"/>
      <c r="O67" s="4">
        <v>0</v>
      </c>
      <c r="P67" s="4"/>
      <c r="Q67" s="4"/>
      <c r="R67" s="4">
        <f t="shared" si="16"/>
        <v>0</v>
      </c>
      <c r="S67">
        <v>65</v>
      </c>
    </row>
    <row r="68" spans="1:19" x14ac:dyDescent="0.3">
      <c r="C68">
        <v>393</v>
      </c>
      <c r="D68" t="s">
        <v>132</v>
      </c>
      <c r="E68" s="4">
        <v>80</v>
      </c>
      <c r="F68" s="4"/>
      <c r="G68" s="4">
        <v>0</v>
      </c>
      <c r="H68" s="4">
        <v>0</v>
      </c>
      <c r="I68" s="4">
        <v>0</v>
      </c>
      <c r="J68" s="4">
        <v>0</v>
      </c>
      <c r="K68" s="4"/>
      <c r="L68" s="4"/>
      <c r="M68" s="4"/>
      <c r="N68" s="4"/>
      <c r="O68" s="4">
        <v>0</v>
      </c>
      <c r="P68" s="4"/>
      <c r="Q68" s="4"/>
      <c r="R68" s="4">
        <f t="shared" si="16"/>
        <v>80</v>
      </c>
      <c r="S68">
        <v>66</v>
      </c>
    </row>
    <row r="69" spans="1:19" x14ac:dyDescent="0.3">
      <c r="C69">
        <v>394</v>
      </c>
      <c r="D69" t="s">
        <v>133</v>
      </c>
      <c r="E69" s="4">
        <v>0</v>
      </c>
      <c r="F69" s="4"/>
      <c r="G69" s="4">
        <v>0</v>
      </c>
      <c r="H69" s="4">
        <v>0</v>
      </c>
      <c r="I69" s="4">
        <v>0</v>
      </c>
      <c r="J69" s="4">
        <v>0</v>
      </c>
      <c r="K69" s="4"/>
      <c r="L69" s="4"/>
      <c r="M69" s="4"/>
      <c r="N69" s="4"/>
      <c r="O69" s="4">
        <v>0</v>
      </c>
      <c r="P69" s="4"/>
      <c r="Q69" s="4"/>
      <c r="R69" s="4">
        <f t="shared" si="16"/>
        <v>0</v>
      </c>
      <c r="S69">
        <v>67</v>
      </c>
    </row>
    <row r="70" spans="1:19" x14ac:dyDescent="0.3">
      <c r="C70">
        <v>395</v>
      </c>
      <c r="D70" t="s">
        <v>134</v>
      </c>
      <c r="E70" s="4">
        <v>0</v>
      </c>
      <c r="F70" s="4"/>
      <c r="G70" s="4">
        <v>0</v>
      </c>
      <c r="H70" s="4">
        <v>0</v>
      </c>
      <c r="I70" s="4">
        <v>0</v>
      </c>
      <c r="J70" s="4">
        <v>0</v>
      </c>
      <c r="K70" s="4"/>
      <c r="L70" s="4"/>
      <c r="M70" s="4"/>
      <c r="N70" s="4"/>
      <c r="O70" s="4">
        <v>0</v>
      </c>
      <c r="P70" s="4"/>
      <c r="Q70" s="4"/>
      <c r="R70" s="4">
        <f t="shared" si="16"/>
        <v>0</v>
      </c>
      <c r="S70">
        <v>68</v>
      </c>
    </row>
    <row r="71" spans="1:19" x14ac:dyDescent="0.3">
      <c r="C71">
        <v>398</v>
      </c>
      <c r="D71" t="s">
        <v>135</v>
      </c>
      <c r="E71" s="4">
        <v>0</v>
      </c>
      <c r="F71" s="4"/>
      <c r="G71" s="4">
        <v>0</v>
      </c>
      <c r="H71" s="4">
        <v>0</v>
      </c>
      <c r="I71" s="4">
        <v>0</v>
      </c>
      <c r="J71" s="4">
        <v>0</v>
      </c>
      <c r="K71" s="4"/>
      <c r="L71" s="4"/>
      <c r="M71" s="4"/>
      <c r="N71" s="4"/>
      <c r="O71" s="4">
        <v>0</v>
      </c>
      <c r="P71" s="4"/>
      <c r="Q71" s="4"/>
      <c r="R71" s="4">
        <f t="shared" si="16"/>
        <v>0</v>
      </c>
      <c r="S71">
        <v>69</v>
      </c>
    </row>
    <row r="72" spans="1:19" x14ac:dyDescent="0.3">
      <c r="C72">
        <v>399</v>
      </c>
      <c r="D72" t="s">
        <v>136</v>
      </c>
      <c r="E72" s="4">
        <v>0</v>
      </c>
      <c r="F72" s="4"/>
      <c r="G72" s="4">
        <v>0</v>
      </c>
      <c r="H72" s="4">
        <v>0</v>
      </c>
      <c r="I72" s="4">
        <v>0</v>
      </c>
      <c r="J72" s="4">
        <v>0</v>
      </c>
      <c r="K72" s="4"/>
      <c r="L72" s="4"/>
      <c r="M72" s="4"/>
      <c r="N72" s="4"/>
      <c r="O72" s="4">
        <v>0</v>
      </c>
      <c r="P72" s="4"/>
      <c r="Q72" s="4"/>
      <c r="R72" s="4">
        <f t="shared" si="16"/>
        <v>0</v>
      </c>
      <c r="S72">
        <v>70</v>
      </c>
    </row>
    <row r="73" spans="1:19" x14ac:dyDescent="0.3">
      <c r="E73" s="4"/>
      <c r="F73" s="4"/>
      <c r="G73" s="4"/>
      <c r="H73" s="4"/>
      <c r="I73" s="4"/>
      <c r="J73" s="4"/>
      <c r="K73" s="4"/>
      <c r="L73" s="4"/>
      <c r="M73" s="4"/>
      <c r="N73" s="4"/>
      <c r="O73" s="4"/>
      <c r="P73" s="4"/>
      <c r="Q73" s="4"/>
      <c r="R73" s="4">
        <f t="shared" si="16"/>
        <v>0</v>
      </c>
      <c r="S73">
        <v>71</v>
      </c>
    </row>
    <row r="74" spans="1:19" x14ac:dyDescent="0.3">
      <c r="E74" s="4"/>
      <c r="F74" s="4"/>
      <c r="G74" s="4"/>
      <c r="H74" s="4"/>
      <c r="I74" s="4"/>
      <c r="J74" s="4"/>
      <c r="K74" s="4"/>
      <c r="L74" s="4"/>
      <c r="M74" s="4"/>
      <c r="N74" s="4"/>
      <c r="O74" s="4"/>
      <c r="P74" s="4"/>
      <c r="Q74" s="4"/>
      <c r="R74" s="4"/>
      <c r="S74">
        <v>72</v>
      </c>
    </row>
    <row r="75" spans="1:19" ht="21" x14ac:dyDescent="0.4">
      <c r="A75" s="98">
        <v>4</v>
      </c>
      <c r="B75" s="98"/>
      <c r="C75" s="98"/>
      <c r="D75" s="98" t="s">
        <v>137</v>
      </c>
      <c r="E75" s="97">
        <f>E76+E82+E88+E99+E105+E117+E121+E128+E131+E140</f>
        <v>836624.82000000007</v>
      </c>
      <c r="F75" s="97">
        <f t="shared" ref="F75:R75" si="17">F76+F82+F88+F99+F105+F117+F121+F128+F131+F140</f>
        <v>0</v>
      </c>
      <c r="G75" s="97">
        <f t="shared" si="17"/>
        <v>122059.7</v>
      </c>
      <c r="H75" s="97">
        <f t="shared" si="17"/>
        <v>53730.19</v>
      </c>
      <c r="I75" s="97">
        <f t="shared" si="17"/>
        <v>278821.90000000002</v>
      </c>
      <c r="J75" s="97">
        <f t="shared" si="17"/>
        <v>1980996.5999999999</v>
      </c>
      <c r="K75" s="97">
        <f t="shared" si="17"/>
        <v>0</v>
      </c>
      <c r="L75" s="97">
        <f t="shared" si="17"/>
        <v>0</v>
      </c>
      <c r="M75" s="97">
        <f t="shared" si="17"/>
        <v>0</v>
      </c>
      <c r="N75" s="97">
        <f t="shared" si="17"/>
        <v>0</v>
      </c>
      <c r="O75" s="97">
        <f t="shared" si="17"/>
        <v>164791</v>
      </c>
      <c r="P75" s="97">
        <f t="shared" si="17"/>
        <v>0</v>
      </c>
      <c r="Q75" s="97">
        <f t="shared" si="17"/>
        <v>0</v>
      </c>
      <c r="R75" s="97">
        <f t="shared" si="17"/>
        <v>3437024.21</v>
      </c>
      <c r="S75">
        <v>73</v>
      </c>
    </row>
    <row r="76" spans="1:19" x14ac:dyDescent="0.3">
      <c r="A76" s="7"/>
      <c r="B76" s="96">
        <v>40</v>
      </c>
      <c r="C76" s="96"/>
      <c r="D76" s="96" t="s">
        <v>79</v>
      </c>
      <c r="E76" s="91">
        <f>E77+E78+E79+E80</f>
        <v>2475</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2475</v>
      </c>
      <c r="S76">
        <v>74</v>
      </c>
    </row>
    <row r="77" spans="1:19" x14ac:dyDescent="0.3">
      <c r="C77">
        <v>400</v>
      </c>
      <c r="D77" t="s">
        <v>138</v>
      </c>
      <c r="E77" s="4">
        <v>0</v>
      </c>
      <c r="F77" s="4"/>
      <c r="G77" s="4">
        <v>0</v>
      </c>
      <c r="H77" s="4">
        <v>0</v>
      </c>
      <c r="I77" s="4">
        <v>0</v>
      </c>
      <c r="J77" s="4">
        <v>0</v>
      </c>
      <c r="K77" s="4"/>
      <c r="L77" s="4"/>
      <c r="M77" s="4"/>
      <c r="N77" s="4"/>
      <c r="O77" s="4">
        <v>0</v>
      </c>
      <c r="P77" s="4"/>
      <c r="Q77" s="4"/>
      <c r="R77" s="4">
        <f>SUM(E77:Q77)</f>
        <v>0</v>
      </c>
      <c r="S77">
        <v>75</v>
      </c>
    </row>
    <row r="78" spans="1:19" x14ac:dyDescent="0.3">
      <c r="C78">
        <v>401</v>
      </c>
      <c r="D78" t="s">
        <v>139</v>
      </c>
      <c r="E78" s="4">
        <v>0</v>
      </c>
      <c r="F78" s="4"/>
      <c r="G78" s="4">
        <v>0</v>
      </c>
      <c r="H78" s="4">
        <v>0</v>
      </c>
      <c r="I78" s="4">
        <v>0</v>
      </c>
      <c r="J78" s="4">
        <v>0</v>
      </c>
      <c r="K78" s="4"/>
      <c r="L78" s="4"/>
      <c r="M78" s="4"/>
      <c r="N78" s="4"/>
      <c r="O78" s="4">
        <v>0</v>
      </c>
      <c r="P78" s="4"/>
      <c r="Q78" s="4"/>
      <c r="R78" s="4">
        <f>SUM(E78:Q78)</f>
        <v>0</v>
      </c>
      <c r="S78">
        <v>76</v>
      </c>
    </row>
    <row r="79" spans="1:19" x14ac:dyDescent="0.3">
      <c r="C79">
        <v>402</v>
      </c>
      <c r="D79" t="s">
        <v>140</v>
      </c>
      <c r="E79" s="4">
        <v>2475</v>
      </c>
      <c r="F79" s="4"/>
      <c r="G79" s="4">
        <v>0</v>
      </c>
      <c r="H79" s="4">
        <v>0</v>
      </c>
      <c r="I79" s="4">
        <v>0</v>
      </c>
      <c r="J79" s="4">
        <v>0</v>
      </c>
      <c r="K79" s="4"/>
      <c r="L79" s="4"/>
      <c r="M79" s="4"/>
      <c r="N79" s="4"/>
      <c r="O79" s="4">
        <v>0</v>
      </c>
      <c r="P79" s="4"/>
      <c r="Q79" s="4"/>
      <c r="R79" s="4">
        <f>SUM(E79:Q79)</f>
        <v>2475</v>
      </c>
      <c r="S79">
        <v>77</v>
      </c>
    </row>
    <row r="80" spans="1:19" x14ac:dyDescent="0.3">
      <c r="C80">
        <v>403</v>
      </c>
      <c r="D80" t="s">
        <v>141</v>
      </c>
      <c r="E80" s="4">
        <v>0</v>
      </c>
      <c r="F80" s="4"/>
      <c r="G80" s="4">
        <v>0</v>
      </c>
      <c r="H80" s="4">
        <v>0</v>
      </c>
      <c r="I80" s="4">
        <v>0</v>
      </c>
      <c r="J80" s="4">
        <v>0</v>
      </c>
      <c r="K80" s="4"/>
      <c r="L80" s="4"/>
      <c r="M80" s="4"/>
      <c r="N80" s="4"/>
      <c r="O80" s="4">
        <v>0</v>
      </c>
      <c r="P80" s="4"/>
      <c r="Q80" s="4"/>
      <c r="R80" s="4">
        <f>SUM(E80:Q80)</f>
        <v>0</v>
      </c>
      <c r="S80">
        <v>78</v>
      </c>
    </row>
    <row r="81" spans="2:19" x14ac:dyDescent="0.3">
      <c r="E81" s="4"/>
      <c r="F81" s="4"/>
      <c r="G81" s="4"/>
      <c r="H81" s="4"/>
      <c r="I81" s="4"/>
      <c r="J81" s="4"/>
      <c r="K81" s="4"/>
      <c r="L81" s="4"/>
      <c r="M81" s="4"/>
      <c r="N81" s="4"/>
      <c r="O81" s="4"/>
      <c r="P81" s="4"/>
      <c r="Q81" s="4"/>
      <c r="R81" s="4"/>
      <c r="S81">
        <v>79</v>
      </c>
    </row>
    <row r="82" spans="2:19" x14ac:dyDescent="0.3">
      <c r="B82" s="96">
        <v>41</v>
      </c>
      <c r="C82" s="96"/>
      <c r="D82" s="96" t="s">
        <v>142</v>
      </c>
      <c r="E82" s="91">
        <f>E83+E84+E85+E86</f>
        <v>35000</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35000</v>
      </c>
      <c r="S82">
        <v>80</v>
      </c>
    </row>
    <row r="83" spans="2:19" x14ac:dyDescent="0.3">
      <c r="C83">
        <v>410</v>
      </c>
      <c r="D83" t="s">
        <v>143</v>
      </c>
      <c r="E83" s="4">
        <v>0</v>
      </c>
      <c r="F83" s="4"/>
      <c r="G83" s="4">
        <v>0</v>
      </c>
      <c r="H83" s="4">
        <v>0</v>
      </c>
      <c r="I83" s="4">
        <v>0</v>
      </c>
      <c r="J83" s="4">
        <v>0</v>
      </c>
      <c r="K83" s="4"/>
      <c r="L83" s="4"/>
      <c r="M83" s="4"/>
      <c r="N83" s="4"/>
      <c r="O83" s="4">
        <v>0</v>
      </c>
      <c r="P83" s="4"/>
      <c r="Q83" s="4"/>
      <c r="R83" s="4">
        <f>SUM(E83:Q83)</f>
        <v>0</v>
      </c>
      <c r="S83">
        <v>81</v>
      </c>
    </row>
    <row r="84" spans="2:19" x14ac:dyDescent="0.3">
      <c r="C84">
        <v>411</v>
      </c>
      <c r="D84" t="s">
        <v>144</v>
      </c>
      <c r="E84" s="4">
        <v>0</v>
      </c>
      <c r="F84" s="4"/>
      <c r="G84" s="4">
        <v>0</v>
      </c>
      <c r="H84" s="4">
        <v>0</v>
      </c>
      <c r="I84" s="4">
        <v>0</v>
      </c>
      <c r="J84" s="4">
        <v>0</v>
      </c>
      <c r="K84" s="4"/>
      <c r="L84" s="4"/>
      <c r="M84" s="4"/>
      <c r="N84" s="4"/>
      <c r="O84" s="4">
        <v>0</v>
      </c>
      <c r="P84" s="4"/>
      <c r="Q84" s="4"/>
      <c r="R84" s="4">
        <f>SUM(E84:Q84)</f>
        <v>0</v>
      </c>
      <c r="S84">
        <v>82</v>
      </c>
    </row>
    <row r="85" spans="2:19" x14ac:dyDescent="0.3">
      <c r="C85">
        <v>412</v>
      </c>
      <c r="D85" t="s">
        <v>145</v>
      </c>
      <c r="E85" s="4">
        <v>35000</v>
      </c>
      <c r="F85" s="4"/>
      <c r="G85" s="4">
        <v>0</v>
      </c>
      <c r="H85" s="4">
        <v>0</v>
      </c>
      <c r="I85" s="4">
        <v>0</v>
      </c>
      <c r="J85" s="4">
        <v>0</v>
      </c>
      <c r="K85" s="4"/>
      <c r="L85" s="4"/>
      <c r="M85" s="4"/>
      <c r="N85" s="4"/>
      <c r="O85" s="4">
        <v>0</v>
      </c>
      <c r="P85" s="4"/>
      <c r="Q85" s="4"/>
      <c r="R85" s="4">
        <f>SUM(E85:Q85)</f>
        <v>35000</v>
      </c>
      <c r="S85">
        <v>83</v>
      </c>
    </row>
    <row r="86" spans="2:19" x14ac:dyDescent="0.3">
      <c r="C86">
        <v>413</v>
      </c>
      <c r="D86" t="s">
        <v>146</v>
      </c>
      <c r="E86" s="4">
        <v>0</v>
      </c>
      <c r="F86" s="4"/>
      <c r="G86" s="4">
        <v>0</v>
      </c>
      <c r="H86" s="4">
        <v>0</v>
      </c>
      <c r="I86" s="4">
        <v>0</v>
      </c>
      <c r="J86" s="4">
        <v>0</v>
      </c>
      <c r="K86" s="4"/>
      <c r="L86" s="4"/>
      <c r="M86" s="4"/>
      <c r="N86" s="4"/>
      <c r="O86" s="4">
        <v>0</v>
      </c>
      <c r="P86" s="4"/>
      <c r="Q86" s="4"/>
      <c r="R86" s="4">
        <f>SUM(E86:Q86)</f>
        <v>0</v>
      </c>
      <c r="S86">
        <v>84</v>
      </c>
    </row>
    <row r="87" spans="2:19" x14ac:dyDescent="0.3">
      <c r="E87" s="4"/>
      <c r="F87" s="4"/>
      <c r="G87" s="4"/>
      <c r="H87" s="4"/>
      <c r="I87" s="4"/>
      <c r="J87" s="4"/>
      <c r="K87" s="4"/>
      <c r="L87" s="4"/>
      <c r="M87" s="4"/>
      <c r="N87" s="4"/>
      <c r="O87" s="4"/>
      <c r="P87" s="4"/>
      <c r="Q87" s="4"/>
      <c r="R87" s="4"/>
      <c r="S87">
        <v>85</v>
      </c>
    </row>
    <row r="88" spans="2:19" x14ac:dyDescent="0.3">
      <c r="B88" s="96">
        <v>42</v>
      </c>
      <c r="C88" s="96"/>
      <c r="D88" s="96" t="s">
        <v>147</v>
      </c>
      <c r="E88" s="91">
        <f>E89+E90+E91+E92+E93+E94+E95+E96+E97</f>
        <v>212476.87</v>
      </c>
      <c r="F88" s="91">
        <f t="shared" ref="F88:R88" si="20">F89+F90+F91+F92+F93+F94+F95+F96+F97</f>
        <v>0</v>
      </c>
      <c r="G88" s="91">
        <f t="shared" si="20"/>
        <v>48517.599999999999</v>
      </c>
      <c r="H88" s="91">
        <f t="shared" si="20"/>
        <v>11871.25</v>
      </c>
      <c r="I88" s="91">
        <f t="shared" si="20"/>
        <v>110874</v>
      </c>
      <c r="J88" s="91">
        <f t="shared" si="20"/>
        <v>431067</v>
      </c>
      <c r="K88" s="91">
        <f t="shared" si="20"/>
        <v>0</v>
      </c>
      <c r="L88" s="91">
        <f t="shared" si="20"/>
        <v>0</v>
      </c>
      <c r="M88" s="91">
        <f t="shared" si="20"/>
        <v>0</v>
      </c>
      <c r="N88" s="91">
        <f t="shared" si="20"/>
        <v>0</v>
      </c>
      <c r="O88" s="91">
        <f t="shared" si="20"/>
        <v>33072.6</v>
      </c>
      <c r="P88" s="91">
        <f t="shared" si="20"/>
        <v>0</v>
      </c>
      <c r="Q88" s="91">
        <f t="shared" si="20"/>
        <v>0</v>
      </c>
      <c r="R88" s="91">
        <f t="shared" si="20"/>
        <v>847879.31999999983</v>
      </c>
      <c r="S88">
        <v>86</v>
      </c>
    </row>
    <row r="89" spans="2:19" x14ac:dyDescent="0.3">
      <c r="C89">
        <v>420</v>
      </c>
      <c r="D89" t="s">
        <v>148</v>
      </c>
      <c r="E89" s="4">
        <v>0</v>
      </c>
      <c r="F89" s="4"/>
      <c r="G89" s="4">
        <v>0</v>
      </c>
      <c r="H89" s="4">
        <v>0</v>
      </c>
      <c r="I89" s="4">
        <v>0</v>
      </c>
      <c r="J89" s="4">
        <v>0</v>
      </c>
      <c r="K89" s="4"/>
      <c r="L89" s="4"/>
      <c r="M89" s="4"/>
      <c r="N89" s="4"/>
      <c r="O89" s="4">
        <v>0</v>
      </c>
      <c r="P89" s="4"/>
      <c r="Q89" s="4"/>
      <c r="R89" s="4">
        <f t="shared" ref="R89:R97" si="21">SUM(E89:Q89)</f>
        <v>0</v>
      </c>
      <c r="S89">
        <v>87</v>
      </c>
    </row>
    <row r="90" spans="2:19" x14ac:dyDescent="0.3">
      <c r="C90">
        <v>421</v>
      </c>
      <c r="D90" t="s">
        <v>149</v>
      </c>
      <c r="E90" s="4">
        <v>0</v>
      </c>
      <c r="F90" s="4"/>
      <c r="G90" s="4">
        <v>0</v>
      </c>
      <c r="H90" s="4">
        <v>0</v>
      </c>
      <c r="I90" s="4">
        <v>0</v>
      </c>
      <c r="J90" s="4">
        <v>5562</v>
      </c>
      <c r="K90" s="4"/>
      <c r="L90" s="4"/>
      <c r="M90" s="4"/>
      <c r="N90" s="4"/>
      <c r="O90" s="4">
        <v>0</v>
      </c>
      <c r="P90" s="4"/>
      <c r="Q90" s="4"/>
      <c r="R90" s="4">
        <f t="shared" si="21"/>
        <v>5562</v>
      </c>
      <c r="S90">
        <v>88</v>
      </c>
    </row>
    <row r="91" spans="2:19" x14ac:dyDescent="0.3">
      <c r="C91">
        <v>422</v>
      </c>
      <c r="D91" t="s">
        <v>150</v>
      </c>
      <c r="E91" s="4">
        <v>0</v>
      </c>
      <c r="F91" s="4"/>
      <c r="G91" s="4">
        <v>0</v>
      </c>
      <c r="H91" s="4">
        <v>0</v>
      </c>
      <c r="I91" s="4">
        <v>0</v>
      </c>
      <c r="J91" s="4">
        <v>0</v>
      </c>
      <c r="K91" s="4"/>
      <c r="L91" s="4"/>
      <c r="M91" s="4"/>
      <c r="N91" s="4"/>
      <c r="O91" s="4">
        <v>0</v>
      </c>
      <c r="P91" s="4"/>
      <c r="Q91" s="4"/>
      <c r="R91" s="4">
        <f t="shared" si="21"/>
        <v>0</v>
      </c>
      <c r="S91">
        <v>89</v>
      </c>
    </row>
    <row r="92" spans="2:19" x14ac:dyDescent="0.3">
      <c r="C92">
        <v>423</v>
      </c>
      <c r="D92" t="s">
        <v>151</v>
      </c>
      <c r="E92" s="4">
        <v>0</v>
      </c>
      <c r="F92" s="4"/>
      <c r="G92" s="4">
        <v>0</v>
      </c>
      <c r="H92" s="4">
        <v>0</v>
      </c>
      <c r="I92" s="4">
        <v>0</v>
      </c>
      <c r="J92" s="4">
        <v>0</v>
      </c>
      <c r="K92" s="4"/>
      <c r="L92" s="4"/>
      <c r="M92" s="4"/>
      <c r="N92" s="4"/>
      <c r="O92" s="4">
        <v>0</v>
      </c>
      <c r="P92" s="4"/>
      <c r="Q92" s="4"/>
      <c r="R92" s="4">
        <f t="shared" si="21"/>
        <v>0</v>
      </c>
      <c r="S92">
        <v>90</v>
      </c>
    </row>
    <row r="93" spans="2:19" x14ac:dyDescent="0.3">
      <c r="C93">
        <v>424</v>
      </c>
      <c r="D93" t="s">
        <v>152</v>
      </c>
      <c r="E93" s="4">
        <v>29780</v>
      </c>
      <c r="F93" s="4"/>
      <c r="G93" s="4">
        <v>0</v>
      </c>
      <c r="H93" s="4">
        <v>0</v>
      </c>
      <c r="I93" s="4">
        <v>0</v>
      </c>
      <c r="J93" s="4">
        <v>39917.599999999999</v>
      </c>
      <c r="K93" s="4"/>
      <c r="L93" s="4"/>
      <c r="M93" s="4"/>
      <c r="N93" s="4"/>
      <c r="O93" s="4">
        <v>0</v>
      </c>
      <c r="P93" s="4"/>
      <c r="Q93" s="4"/>
      <c r="R93" s="4">
        <f t="shared" si="21"/>
        <v>69697.600000000006</v>
      </c>
      <c r="S93">
        <v>91</v>
      </c>
    </row>
    <row r="94" spans="2:19" x14ac:dyDescent="0.3">
      <c r="C94">
        <v>425</v>
      </c>
      <c r="D94" t="s">
        <v>153</v>
      </c>
      <c r="E94" s="4">
        <v>182696.87</v>
      </c>
      <c r="F94" s="4"/>
      <c r="G94" s="4">
        <v>48380.7</v>
      </c>
      <c r="H94" s="4">
        <v>9551</v>
      </c>
      <c r="I94" s="4">
        <v>84492.9</v>
      </c>
      <c r="J94" s="4">
        <v>328014.95</v>
      </c>
      <c r="K94" s="4"/>
      <c r="L94" s="4"/>
      <c r="M94" s="4"/>
      <c r="N94" s="4"/>
      <c r="O94" s="4">
        <v>33072.6</v>
      </c>
      <c r="P94" s="4"/>
      <c r="Q94" s="4"/>
      <c r="R94" s="4">
        <f t="shared" si="21"/>
        <v>686209.0199999999</v>
      </c>
      <c r="S94">
        <v>92</v>
      </c>
    </row>
    <row r="95" spans="2:19" x14ac:dyDescent="0.3">
      <c r="C95">
        <v>426</v>
      </c>
      <c r="D95" t="s">
        <v>154</v>
      </c>
      <c r="E95" s="4">
        <v>0</v>
      </c>
      <c r="F95" s="4"/>
      <c r="G95" s="4">
        <v>136.9</v>
      </c>
      <c r="H95" s="4">
        <v>2320.25</v>
      </c>
      <c r="I95" s="4">
        <v>26381.1</v>
      </c>
      <c r="J95" s="4">
        <v>57572.45</v>
      </c>
      <c r="K95" s="4"/>
      <c r="L95" s="4"/>
      <c r="M95" s="4"/>
      <c r="N95" s="4"/>
      <c r="O95" s="4">
        <v>0</v>
      </c>
      <c r="P95" s="4"/>
      <c r="Q95" s="4"/>
      <c r="R95" s="4">
        <f t="shared" si="21"/>
        <v>86410.7</v>
      </c>
      <c r="S95">
        <v>93</v>
      </c>
    </row>
    <row r="96" spans="2:19" x14ac:dyDescent="0.3">
      <c r="C96">
        <v>427</v>
      </c>
      <c r="D96" t="s">
        <v>155</v>
      </c>
      <c r="E96" s="4">
        <v>0</v>
      </c>
      <c r="F96" s="4"/>
      <c r="G96" s="4">
        <v>0</v>
      </c>
      <c r="H96" s="4">
        <v>0</v>
      </c>
      <c r="I96" s="4">
        <v>0</v>
      </c>
      <c r="J96" s="4">
        <v>0</v>
      </c>
      <c r="K96" s="4"/>
      <c r="L96" s="4"/>
      <c r="M96" s="4"/>
      <c r="N96" s="4"/>
      <c r="O96" s="4">
        <v>0</v>
      </c>
      <c r="P96" s="4"/>
      <c r="Q96" s="4"/>
      <c r="R96" s="4">
        <f t="shared" si="21"/>
        <v>0</v>
      </c>
      <c r="S96">
        <v>94</v>
      </c>
    </row>
    <row r="97" spans="2:19" x14ac:dyDescent="0.3">
      <c r="C97">
        <v>429</v>
      </c>
      <c r="D97" t="s">
        <v>156</v>
      </c>
      <c r="E97" s="4">
        <v>0</v>
      </c>
      <c r="F97" s="4"/>
      <c r="G97" s="4">
        <v>0</v>
      </c>
      <c r="H97" s="4">
        <v>0</v>
      </c>
      <c r="I97" s="4">
        <v>0</v>
      </c>
      <c r="J97" s="4">
        <v>0</v>
      </c>
      <c r="K97" s="4"/>
      <c r="L97" s="4"/>
      <c r="M97" s="4"/>
      <c r="N97" s="4"/>
      <c r="O97" s="4">
        <v>0</v>
      </c>
      <c r="P97" s="4"/>
      <c r="Q97" s="4"/>
      <c r="R97" s="4">
        <f t="shared" si="21"/>
        <v>0</v>
      </c>
      <c r="S97">
        <v>95</v>
      </c>
    </row>
    <row r="98" spans="2:19" x14ac:dyDescent="0.3">
      <c r="E98" s="4"/>
      <c r="F98" s="4"/>
      <c r="G98" s="4"/>
      <c r="H98" s="4"/>
      <c r="I98" s="4"/>
      <c r="J98" s="4"/>
      <c r="K98" s="4"/>
      <c r="L98" s="4"/>
      <c r="M98" s="4"/>
      <c r="N98" s="4"/>
      <c r="O98" s="4"/>
      <c r="P98" s="4"/>
      <c r="Q98" s="4"/>
      <c r="R98" s="4"/>
      <c r="S98">
        <v>96</v>
      </c>
    </row>
    <row r="99" spans="2:19" x14ac:dyDescent="0.3">
      <c r="B99" s="96">
        <v>43</v>
      </c>
      <c r="C99" s="96"/>
      <c r="D99" s="96" t="s">
        <v>157</v>
      </c>
      <c r="E99" s="91">
        <f>E100+E101+E102+E103</f>
        <v>47102</v>
      </c>
      <c r="F99" s="91">
        <f t="shared" ref="F99:R99" si="22">F100+F101+F102+F103</f>
        <v>0</v>
      </c>
      <c r="G99" s="91">
        <f t="shared" si="22"/>
        <v>0</v>
      </c>
      <c r="H99" s="91">
        <f t="shared" si="22"/>
        <v>0</v>
      </c>
      <c r="I99" s="91">
        <f t="shared" si="22"/>
        <v>0</v>
      </c>
      <c r="J99" s="91">
        <f t="shared" si="22"/>
        <v>0</v>
      </c>
      <c r="K99" s="91">
        <f t="shared" si="22"/>
        <v>0</v>
      </c>
      <c r="L99" s="91">
        <f t="shared" si="22"/>
        <v>0</v>
      </c>
      <c r="M99" s="91">
        <f t="shared" si="22"/>
        <v>0</v>
      </c>
      <c r="N99" s="91">
        <f t="shared" si="22"/>
        <v>0</v>
      </c>
      <c r="O99" s="91">
        <f t="shared" si="22"/>
        <v>0</v>
      </c>
      <c r="P99" s="91">
        <f t="shared" si="22"/>
        <v>0</v>
      </c>
      <c r="Q99" s="91">
        <f t="shared" si="22"/>
        <v>0</v>
      </c>
      <c r="R99" s="91">
        <f t="shared" si="22"/>
        <v>47102</v>
      </c>
      <c r="S99">
        <v>97</v>
      </c>
    </row>
    <row r="100" spans="2:19" x14ac:dyDescent="0.3">
      <c r="C100">
        <v>430</v>
      </c>
      <c r="D100" t="s">
        <v>158</v>
      </c>
      <c r="E100" s="4">
        <v>0</v>
      </c>
      <c r="F100" s="4"/>
      <c r="G100" s="4">
        <v>0</v>
      </c>
      <c r="H100" s="4">
        <v>0</v>
      </c>
      <c r="I100" s="4">
        <v>0</v>
      </c>
      <c r="J100" s="4">
        <v>0</v>
      </c>
      <c r="K100" s="4"/>
      <c r="L100" s="4"/>
      <c r="M100" s="4"/>
      <c r="N100" s="4"/>
      <c r="O100" s="4">
        <v>0</v>
      </c>
      <c r="P100" s="4"/>
      <c r="Q100" s="4"/>
      <c r="R100" s="4">
        <f>SUM(E100:Q100)</f>
        <v>0</v>
      </c>
      <c r="S100">
        <v>98</v>
      </c>
    </row>
    <row r="101" spans="2:19" x14ac:dyDescent="0.3">
      <c r="C101">
        <v>431</v>
      </c>
      <c r="D101" t="s">
        <v>159</v>
      </c>
      <c r="E101" s="4">
        <v>0</v>
      </c>
      <c r="F101" s="4"/>
      <c r="G101" s="4">
        <v>0</v>
      </c>
      <c r="H101" s="4">
        <v>0</v>
      </c>
      <c r="I101" s="4">
        <v>0</v>
      </c>
      <c r="J101" s="4">
        <v>0</v>
      </c>
      <c r="K101" s="4"/>
      <c r="L101" s="4"/>
      <c r="M101" s="4"/>
      <c r="N101" s="4"/>
      <c r="O101" s="4">
        <v>0</v>
      </c>
      <c r="P101" s="4"/>
      <c r="Q101" s="4"/>
      <c r="R101" s="4">
        <f>SUM(E101:Q101)</f>
        <v>0</v>
      </c>
      <c r="S101">
        <v>99</v>
      </c>
    </row>
    <row r="102" spans="2:19" x14ac:dyDescent="0.3">
      <c r="C102">
        <v>432</v>
      </c>
      <c r="D102" t="s">
        <v>160</v>
      </c>
      <c r="E102" s="4">
        <v>47102</v>
      </c>
      <c r="F102" s="4"/>
      <c r="G102" s="4">
        <v>0</v>
      </c>
      <c r="H102" s="4">
        <v>0</v>
      </c>
      <c r="I102" s="4">
        <v>0</v>
      </c>
      <c r="J102" s="4">
        <v>0</v>
      </c>
      <c r="K102" s="4"/>
      <c r="L102" s="4"/>
      <c r="M102" s="4"/>
      <c r="N102" s="4"/>
      <c r="O102" s="4">
        <v>0</v>
      </c>
      <c r="P102" s="4"/>
      <c r="Q102" s="4"/>
      <c r="R102" s="4">
        <f>SUM(E102:Q102)</f>
        <v>47102</v>
      </c>
      <c r="S102">
        <v>100</v>
      </c>
    </row>
    <row r="103" spans="2:19" x14ac:dyDescent="0.3">
      <c r="C103">
        <v>439</v>
      </c>
      <c r="D103" t="s">
        <v>161</v>
      </c>
      <c r="E103" s="4">
        <v>0</v>
      </c>
      <c r="F103" s="4"/>
      <c r="G103" s="4">
        <v>0</v>
      </c>
      <c r="H103" s="4">
        <v>0</v>
      </c>
      <c r="I103" s="4">
        <v>0</v>
      </c>
      <c r="J103" s="4">
        <v>0</v>
      </c>
      <c r="K103" s="4"/>
      <c r="L103" s="4"/>
      <c r="M103" s="4"/>
      <c r="N103" s="4"/>
      <c r="O103" s="4">
        <v>0</v>
      </c>
      <c r="P103" s="4"/>
      <c r="Q103" s="4"/>
      <c r="R103" s="4">
        <f>SUM(E103:Q103)</f>
        <v>0</v>
      </c>
      <c r="S103">
        <v>101</v>
      </c>
    </row>
    <row r="104" spans="2:19" x14ac:dyDescent="0.3">
      <c r="E104" s="4"/>
      <c r="F104" s="4"/>
      <c r="G104" s="4"/>
      <c r="H104" s="4"/>
      <c r="I104" s="4"/>
      <c r="J104" s="4"/>
      <c r="K104" s="4"/>
      <c r="L104" s="4"/>
      <c r="M104" s="4"/>
      <c r="N104" s="4"/>
      <c r="O104" s="4"/>
      <c r="P104" s="4"/>
      <c r="Q104" s="4"/>
      <c r="R104" s="4"/>
      <c r="S104">
        <v>102</v>
      </c>
    </row>
    <row r="105" spans="2:19" x14ac:dyDescent="0.3">
      <c r="B105" s="96">
        <v>44</v>
      </c>
      <c r="C105" s="96"/>
      <c r="D105" s="96" t="s">
        <v>162</v>
      </c>
      <c r="E105" s="91">
        <f>E106+E107+E108+E109+E110+E111+E112+E113+E114+E115</f>
        <v>178267.9</v>
      </c>
      <c r="F105" s="91">
        <f t="shared" ref="F105:R105" si="23">F106+F107+F108+F109+F110+F111+F112+F113+F114+F115</f>
        <v>0</v>
      </c>
      <c r="G105" s="91">
        <f t="shared" si="23"/>
        <v>37739.35</v>
      </c>
      <c r="H105" s="91">
        <f t="shared" si="23"/>
        <v>41858.94</v>
      </c>
      <c r="I105" s="91">
        <f t="shared" si="23"/>
        <v>99080.15</v>
      </c>
      <c r="J105" s="91">
        <f t="shared" si="23"/>
        <v>1125019.2999999998</v>
      </c>
      <c r="K105" s="91">
        <f t="shared" si="23"/>
        <v>0</v>
      </c>
      <c r="L105" s="91">
        <f t="shared" si="23"/>
        <v>0</v>
      </c>
      <c r="M105" s="91">
        <f t="shared" si="23"/>
        <v>0</v>
      </c>
      <c r="N105" s="91">
        <f t="shared" si="23"/>
        <v>0</v>
      </c>
      <c r="O105" s="91">
        <f t="shared" si="23"/>
        <v>127526.39999999999</v>
      </c>
      <c r="P105" s="91">
        <f t="shared" si="23"/>
        <v>0</v>
      </c>
      <c r="Q105" s="91">
        <f t="shared" si="23"/>
        <v>0</v>
      </c>
      <c r="R105" s="91">
        <f t="shared" si="23"/>
        <v>1609492.04</v>
      </c>
      <c r="S105">
        <v>103</v>
      </c>
    </row>
    <row r="106" spans="2:19" x14ac:dyDescent="0.3">
      <c r="C106">
        <v>440</v>
      </c>
      <c r="D106" t="s">
        <v>163</v>
      </c>
      <c r="E106" s="4">
        <v>236.06</v>
      </c>
      <c r="F106" s="4"/>
      <c r="G106" s="4">
        <v>25.9</v>
      </c>
      <c r="H106" s="4">
        <v>121.94</v>
      </c>
      <c r="I106" s="4">
        <v>3.25</v>
      </c>
      <c r="J106" s="4">
        <v>44055.95</v>
      </c>
      <c r="K106" s="4"/>
      <c r="L106" s="4"/>
      <c r="M106" s="4"/>
      <c r="N106" s="4"/>
      <c r="O106" s="4">
        <v>372.9</v>
      </c>
      <c r="P106" s="4"/>
      <c r="Q106" s="4"/>
      <c r="R106" s="4">
        <f t="shared" ref="R106:R115" si="24">SUM(E106:Q106)</f>
        <v>44816</v>
      </c>
      <c r="S106">
        <v>104</v>
      </c>
    </row>
    <row r="107" spans="2:19" x14ac:dyDescent="0.3">
      <c r="C107">
        <v>441</v>
      </c>
      <c r="D107" t="s">
        <v>164</v>
      </c>
      <c r="E107" s="4">
        <v>0</v>
      </c>
      <c r="F107" s="4"/>
      <c r="G107" s="4">
        <v>0</v>
      </c>
      <c r="H107" s="4">
        <v>0</v>
      </c>
      <c r="I107" s="4">
        <v>8250</v>
      </c>
      <c r="J107" s="4">
        <v>17070</v>
      </c>
      <c r="K107" s="4"/>
      <c r="L107" s="4"/>
      <c r="M107" s="4"/>
      <c r="N107" s="4"/>
      <c r="O107" s="4">
        <v>0</v>
      </c>
      <c r="P107" s="4"/>
      <c r="Q107" s="4"/>
      <c r="R107" s="4">
        <f t="shared" si="24"/>
        <v>25320</v>
      </c>
      <c r="S107">
        <v>105</v>
      </c>
    </row>
    <row r="108" spans="2:19" x14ac:dyDescent="0.3">
      <c r="C108">
        <v>442</v>
      </c>
      <c r="D108" t="s">
        <v>165</v>
      </c>
      <c r="E108" s="4">
        <v>0</v>
      </c>
      <c r="F108" s="4"/>
      <c r="G108" s="4">
        <v>0</v>
      </c>
      <c r="H108" s="4">
        <v>0</v>
      </c>
      <c r="I108" s="4">
        <v>0</v>
      </c>
      <c r="J108" s="4">
        <v>3250.65</v>
      </c>
      <c r="K108" s="4"/>
      <c r="L108" s="4"/>
      <c r="M108" s="4"/>
      <c r="N108" s="4"/>
      <c r="O108" s="4">
        <v>0</v>
      </c>
      <c r="P108" s="4"/>
      <c r="Q108" s="4"/>
      <c r="R108" s="4">
        <f t="shared" si="24"/>
        <v>3250.65</v>
      </c>
      <c r="S108">
        <v>106</v>
      </c>
    </row>
    <row r="109" spans="2:19" x14ac:dyDescent="0.3">
      <c r="C109">
        <v>443</v>
      </c>
      <c r="D109" t="s">
        <v>166</v>
      </c>
      <c r="E109" s="4">
        <v>135021.79999999999</v>
      </c>
      <c r="F109" s="4"/>
      <c r="G109" s="4">
        <v>12100</v>
      </c>
      <c r="H109" s="4">
        <v>0</v>
      </c>
      <c r="I109" s="4">
        <v>36811.4</v>
      </c>
      <c r="J109" s="4">
        <v>653106.94999999995</v>
      </c>
      <c r="K109" s="4"/>
      <c r="L109" s="4"/>
      <c r="M109" s="4"/>
      <c r="N109" s="4"/>
      <c r="O109" s="4">
        <v>0</v>
      </c>
      <c r="P109" s="4"/>
      <c r="Q109" s="4"/>
      <c r="R109" s="4">
        <f t="shared" si="24"/>
        <v>837040.14999999991</v>
      </c>
      <c r="S109">
        <v>107</v>
      </c>
    </row>
    <row r="110" spans="2:19" x14ac:dyDescent="0.3">
      <c r="C110">
        <v>444</v>
      </c>
      <c r="D110" t="s">
        <v>106</v>
      </c>
      <c r="E110" s="4">
        <v>0</v>
      </c>
      <c r="F110" s="4"/>
      <c r="G110" s="4">
        <v>0</v>
      </c>
      <c r="H110" s="4">
        <v>0</v>
      </c>
      <c r="I110" s="4">
        <v>0</v>
      </c>
      <c r="J110" s="4">
        <v>0</v>
      </c>
      <c r="K110" s="4"/>
      <c r="L110" s="4"/>
      <c r="M110" s="4"/>
      <c r="N110" s="4"/>
      <c r="O110" s="4">
        <v>0</v>
      </c>
      <c r="P110" s="4"/>
      <c r="Q110" s="4"/>
      <c r="R110" s="4">
        <f t="shared" si="24"/>
        <v>0</v>
      </c>
      <c r="S110">
        <v>108</v>
      </c>
    </row>
    <row r="111" spans="2:19" x14ac:dyDescent="0.3">
      <c r="C111">
        <v>445</v>
      </c>
      <c r="D111" t="s">
        <v>167</v>
      </c>
      <c r="E111" s="4">
        <v>0</v>
      </c>
      <c r="F111" s="4"/>
      <c r="G111" s="4">
        <v>0</v>
      </c>
      <c r="H111" s="4">
        <v>0</v>
      </c>
      <c r="I111" s="4">
        <v>0</v>
      </c>
      <c r="J111" s="4">
        <v>0</v>
      </c>
      <c r="K111" s="4"/>
      <c r="L111" s="4"/>
      <c r="M111" s="4"/>
      <c r="N111" s="4"/>
      <c r="O111" s="4">
        <v>0</v>
      </c>
      <c r="P111" s="4"/>
      <c r="Q111" s="4"/>
      <c r="R111" s="4">
        <f t="shared" si="24"/>
        <v>0</v>
      </c>
      <c r="S111">
        <v>109</v>
      </c>
    </row>
    <row r="112" spans="2:19" x14ac:dyDescent="0.3">
      <c r="C112">
        <v>446</v>
      </c>
      <c r="D112" t="s">
        <v>168</v>
      </c>
      <c r="E112" s="4">
        <v>0</v>
      </c>
      <c r="F112" s="4"/>
      <c r="G112" s="4">
        <v>0</v>
      </c>
      <c r="H112" s="4">
        <v>0</v>
      </c>
      <c r="I112" s="4">
        <v>0</v>
      </c>
      <c r="J112" s="4">
        <v>0</v>
      </c>
      <c r="K112" s="4"/>
      <c r="L112" s="4"/>
      <c r="M112" s="4"/>
      <c r="N112" s="4"/>
      <c r="O112" s="4">
        <v>0</v>
      </c>
      <c r="P112" s="4"/>
      <c r="Q112" s="4"/>
      <c r="R112" s="4">
        <f t="shared" si="24"/>
        <v>0</v>
      </c>
      <c r="S112">
        <v>110</v>
      </c>
    </row>
    <row r="113" spans="2:19" x14ac:dyDescent="0.3">
      <c r="C113">
        <v>447</v>
      </c>
      <c r="D113" t="s">
        <v>169</v>
      </c>
      <c r="E113" s="4">
        <v>43010.04</v>
      </c>
      <c r="F113" s="4"/>
      <c r="G113" s="4">
        <v>25613.45</v>
      </c>
      <c r="H113" s="4">
        <v>41737</v>
      </c>
      <c r="I113" s="4">
        <v>54015.5</v>
      </c>
      <c r="J113" s="4">
        <v>407429.75</v>
      </c>
      <c r="K113" s="4"/>
      <c r="L113" s="4"/>
      <c r="M113" s="4"/>
      <c r="N113" s="4"/>
      <c r="O113" s="4">
        <v>127153.5</v>
      </c>
      <c r="P113" s="4"/>
      <c r="Q113" s="4"/>
      <c r="R113" s="4">
        <f t="shared" si="24"/>
        <v>698959.24</v>
      </c>
      <c r="S113">
        <v>111</v>
      </c>
    </row>
    <row r="114" spans="2:19" x14ac:dyDescent="0.3">
      <c r="C114">
        <v>448</v>
      </c>
      <c r="D114" t="s">
        <v>170</v>
      </c>
      <c r="E114" s="4">
        <v>0</v>
      </c>
      <c r="F114" s="4"/>
      <c r="G114" s="4">
        <v>0</v>
      </c>
      <c r="H114" s="4">
        <v>0</v>
      </c>
      <c r="I114" s="4">
        <v>0</v>
      </c>
      <c r="J114" s="4">
        <v>0</v>
      </c>
      <c r="K114" s="4"/>
      <c r="L114" s="4"/>
      <c r="M114" s="4"/>
      <c r="N114" s="4"/>
      <c r="O114" s="4">
        <v>0</v>
      </c>
      <c r="P114" s="4"/>
      <c r="Q114" s="4"/>
      <c r="R114" s="4">
        <f t="shared" si="24"/>
        <v>0</v>
      </c>
      <c r="S114">
        <v>112</v>
      </c>
    </row>
    <row r="115" spans="2:19" x14ac:dyDescent="0.3">
      <c r="C115">
        <v>449</v>
      </c>
      <c r="D115" t="s">
        <v>171</v>
      </c>
      <c r="E115" s="4">
        <v>0</v>
      </c>
      <c r="F115" s="4"/>
      <c r="G115" s="4">
        <v>0</v>
      </c>
      <c r="H115" s="4">
        <v>0</v>
      </c>
      <c r="I115" s="4">
        <v>0</v>
      </c>
      <c r="J115" s="4">
        <v>106</v>
      </c>
      <c r="K115" s="4"/>
      <c r="L115" s="4"/>
      <c r="M115" s="4"/>
      <c r="N115" s="4"/>
      <c r="O115" s="4">
        <v>0</v>
      </c>
      <c r="P115" s="4"/>
      <c r="Q115" s="4"/>
      <c r="R115" s="4">
        <f t="shared" si="24"/>
        <v>106</v>
      </c>
      <c r="S115">
        <v>113</v>
      </c>
    </row>
    <row r="116" spans="2:19" x14ac:dyDescent="0.3">
      <c r="E116" s="4"/>
      <c r="F116" s="4"/>
      <c r="G116" s="4"/>
      <c r="H116" s="4"/>
      <c r="I116" s="4"/>
      <c r="J116" s="4"/>
      <c r="K116" s="4"/>
      <c r="L116" s="4"/>
      <c r="M116" s="4"/>
      <c r="N116" s="4"/>
      <c r="O116" s="4"/>
      <c r="P116" s="4"/>
      <c r="Q116" s="4"/>
      <c r="R116" s="4"/>
      <c r="S116">
        <v>114</v>
      </c>
    </row>
    <row r="117" spans="2:19" x14ac:dyDescent="0.3">
      <c r="B117" s="96">
        <v>45</v>
      </c>
      <c r="C117" s="96"/>
      <c r="D117" s="96" t="s">
        <v>174</v>
      </c>
      <c r="E117" s="91">
        <f>E118+E119</f>
        <v>0</v>
      </c>
      <c r="F117" s="91">
        <f t="shared" ref="F117:R117" si="25">F118+F119</f>
        <v>0</v>
      </c>
      <c r="G117" s="91">
        <f t="shared" si="25"/>
        <v>27625.55</v>
      </c>
      <c r="H117" s="91">
        <f t="shared" si="25"/>
        <v>0</v>
      </c>
      <c r="I117" s="91">
        <f t="shared" si="25"/>
        <v>45906.85</v>
      </c>
      <c r="J117" s="91">
        <f t="shared" si="25"/>
        <v>64520.05</v>
      </c>
      <c r="K117" s="91">
        <f t="shared" si="25"/>
        <v>0</v>
      </c>
      <c r="L117" s="91">
        <f t="shared" si="25"/>
        <v>0</v>
      </c>
      <c r="M117" s="91">
        <f t="shared" si="25"/>
        <v>0</v>
      </c>
      <c r="N117" s="91">
        <f t="shared" si="25"/>
        <v>0</v>
      </c>
      <c r="O117" s="91">
        <f t="shared" si="25"/>
        <v>0</v>
      </c>
      <c r="P117" s="91">
        <f t="shared" si="25"/>
        <v>0</v>
      </c>
      <c r="Q117" s="91">
        <f t="shared" si="25"/>
        <v>0</v>
      </c>
      <c r="R117" s="91">
        <f t="shared" si="25"/>
        <v>138052.44999999998</v>
      </c>
      <c r="S117">
        <v>115</v>
      </c>
    </row>
    <row r="118" spans="2:19" x14ac:dyDescent="0.3">
      <c r="C118">
        <v>450</v>
      </c>
      <c r="D118" t="s">
        <v>172</v>
      </c>
      <c r="E118" s="4">
        <v>0</v>
      </c>
      <c r="F118" s="4"/>
      <c r="G118" s="4">
        <v>27625.55</v>
      </c>
      <c r="H118" s="4">
        <v>0</v>
      </c>
      <c r="I118" s="4">
        <v>0</v>
      </c>
      <c r="J118" s="4">
        <v>0</v>
      </c>
      <c r="K118" s="4"/>
      <c r="L118" s="4"/>
      <c r="M118" s="4"/>
      <c r="N118" s="4"/>
      <c r="O118" s="4">
        <v>0</v>
      </c>
      <c r="P118" s="4"/>
      <c r="Q118" s="4"/>
      <c r="R118" s="4">
        <f>SUM(E118:Q118)</f>
        <v>27625.55</v>
      </c>
      <c r="S118">
        <v>116</v>
      </c>
    </row>
    <row r="119" spans="2:19" x14ac:dyDescent="0.3">
      <c r="C119">
        <v>451</v>
      </c>
      <c r="D119" t="s">
        <v>173</v>
      </c>
      <c r="E119" s="4">
        <v>0</v>
      </c>
      <c r="F119" s="4"/>
      <c r="G119" s="4">
        <v>0</v>
      </c>
      <c r="H119" s="4">
        <v>0</v>
      </c>
      <c r="I119" s="4">
        <v>45906.85</v>
      </c>
      <c r="J119" s="4">
        <v>64520.05</v>
      </c>
      <c r="K119" s="4"/>
      <c r="L119" s="4"/>
      <c r="M119" s="4"/>
      <c r="N119" s="4"/>
      <c r="O119" s="4">
        <v>0</v>
      </c>
      <c r="P119" s="4"/>
      <c r="Q119" s="4"/>
      <c r="R119" s="4">
        <f>SUM(E119:Q119)</f>
        <v>110426.9</v>
      </c>
      <c r="S119">
        <v>117</v>
      </c>
    </row>
    <row r="120" spans="2:19" x14ac:dyDescent="0.3">
      <c r="E120" s="4"/>
      <c r="F120" s="4"/>
      <c r="G120" s="4"/>
      <c r="H120" s="4"/>
      <c r="I120" s="4"/>
      <c r="J120" s="4"/>
      <c r="K120" s="4"/>
      <c r="L120" s="4"/>
      <c r="M120" s="4"/>
      <c r="N120" s="4"/>
      <c r="O120" s="4"/>
      <c r="P120" s="4"/>
      <c r="Q120" s="4"/>
      <c r="R120" s="4"/>
      <c r="S120">
        <v>118</v>
      </c>
    </row>
    <row r="121" spans="2:19" x14ac:dyDescent="0.3">
      <c r="B121" s="96">
        <v>46</v>
      </c>
      <c r="C121" s="96"/>
      <c r="D121" s="96" t="s">
        <v>175</v>
      </c>
      <c r="E121" s="91">
        <f>E122+E123+E124+E125+E126</f>
        <v>178675.80000000002</v>
      </c>
      <c r="F121" s="91">
        <f t="shared" ref="F121:R121" si="26">F122+F123+F124+F125+F126</f>
        <v>0</v>
      </c>
      <c r="G121" s="91">
        <f t="shared" si="26"/>
        <v>8177.2</v>
      </c>
      <c r="H121" s="91">
        <f t="shared" si="26"/>
        <v>0</v>
      </c>
      <c r="I121" s="91">
        <f t="shared" si="26"/>
        <v>22960.899999999998</v>
      </c>
      <c r="J121" s="91">
        <f t="shared" si="26"/>
        <v>360390.25</v>
      </c>
      <c r="K121" s="91">
        <f t="shared" si="26"/>
        <v>0</v>
      </c>
      <c r="L121" s="91">
        <f t="shared" si="26"/>
        <v>0</v>
      </c>
      <c r="M121" s="91">
        <f t="shared" si="26"/>
        <v>0</v>
      </c>
      <c r="N121" s="91">
        <f t="shared" si="26"/>
        <v>0</v>
      </c>
      <c r="O121" s="91">
        <f t="shared" si="26"/>
        <v>4192</v>
      </c>
      <c r="P121" s="91">
        <f t="shared" si="26"/>
        <v>0</v>
      </c>
      <c r="Q121" s="91">
        <f t="shared" si="26"/>
        <v>0</v>
      </c>
      <c r="R121" s="91">
        <f t="shared" si="26"/>
        <v>574396.15</v>
      </c>
      <c r="S121">
        <v>119</v>
      </c>
    </row>
    <row r="122" spans="2:19" x14ac:dyDescent="0.3">
      <c r="C122">
        <v>460</v>
      </c>
      <c r="D122" t="s">
        <v>176</v>
      </c>
      <c r="E122" s="4">
        <v>0</v>
      </c>
      <c r="F122" s="4"/>
      <c r="G122" s="4">
        <v>0</v>
      </c>
      <c r="H122" s="4">
        <v>0</v>
      </c>
      <c r="I122" s="4">
        <v>0</v>
      </c>
      <c r="J122" s="4">
        <v>0</v>
      </c>
      <c r="K122" s="4"/>
      <c r="L122" s="4"/>
      <c r="M122" s="4"/>
      <c r="N122" s="4"/>
      <c r="O122" s="4">
        <v>0</v>
      </c>
      <c r="P122" s="4"/>
      <c r="Q122" s="4"/>
      <c r="R122" s="4">
        <f>SUM(E122:Q122)</f>
        <v>0</v>
      </c>
      <c r="S122">
        <v>120</v>
      </c>
    </row>
    <row r="123" spans="2:19" x14ac:dyDescent="0.3">
      <c r="C123">
        <v>461</v>
      </c>
      <c r="D123" t="s">
        <v>177</v>
      </c>
      <c r="E123" s="4">
        <v>700</v>
      </c>
      <c r="F123" s="4"/>
      <c r="G123" s="4">
        <v>0</v>
      </c>
      <c r="H123" s="4">
        <v>0</v>
      </c>
      <c r="I123" s="4">
        <v>670.95</v>
      </c>
      <c r="J123" s="4">
        <v>0</v>
      </c>
      <c r="K123" s="4"/>
      <c r="L123" s="4"/>
      <c r="M123" s="4"/>
      <c r="N123" s="4"/>
      <c r="O123" s="4">
        <v>0</v>
      </c>
      <c r="P123" s="4"/>
      <c r="Q123" s="4"/>
      <c r="R123" s="4">
        <f>SUM(E123:Q123)</f>
        <v>1370.95</v>
      </c>
      <c r="S123">
        <v>121</v>
      </c>
    </row>
    <row r="124" spans="2:19" x14ac:dyDescent="0.3">
      <c r="C124">
        <v>462</v>
      </c>
      <c r="D124" t="s">
        <v>113</v>
      </c>
      <c r="E124" s="4">
        <v>0</v>
      </c>
      <c r="F124" s="4"/>
      <c r="G124" s="4">
        <v>0</v>
      </c>
      <c r="H124" s="4">
        <v>0</v>
      </c>
      <c r="I124" s="4">
        <v>0</v>
      </c>
      <c r="J124" s="4">
        <v>0</v>
      </c>
      <c r="K124" s="4"/>
      <c r="L124" s="4"/>
      <c r="M124" s="4"/>
      <c r="N124" s="4"/>
      <c r="O124" s="4">
        <v>0</v>
      </c>
      <c r="P124" s="4"/>
      <c r="Q124" s="4"/>
      <c r="R124" s="4">
        <f>SUM(E124:Q124)</f>
        <v>0</v>
      </c>
      <c r="S124">
        <v>122</v>
      </c>
    </row>
    <row r="125" spans="2:19" x14ac:dyDescent="0.3">
      <c r="C125">
        <v>463</v>
      </c>
      <c r="D125" t="s">
        <v>178</v>
      </c>
      <c r="E125" s="4">
        <v>175762.85</v>
      </c>
      <c r="F125" s="4"/>
      <c r="G125" s="4">
        <v>7109.45</v>
      </c>
      <c r="H125" s="4">
        <v>0</v>
      </c>
      <c r="I125" s="4">
        <v>21204.85</v>
      </c>
      <c r="J125" s="4">
        <v>360390.25</v>
      </c>
      <c r="K125" s="4"/>
      <c r="L125" s="4"/>
      <c r="M125" s="4"/>
      <c r="N125" s="4"/>
      <c r="O125" s="4">
        <v>3162.5</v>
      </c>
      <c r="P125" s="4"/>
      <c r="Q125" s="4"/>
      <c r="R125" s="4">
        <f>SUM(E125:Q125)</f>
        <v>567629.9</v>
      </c>
      <c r="S125">
        <v>123</v>
      </c>
    </row>
    <row r="126" spans="2:19" x14ac:dyDescent="0.3">
      <c r="C126">
        <v>469</v>
      </c>
      <c r="D126" t="s">
        <v>179</v>
      </c>
      <c r="E126" s="4">
        <v>2212.9499999999998</v>
      </c>
      <c r="F126" s="4"/>
      <c r="G126" s="4">
        <v>1067.75</v>
      </c>
      <c r="H126" s="4">
        <v>0</v>
      </c>
      <c r="I126" s="4">
        <v>1085.0999999999999</v>
      </c>
      <c r="J126" s="4">
        <v>0</v>
      </c>
      <c r="K126" s="4"/>
      <c r="L126" s="4"/>
      <c r="M126" s="4"/>
      <c r="N126" s="4"/>
      <c r="O126" s="4">
        <v>1029.5</v>
      </c>
      <c r="P126" s="4"/>
      <c r="Q126" s="4"/>
      <c r="R126" s="4">
        <f>SUM(E126:Q126)</f>
        <v>5395.2999999999993</v>
      </c>
      <c r="S126">
        <v>124</v>
      </c>
    </row>
    <row r="127" spans="2:19" x14ac:dyDescent="0.3">
      <c r="E127" s="4"/>
      <c r="F127" s="4"/>
      <c r="G127" s="4"/>
      <c r="H127" s="4"/>
      <c r="I127" s="4"/>
      <c r="J127" s="4"/>
      <c r="K127" s="4"/>
      <c r="L127" s="4"/>
      <c r="M127" s="4"/>
      <c r="N127" s="4"/>
      <c r="O127" s="4"/>
      <c r="P127" s="4"/>
      <c r="Q127" s="4"/>
      <c r="R127" s="4"/>
      <c r="S127">
        <v>125</v>
      </c>
    </row>
    <row r="128" spans="2:19" x14ac:dyDescent="0.3">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v>126</v>
      </c>
    </row>
    <row r="129" spans="2:19" x14ac:dyDescent="0.3">
      <c r="C129">
        <v>470</v>
      </c>
      <c r="D129" t="s">
        <v>180</v>
      </c>
      <c r="E129" s="4">
        <v>0</v>
      </c>
      <c r="F129" s="4"/>
      <c r="G129" s="4">
        <v>0</v>
      </c>
      <c r="H129" s="4">
        <v>0</v>
      </c>
      <c r="I129" s="4">
        <v>0</v>
      </c>
      <c r="J129" s="4">
        <v>0</v>
      </c>
      <c r="K129" s="4"/>
      <c r="L129" s="4"/>
      <c r="M129" s="4"/>
      <c r="N129" s="4"/>
      <c r="O129" s="4">
        <v>0</v>
      </c>
      <c r="P129" s="4"/>
      <c r="Q129" s="4"/>
      <c r="R129" s="4">
        <f>SUM(E129:Q129)</f>
        <v>0</v>
      </c>
      <c r="S129">
        <v>127</v>
      </c>
    </row>
    <row r="130" spans="2:19" x14ac:dyDescent="0.3">
      <c r="E130" s="4"/>
      <c r="F130" s="4"/>
      <c r="G130" s="4"/>
      <c r="H130" s="4"/>
      <c r="I130" s="4"/>
      <c r="J130" s="4"/>
      <c r="K130" s="4"/>
      <c r="L130" s="4"/>
      <c r="M130" s="4"/>
      <c r="N130" s="4"/>
      <c r="O130" s="4"/>
      <c r="P130" s="4"/>
      <c r="Q130" s="4"/>
      <c r="R130" s="4"/>
      <c r="S130">
        <v>128</v>
      </c>
    </row>
    <row r="131" spans="2:19" x14ac:dyDescent="0.3">
      <c r="B131" s="96">
        <v>48</v>
      </c>
      <c r="C131" s="96"/>
      <c r="D131" s="96" t="s">
        <v>181</v>
      </c>
      <c r="E131" s="91">
        <f>E132+E133+E134+E135+E136+E137+E138</f>
        <v>71400</v>
      </c>
      <c r="F131" s="91">
        <f t="shared" ref="F131:R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71400</v>
      </c>
      <c r="S131">
        <v>129</v>
      </c>
    </row>
    <row r="132" spans="2:19" x14ac:dyDescent="0.3">
      <c r="C132">
        <v>481</v>
      </c>
      <c r="D132" t="s">
        <v>182</v>
      </c>
      <c r="E132" s="4">
        <v>0</v>
      </c>
      <c r="F132" s="4"/>
      <c r="G132" s="4">
        <v>0</v>
      </c>
      <c r="H132" s="4">
        <v>0</v>
      </c>
      <c r="I132" s="4">
        <v>0</v>
      </c>
      <c r="J132" s="4">
        <v>0</v>
      </c>
      <c r="K132" s="4"/>
      <c r="L132" s="4"/>
      <c r="M132" s="4"/>
      <c r="N132" s="4"/>
      <c r="O132" s="4">
        <v>0</v>
      </c>
      <c r="P132" s="4"/>
      <c r="Q132" s="4"/>
      <c r="R132" s="4">
        <f t="shared" ref="R132:R138" si="29">SUM(E132:Q132)</f>
        <v>0</v>
      </c>
      <c r="S132">
        <v>130</v>
      </c>
    </row>
    <row r="133" spans="2:19" x14ac:dyDescent="0.3">
      <c r="C133">
        <v>482</v>
      </c>
      <c r="D133" t="s">
        <v>183</v>
      </c>
      <c r="E133" s="4">
        <v>0</v>
      </c>
      <c r="F133" s="4"/>
      <c r="G133" s="4">
        <v>0</v>
      </c>
      <c r="H133" s="4">
        <v>0</v>
      </c>
      <c r="I133" s="4">
        <v>0</v>
      </c>
      <c r="J133" s="4">
        <v>0</v>
      </c>
      <c r="K133" s="4"/>
      <c r="L133" s="4"/>
      <c r="M133" s="4"/>
      <c r="N133" s="4"/>
      <c r="O133" s="4">
        <v>0</v>
      </c>
      <c r="P133" s="4"/>
      <c r="Q133" s="4"/>
      <c r="R133" s="4">
        <f t="shared" si="29"/>
        <v>0</v>
      </c>
      <c r="S133">
        <v>131</v>
      </c>
    </row>
    <row r="134" spans="2:19" x14ac:dyDescent="0.3">
      <c r="C134">
        <v>483</v>
      </c>
      <c r="D134" t="s">
        <v>184</v>
      </c>
      <c r="E134" s="4">
        <v>0</v>
      </c>
      <c r="F134" s="4"/>
      <c r="G134" s="4">
        <v>0</v>
      </c>
      <c r="H134" s="4">
        <v>0</v>
      </c>
      <c r="I134" s="4">
        <v>0</v>
      </c>
      <c r="J134" s="4">
        <v>0</v>
      </c>
      <c r="K134" s="4"/>
      <c r="L134" s="4"/>
      <c r="M134" s="4"/>
      <c r="N134" s="4"/>
      <c r="O134" s="4">
        <v>0</v>
      </c>
      <c r="P134" s="4"/>
      <c r="Q134" s="4"/>
      <c r="R134" s="4">
        <f t="shared" si="29"/>
        <v>0</v>
      </c>
      <c r="S134">
        <v>132</v>
      </c>
    </row>
    <row r="135" spans="2:19" x14ac:dyDescent="0.3">
      <c r="C135">
        <v>484</v>
      </c>
      <c r="D135" t="s">
        <v>185</v>
      </c>
      <c r="E135" s="4">
        <v>71400</v>
      </c>
      <c r="F135" s="4"/>
      <c r="G135" s="4">
        <v>0</v>
      </c>
      <c r="H135" s="4">
        <v>0</v>
      </c>
      <c r="I135" s="4">
        <v>0</v>
      </c>
      <c r="J135" s="4">
        <v>0</v>
      </c>
      <c r="K135" s="4"/>
      <c r="L135" s="4"/>
      <c r="M135" s="4"/>
      <c r="N135" s="4"/>
      <c r="O135" s="4">
        <v>0</v>
      </c>
      <c r="P135" s="4"/>
      <c r="Q135" s="4"/>
      <c r="R135" s="4">
        <f t="shared" si="29"/>
        <v>71400</v>
      </c>
      <c r="S135">
        <v>133</v>
      </c>
    </row>
    <row r="136" spans="2:19" x14ac:dyDescent="0.3">
      <c r="C136">
        <v>485</v>
      </c>
      <c r="D136" t="s">
        <v>186</v>
      </c>
      <c r="E136" s="4">
        <v>0</v>
      </c>
      <c r="F136" s="4"/>
      <c r="G136" s="4">
        <v>0</v>
      </c>
      <c r="H136" s="4">
        <v>0</v>
      </c>
      <c r="I136" s="4">
        <v>0</v>
      </c>
      <c r="J136" s="4">
        <v>0</v>
      </c>
      <c r="K136" s="4"/>
      <c r="L136" s="4"/>
      <c r="M136" s="4"/>
      <c r="N136" s="4"/>
      <c r="O136" s="4">
        <v>0</v>
      </c>
      <c r="P136" s="4"/>
      <c r="Q136" s="4"/>
      <c r="R136" s="4">
        <f t="shared" si="29"/>
        <v>0</v>
      </c>
      <c r="S136">
        <v>134</v>
      </c>
    </row>
    <row r="137" spans="2:19" x14ac:dyDescent="0.3">
      <c r="C137">
        <v>486</v>
      </c>
      <c r="D137" t="s">
        <v>187</v>
      </c>
      <c r="E137" s="4">
        <v>0</v>
      </c>
      <c r="F137" s="4"/>
      <c r="G137" s="4">
        <v>0</v>
      </c>
      <c r="H137" s="4">
        <v>0</v>
      </c>
      <c r="I137" s="4">
        <v>0</v>
      </c>
      <c r="J137" s="4">
        <v>0</v>
      </c>
      <c r="K137" s="4"/>
      <c r="L137" s="4"/>
      <c r="M137" s="4"/>
      <c r="N137" s="4"/>
      <c r="O137" s="4">
        <v>0</v>
      </c>
      <c r="P137" s="4"/>
      <c r="Q137" s="4"/>
      <c r="R137" s="4">
        <f t="shared" si="29"/>
        <v>0</v>
      </c>
      <c r="S137">
        <v>135</v>
      </c>
    </row>
    <row r="138" spans="2:19" x14ac:dyDescent="0.3">
      <c r="C138">
        <v>489</v>
      </c>
      <c r="D138" t="s">
        <v>188</v>
      </c>
      <c r="E138" s="4">
        <v>0</v>
      </c>
      <c r="F138" s="4"/>
      <c r="G138" s="4">
        <v>0</v>
      </c>
      <c r="H138" s="4">
        <v>0</v>
      </c>
      <c r="I138" s="4">
        <v>0</v>
      </c>
      <c r="J138" s="4">
        <v>0</v>
      </c>
      <c r="K138" s="4"/>
      <c r="L138" s="4"/>
      <c r="M138" s="4"/>
      <c r="N138" s="4"/>
      <c r="O138" s="4">
        <v>0</v>
      </c>
      <c r="P138" s="4"/>
      <c r="Q138" s="4"/>
      <c r="R138" s="4">
        <f t="shared" si="29"/>
        <v>0</v>
      </c>
      <c r="S138">
        <v>136</v>
      </c>
    </row>
    <row r="139" spans="2:19" x14ac:dyDescent="0.3">
      <c r="E139" s="4"/>
      <c r="F139" s="4"/>
      <c r="G139" s="4"/>
      <c r="H139" s="4"/>
      <c r="I139" s="4"/>
      <c r="J139" s="4"/>
      <c r="K139" s="4"/>
      <c r="L139" s="4"/>
      <c r="M139" s="4"/>
      <c r="N139" s="4"/>
      <c r="O139" s="4"/>
      <c r="P139" s="4"/>
      <c r="Q139" s="4"/>
      <c r="R139" s="4"/>
      <c r="S139">
        <v>137</v>
      </c>
    </row>
    <row r="140" spans="2:19" x14ac:dyDescent="0.3">
      <c r="B140" s="96">
        <v>49</v>
      </c>
      <c r="C140" s="96"/>
      <c r="D140" s="96" t="s">
        <v>128</v>
      </c>
      <c r="E140" s="91">
        <f>E141+E142+E143+E144+E145+E146+E147+E148</f>
        <v>111227.25</v>
      </c>
      <c r="F140" s="91">
        <f t="shared" ref="F140:R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111227.25</v>
      </c>
      <c r="S140">
        <v>138</v>
      </c>
    </row>
    <row r="141" spans="2:19" x14ac:dyDescent="0.3">
      <c r="C141">
        <v>490</v>
      </c>
      <c r="D141" t="s">
        <v>129</v>
      </c>
      <c r="E141" s="4">
        <v>46093.599999999999</v>
      </c>
      <c r="F141" s="4"/>
      <c r="G141" s="4">
        <v>0</v>
      </c>
      <c r="H141" s="4">
        <v>0</v>
      </c>
      <c r="I141" s="4">
        <v>0</v>
      </c>
      <c r="J141" s="4">
        <v>0</v>
      </c>
      <c r="K141" s="4"/>
      <c r="L141" s="4"/>
      <c r="M141" s="4"/>
      <c r="N141" s="4"/>
      <c r="O141" s="4">
        <v>0</v>
      </c>
      <c r="P141" s="4"/>
      <c r="Q141" s="4"/>
      <c r="R141" s="4">
        <f t="shared" ref="R141:R148" si="31">SUM(E141:Q141)</f>
        <v>46093.599999999999</v>
      </c>
      <c r="S141">
        <v>139</v>
      </c>
    </row>
    <row r="142" spans="2:19" x14ac:dyDescent="0.3">
      <c r="C142">
        <v>491</v>
      </c>
      <c r="D142" t="s">
        <v>130</v>
      </c>
      <c r="E142" s="4">
        <v>65013.65</v>
      </c>
      <c r="F142" s="4"/>
      <c r="G142" s="4">
        <v>0</v>
      </c>
      <c r="H142" s="4">
        <v>0</v>
      </c>
      <c r="I142" s="4">
        <v>0</v>
      </c>
      <c r="J142" s="4">
        <v>0</v>
      </c>
      <c r="K142" s="4"/>
      <c r="L142" s="4"/>
      <c r="M142" s="4"/>
      <c r="N142" s="4"/>
      <c r="O142" s="4">
        <v>0</v>
      </c>
      <c r="P142" s="4"/>
      <c r="Q142" s="4"/>
      <c r="R142" s="4">
        <f t="shared" si="31"/>
        <v>65013.65</v>
      </c>
      <c r="S142">
        <v>140</v>
      </c>
    </row>
    <row r="143" spans="2:19" x14ac:dyDescent="0.3">
      <c r="C143">
        <v>492</v>
      </c>
      <c r="D143" t="s">
        <v>189</v>
      </c>
      <c r="E143" s="4">
        <v>120</v>
      </c>
      <c r="F143" s="4"/>
      <c r="G143" s="4">
        <v>0</v>
      </c>
      <c r="H143" s="4">
        <v>0</v>
      </c>
      <c r="I143" s="4">
        <v>0</v>
      </c>
      <c r="J143" s="4">
        <v>0</v>
      </c>
      <c r="K143" s="4"/>
      <c r="L143" s="4"/>
      <c r="M143" s="4"/>
      <c r="N143" s="4"/>
      <c r="O143" s="4">
        <v>0</v>
      </c>
      <c r="P143" s="4"/>
      <c r="Q143" s="4"/>
      <c r="R143" s="4">
        <f t="shared" si="31"/>
        <v>120</v>
      </c>
      <c r="S143">
        <v>141</v>
      </c>
    </row>
    <row r="144" spans="2:19" x14ac:dyDescent="0.3">
      <c r="C144">
        <v>493</v>
      </c>
      <c r="D144" t="s">
        <v>190</v>
      </c>
      <c r="E144" s="4">
        <v>0</v>
      </c>
      <c r="F144" s="4"/>
      <c r="G144" s="4">
        <v>0</v>
      </c>
      <c r="H144" s="4">
        <v>0</v>
      </c>
      <c r="I144" s="4">
        <v>0</v>
      </c>
      <c r="J144" s="4">
        <v>0</v>
      </c>
      <c r="K144" s="4"/>
      <c r="L144" s="4"/>
      <c r="M144" s="4"/>
      <c r="N144" s="4"/>
      <c r="O144" s="4">
        <v>0</v>
      </c>
      <c r="P144" s="4"/>
      <c r="Q144" s="4"/>
      <c r="R144" s="4">
        <f t="shared" si="31"/>
        <v>0</v>
      </c>
      <c r="S144">
        <v>142</v>
      </c>
    </row>
    <row r="145" spans="1:19" x14ac:dyDescent="0.3">
      <c r="C145">
        <v>494</v>
      </c>
      <c r="D145" t="s">
        <v>133</v>
      </c>
      <c r="E145" s="4">
        <v>0</v>
      </c>
      <c r="F145" s="4"/>
      <c r="G145" s="4">
        <v>0</v>
      </c>
      <c r="H145" s="4">
        <v>0</v>
      </c>
      <c r="I145" s="4">
        <v>0</v>
      </c>
      <c r="J145" s="4">
        <v>0</v>
      </c>
      <c r="K145" s="4"/>
      <c r="L145" s="4"/>
      <c r="M145" s="4"/>
      <c r="N145" s="4"/>
      <c r="O145" s="4">
        <v>0</v>
      </c>
      <c r="P145" s="4"/>
      <c r="Q145" s="4"/>
      <c r="R145" s="4">
        <f t="shared" si="31"/>
        <v>0</v>
      </c>
      <c r="S145">
        <v>143</v>
      </c>
    </row>
    <row r="146" spans="1:19" x14ac:dyDescent="0.3">
      <c r="C146">
        <v>495</v>
      </c>
      <c r="D146" t="s">
        <v>191</v>
      </c>
      <c r="E146" s="4">
        <v>0</v>
      </c>
      <c r="F146" s="4"/>
      <c r="G146" s="4">
        <v>0</v>
      </c>
      <c r="H146" s="4">
        <v>0</v>
      </c>
      <c r="I146" s="4">
        <v>0</v>
      </c>
      <c r="J146" s="4">
        <v>0</v>
      </c>
      <c r="K146" s="4"/>
      <c r="L146" s="4"/>
      <c r="M146" s="4"/>
      <c r="N146" s="4"/>
      <c r="O146" s="4">
        <v>0</v>
      </c>
      <c r="P146" s="4"/>
      <c r="Q146" s="4"/>
      <c r="R146" s="4">
        <f t="shared" si="31"/>
        <v>0</v>
      </c>
      <c r="S146">
        <v>144</v>
      </c>
    </row>
    <row r="147" spans="1:19" x14ac:dyDescent="0.3">
      <c r="C147">
        <v>498</v>
      </c>
      <c r="D147" t="s">
        <v>192</v>
      </c>
      <c r="E147" s="4">
        <v>0</v>
      </c>
      <c r="F147" s="4"/>
      <c r="G147" s="4">
        <v>0</v>
      </c>
      <c r="H147" s="4">
        <v>0</v>
      </c>
      <c r="I147" s="4">
        <v>0</v>
      </c>
      <c r="J147" s="4">
        <v>0</v>
      </c>
      <c r="K147" s="4"/>
      <c r="L147" s="4"/>
      <c r="M147" s="4"/>
      <c r="N147" s="4"/>
      <c r="O147" s="4">
        <v>0</v>
      </c>
      <c r="P147" s="4"/>
      <c r="Q147" s="4"/>
      <c r="R147" s="4">
        <f t="shared" si="31"/>
        <v>0</v>
      </c>
      <c r="S147">
        <v>145</v>
      </c>
    </row>
    <row r="148" spans="1:19" x14ac:dyDescent="0.3">
      <c r="C148">
        <v>499</v>
      </c>
      <c r="D148" t="s">
        <v>136</v>
      </c>
      <c r="E148" s="4">
        <v>0</v>
      </c>
      <c r="F148" s="4"/>
      <c r="G148" s="4">
        <v>0</v>
      </c>
      <c r="H148" s="4">
        <v>0</v>
      </c>
      <c r="I148" s="4">
        <v>0</v>
      </c>
      <c r="J148" s="4">
        <v>0</v>
      </c>
      <c r="K148" s="4"/>
      <c r="L148" s="4"/>
      <c r="M148" s="4"/>
      <c r="N148" s="4"/>
      <c r="O148" s="4">
        <v>0</v>
      </c>
      <c r="P148" s="4"/>
      <c r="Q148" s="4"/>
      <c r="R148" s="4">
        <f t="shared" si="31"/>
        <v>0</v>
      </c>
      <c r="S148">
        <v>146</v>
      </c>
    </row>
    <row r="149" spans="1:19" x14ac:dyDescent="0.3">
      <c r="E149" s="4"/>
      <c r="F149" s="4"/>
      <c r="G149" s="4"/>
      <c r="H149" s="4"/>
      <c r="I149" s="4"/>
      <c r="J149" s="4"/>
      <c r="K149" s="4"/>
      <c r="L149" s="4"/>
      <c r="M149" s="4"/>
      <c r="N149" s="4"/>
      <c r="O149" s="4"/>
      <c r="P149" s="4"/>
      <c r="Q149" s="4"/>
      <c r="R149" s="4"/>
      <c r="S149">
        <v>147</v>
      </c>
    </row>
    <row r="150" spans="1:19" x14ac:dyDescent="0.3">
      <c r="E150" s="4"/>
      <c r="F150" s="4"/>
      <c r="G150" s="4"/>
      <c r="H150" s="4"/>
      <c r="I150" s="4"/>
      <c r="J150" s="4"/>
      <c r="K150" s="4"/>
      <c r="L150" s="4"/>
      <c r="M150" s="4"/>
      <c r="N150" s="4"/>
      <c r="O150" s="4"/>
      <c r="P150" s="4"/>
      <c r="Q150" s="4"/>
      <c r="R150" s="4"/>
      <c r="S150">
        <v>148</v>
      </c>
    </row>
    <row r="151" spans="1:19" x14ac:dyDescent="0.3">
      <c r="E151" s="4"/>
      <c r="F151" s="4"/>
      <c r="G151" s="4"/>
      <c r="H151" s="4"/>
      <c r="I151" s="4"/>
      <c r="J151" s="4"/>
      <c r="K151" s="4"/>
      <c r="L151" s="4"/>
      <c r="M151" s="4"/>
      <c r="N151" s="4"/>
      <c r="O151" s="4"/>
      <c r="P151" s="4"/>
      <c r="Q151" s="4"/>
      <c r="R151" s="4"/>
      <c r="S151">
        <v>149</v>
      </c>
    </row>
    <row r="152" spans="1:19" x14ac:dyDescent="0.3">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3">
      <c r="A153" s="106"/>
      <c r="B153" s="106">
        <v>90</v>
      </c>
      <c r="C153" s="106"/>
      <c r="D153" s="106" t="s">
        <v>195</v>
      </c>
      <c r="E153" s="108">
        <f>E154+E155</f>
        <v>29125.87</v>
      </c>
      <c r="F153" s="108">
        <f t="shared" ref="F153:R153" si="32">F154+F155</f>
        <v>0</v>
      </c>
      <c r="G153" s="108">
        <f t="shared" si="32"/>
        <v>-1127.99</v>
      </c>
      <c r="H153" s="108">
        <f t="shared" si="32"/>
        <v>17304.650000000001</v>
      </c>
      <c r="I153" s="108">
        <f t="shared" si="32"/>
        <v>-23884.75</v>
      </c>
      <c r="J153" s="108">
        <f t="shared" si="32"/>
        <v>157274</v>
      </c>
      <c r="K153" s="108">
        <f t="shared" si="32"/>
        <v>0</v>
      </c>
      <c r="L153" s="108">
        <f t="shared" si="32"/>
        <v>0</v>
      </c>
      <c r="M153" s="108">
        <f t="shared" si="32"/>
        <v>0</v>
      </c>
      <c r="N153" s="108">
        <f t="shared" si="32"/>
        <v>0</v>
      </c>
      <c r="O153" s="108">
        <f t="shared" si="32"/>
        <v>17978.64</v>
      </c>
      <c r="P153" s="108">
        <f t="shared" si="32"/>
        <v>0</v>
      </c>
      <c r="Q153" s="108">
        <f t="shared" si="32"/>
        <v>0</v>
      </c>
      <c r="R153" s="108">
        <f t="shared" si="32"/>
        <v>196670.41999999998</v>
      </c>
      <c r="S153">
        <v>151</v>
      </c>
    </row>
    <row r="154" spans="1:19" x14ac:dyDescent="0.3">
      <c r="C154">
        <v>900</v>
      </c>
      <c r="D154" t="s">
        <v>196</v>
      </c>
      <c r="E154" s="4">
        <v>29125.87</v>
      </c>
      <c r="F154" s="4"/>
      <c r="G154" s="4">
        <v>-1127.99</v>
      </c>
      <c r="H154" s="4">
        <v>17304.650000000001</v>
      </c>
      <c r="I154" s="4">
        <v>-23884.75</v>
      </c>
      <c r="J154" s="4">
        <v>157274</v>
      </c>
      <c r="K154" s="4"/>
      <c r="L154" s="4"/>
      <c r="M154" s="4"/>
      <c r="N154" s="4"/>
      <c r="O154" s="4">
        <v>17978.64</v>
      </c>
      <c r="P154" s="4"/>
      <c r="Q154" s="4"/>
      <c r="R154" s="4">
        <f>SUM(E154:Q154)</f>
        <v>196670.41999999998</v>
      </c>
      <c r="S154">
        <v>152</v>
      </c>
    </row>
    <row r="155" spans="1:19" x14ac:dyDescent="0.3">
      <c r="C155">
        <v>901</v>
      </c>
      <c r="D155" t="s">
        <v>197</v>
      </c>
      <c r="E155" s="4">
        <v>0</v>
      </c>
      <c r="F155" s="4"/>
      <c r="G155" s="4">
        <v>0</v>
      </c>
      <c r="H155" s="4">
        <v>0</v>
      </c>
      <c r="I155" s="4">
        <v>0</v>
      </c>
      <c r="J155" s="4">
        <v>0</v>
      </c>
      <c r="K155" s="4"/>
      <c r="L155" s="4"/>
      <c r="M155" s="4"/>
      <c r="N155" s="4"/>
      <c r="O155" s="4">
        <v>0</v>
      </c>
      <c r="P155" s="4"/>
      <c r="Q155" s="4"/>
      <c r="R155" s="4">
        <f>SUM(E155:Q155)</f>
        <v>0</v>
      </c>
      <c r="S155">
        <v>153</v>
      </c>
    </row>
    <row r="156" spans="1:19" x14ac:dyDescent="0.3">
      <c r="E156" s="4"/>
      <c r="F156" s="4"/>
      <c r="G156" s="4"/>
      <c r="H156" s="4"/>
      <c r="I156" s="4"/>
      <c r="J156" s="4"/>
      <c r="K156" s="4"/>
      <c r="L156" s="4"/>
      <c r="M156" s="4"/>
      <c r="N156" s="4"/>
      <c r="O156" s="4"/>
      <c r="P156" s="4"/>
      <c r="Q156" s="4"/>
      <c r="R156" s="4"/>
      <c r="S156">
        <v>154</v>
      </c>
    </row>
    <row r="157" spans="1:19" x14ac:dyDescent="0.3">
      <c r="D157" s="7" t="s">
        <v>198</v>
      </c>
      <c r="E157" s="41">
        <f>E154+E155</f>
        <v>29125.87</v>
      </c>
      <c r="F157" s="41">
        <f t="shared" ref="F157:R157" si="33">F154+F155</f>
        <v>0</v>
      </c>
      <c r="G157" s="41">
        <f t="shared" si="33"/>
        <v>-1127.99</v>
      </c>
      <c r="H157" s="41">
        <f t="shared" si="33"/>
        <v>17304.650000000001</v>
      </c>
      <c r="I157" s="41">
        <f t="shared" si="33"/>
        <v>-23884.75</v>
      </c>
      <c r="J157" s="41">
        <f t="shared" si="33"/>
        <v>157274</v>
      </c>
      <c r="K157" s="41">
        <f t="shared" si="33"/>
        <v>0</v>
      </c>
      <c r="L157" s="41">
        <f t="shared" si="33"/>
        <v>0</v>
      </c>
      <c r="M157" s="41">
        <f t="shared" si="33"/>
        <v>0</v>
      </c>
      <c r="N157" s="41">
        <f t="shared" si="33"/>
        <v>0</v>
      </c>
      <c r="O157" s="41">
        <f t="shared" si="33"/>
        <v>17978.64</v>
      </c>
      <c r="P157" s="41">
        <f t="shared" si="33"/>
        <v>0</v>
      </c>
      <c r="Q157" s="41">
        <f t="shared" si="33"/>
        <v>0</v>
      </c>
      <c r="R157" s="41">
        <f t="shared" si="33"/>
        <v>196670.41999999998</v>
      </c>
      <c r="S157">
        <v>155</v>
      </c>
    </row>
    <row r="158" spans="1:19" x14ac:dyDescent="0.3">
      <c r="E158" s="4"/>
      <c r="F158" s="4"/>
      <c r="G158" s="4"/>
      <c r="H158" s="4"/>
      <c r="I158" s="4"/>
      <c r="J158" s="4"/>
      <c r="K158" s="4"/>
      <c r="L158" s="4"/>
      <c r="M158" s="4"/>
      <c r="N158" s="4"/>
      <c r="O158" s="4"/>
      <c r="P158" s="4"/>
      <c r="Q158" s="4"/>
      <c r="R158" s="4"/>
      <c r="S158">
        <v>156</v>
      </c>
    </row>
    <row r="159" spans="1:19" x14ac:dyDescent="0.3">
      <c r="D159" s="49"/>
      <c r="E159" s="41">
        <f t="shared" ref="E159:R159" si="34">E75-E4</f>
        <v>29125.870000000112</v>
      </c>
      <c r="F159" s="41">
        <f t="shared" si="34"/>
        <v>0</v>
      </c>
      <c r="G159" s="41">
        <f t="shared" si="34"/>
        <v>-1127.9900000000052</v>
      </c>
      <c r="H159" s="41">
        <f t="shared" si="34"/>
        <v>17304.650000000001</v>
      </c>
      <c r="I159" s="41">
        <f t="shared" si="34"/>
        <v>-23884.749999999942</v>
      </c>
      <c r="J159" s="41">
        <f t="shared" si="34"/>
        <v>157274</v>
      </c>
      <c r="K159" s="41">
        <f t="shared" si="34"/>
        <v>0</v>
      </c>
      <c r="L159" s="41">
        <f t="shared" si="34"/>
        <v>0</v>
      </c>
      <c r="M159" s="41">
        <f t="shared" si="34"/>
        <v>0</v>
      </c>
      <c r="N159" s="41">
        <f t="shared" si="34"/>
        <v>0</v>
      </c>
      <c r="O159" s="41">
        <f t="shared" si="34"/>
        <v>17978.640000000014</v>
      </c>
      <c r="P159" s="41">
        <f t="shared" si="34"/>
        <v>0</v>
      </c>
      <c r="Q159" s="41">
        <f t="shared" si="34"/>
        <v>0</v>
      </c>
      <c r="R159" s="41">
        <f t="shared" si="34"/>
        <v>196670.41999999946</v>
      </c>
      <c r="S159">
        <v>157</v>
      </c>
    </row>
    <row r="160" spans="1:19" x14ac:dyDescent="0.3">
      <c r="D160" s="49" t="s">
        <v>68</v>
      </c>
      <c r="E160" s="153">
        <f t="shared" ref="E160:R160" si="35">E157-E159</f>
        <v>-1.127773430198431E-10</v>
      </c>
      <c r="F160" s="153">
        <f t="shared" si="35"/>
        <v>0</v>
      </c>
      <c r="G160" s="153">
        <f t="shared" si="35"/>
        <v>5.2295945351943374E-12</v>
      </c>
      <c r="H160" s="153">
        <f t="shared" si="35"/>
        <v>0</v>
      </c>
      <c r="I160" s="153">
        <f t="shared" si="35"/>
        <v>-5.8207660913467407E-11</v>
      </c>
      <c r="J160" s="153">
        <f t="shared" si="35"/>
        <v>0</v>
      </c>
      <c r="K160" s="153">
        <f t="shared" si="35"/>
        <v>0</v>
      </c>
      <c r="L160" s="153">
        <f t="shared" si="35"/>
        <v>0</v>
      </c>
      <c r="M160" s="153">
        <f t="shared" si="35"/>
        <v>0</v>
      </c>
      <c r="N160" s="153">
        <f t="shared" si="35"/>
        <v>0</v>
      </c>
      <c r="O160" s="153">
        <f t="shared" si="35"/>
        <v>0</v>
      </c>
      <c r="P160" s="153">
        <f t="shared" si="35"/>
        <v>0</v>
      </c>
      <c r="Q160" s="153">
        <f t="shared" si="35"/>
        <v>0</v>
      </c>
      <c r="R160" s="153">
        <f t="shared" si="35"/>
        <v>5.2386894822120667E-10</v>
      </c>
      <c r="S160">
        <v>158</v>
      </c>
    </row>
    <row r="161" spans="4:19" x14ac:dyDescent="0.3">
      <c r="M161" s="4"/>
      <c r="S161">
        <v>159</v>
      </c>
    </row>
    <row r="162" spans="4:19" x14ac:dyDescent="0.3">
      <c r="D162" s="49" t="s">
        <v>243</v>
      </c>
      <c r="E162" s="61">
        <f>E64-E140</f>
        <v>-24459.399999999994</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0</v>
      </c>
      <c r="Q162" s="61">
        <f t="shared" si="36"/>
        <v>0</v>
      </c>
      <c r="R162" s="61">
        <f t="shared" si="36"/>
        <v>-24459.399999999994</v>
      </c>
      <c r="S162">
        <v>160</v>
      </c>
    </row>
    <row r="163" spans="4:19" x14ac:dyDescent="0.3">
      <c r="S163">
        <v>161</v>
      </c>
    </row>
    <row r="164" spans="4:19" x14ac:dyDescent="0.3">
      <c r="D164" t="s">
        <v>605</v>
      </c>
      <c r="E164" s="4">
        <f>E5+E15+E27+E39+E43+E53</f>
        <v>642432.28</v>
      </c>
      <c r="F164" s="4">
        <f t="shared" ref="F164:R164" si="37">F5+F15+F27+F39+F43+F53</f>
        <v>0</v>
      </c>
      <c r="G164" s="4">
        <f t="shared" si="37"/>
        <v>113898.34</v>
      </c>
      <c r="H164" s="4">
        <f t="shared" si="37"/>
        <v>36425.54</v>
      </c>
      <c r="I164" s="4">
        <f t="shared" si="37"/>
        <v>290063.59999999998</v>
      </c>
      <c r="J164" s="4">
        <f t="shared" si="37"/>
        <v>1705035.15</v>
      </c>
      <c r="K164" s="4">
        <f t="shared" si="37"/>
        <v>0</v>
      </c>
      <c r="L164" s="4">
        <f t="shared" si="37"/>
        <v>0</v>
      </c>
      <c r="M164" s="4">
        <f t="shared" si="37"/>
        <v>0</v>
      </c>
      <c r="N164" s="4">
        <f t="shared" si="37"/>
        <v>0</v>
      </c>
      <c r="O164" s="4">
        <f t="shared" si="37"/>
        <v>146409.66</v>
      </c>
      <c r="P164" s="4">
        <f t="shared" si="37"/>
        <v>0</v>
      </c>
      <c r="Q164" s="4">
        <f t="shared" si="37"/>
        <v>0</v>
      </c>
      <c r="R164" s="4">
        <f t="shared" si="37"/>
        <v>2934264.5700000003</v>
      </c>
      <c r="S164">
        <v>162</v>
      </c>
    </row>
    <row r="165" spans="4:19" x14ac:dyDescent="0.3">
      <c r="D165" t="s">
        <v>606</v>
      </c>
      <c r="E165" s="4">
        <f>E76+E82+E88+E99+E117+E121+E128</f>
        <v>475729.67000000004</v>
      </c>
      <c r="F165" s="4">
        <f t="shared" ref="F165:R165" si="38">F76+F82+F88+F99+F117+F121+F128</f>
        <v>0</v>
      </c>
      <c r="G165" s="4">
        <f t="shared" si="38"/>
        <v>84320.349999999991</v>
      </c>
      <c r="H165" s="4">
        <f t="shared" si="38"/>
        <v>11871.25</v>
      </c>
      <c r="I165" s="4">
        <f t="shared" si="38"/>
        <v>179741.75</v>
      </c>
      <c r="J165" s="4">
        <f t="shared" si="38"/>
        <v>855977.3</v>
      </c>
      <c r="K165" s="4">
        <f t="shared" si="38"/>
        <v>0</v>
      </c>
      <c r="L165" s="4">
        <f t="shared" si="38"/>
        <v>0</v>
      </c>
      <c r="M165" s="4">
        <f t="shared" si="38"/>
        <v>0</v>
      </c>
      <c r="N165" s="4">
        <f t="shared" si="38"/>
        <v>0</v>
      </c>
      <c r="O165" s="4">
        <f t="shared" si="38"/>
        <v>37264.6</v>
      </c>
      <c r="P165" s="4">
        <f t="shared" si="38"/>
        <v>0</v>
      </c>
      <c r="Q165" s="4">
        <f t="shared" si="38"/>
        <v>0</v>
      </c>
      <c r="R165" s="4">
        <f t="shared" si="38"/>
        <v>1644904.92</v>
      </c>
      <c r="S165">
        <v>163</v>
      </c>
    </row>
    <row r="167" spans="4:19" x14ac:dyDescent="0.3">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topLeftCell="A25" workbookViewId="0">
      <selection activeCell="F155" sqref="F155"/>
    </sheetView>
  </sheetViews>
  <sheetFormatPr baseColWidth="10" defaultRowHeight="14.4" x14ac:dyDescent="0.3"/>
  <cols>
    <col min="1" max="2" width="5.6640625" customWidth="1"/>
    <col min="3" max="3" width="9" customWidth="1"/>
    <col min="4" max="4" width="63.5546875" customWidth="1"/>
    <col min="5" max="5" width="23" customWidth="1"/>
  </cols>
  <sheetData>
    <row r="2" spans="1:5" ht="25.8" x14ac:dyDescent="0.5">
      <c r="A2" s="42" t="s">
        <v>199</v>
      </c>
      <c r="B2" s="7"/>
      <c r="C2" s="7"/>
      <c r="D2" s="7"/>
    </row>
    <row r="4" spans="1:5" ht="15" thickBot="1" x14ac:dyDescent="0.35"/>
    <row r="5" spans="1:5" ht="15" thickBot="1" x14ac:dyDescent="0.35">
      <c r="A5" t="s">
        <v>769</v>
      </c>
      <c r="D5" s="174" t="s">
        <v>28</v>
      </c>
    </row>
    <row r="7" spans="1:5" x14ac:dyDescent="0.3">
      <c r="E7" s="65" t="s">
        <v>205</v>
      </c>
    </row>
    <row r="8" spans="1:5" ht="21" x14ac:dyDescent="0.4">
      <c r="A8" s="92">
        <v>3</v>
      </c>
      <c r="B8" s="92"/>
      <c r="C8" s="92"/>
      <c r="D8" s="92" t="s">
        <v>60</v>
      </c>
      <c r="E8" s="171">
        <f>HLOOKUP($D$5,'Bourgeoisies Comptes 2020'!$E$3:$R$165,2,0)</f>
        <v>1823722.5999999999</v>
      </c>
    </row>
    <row r="9" spans="1:5" x14ac:dyDescent="0.3">
      <c r="A9" s="94"/>
      <c r="B9" s="94">
        <v>30</v>
      </c>
      <c r="C9" s="94"/>
      <c r="D9" s="94" t="s">
        <v>61</v>
      </c>
      <c r="E9" s="95">
        <f>HLOOKUP($D$5,'Bourgeoisies Comptes 2020'!$E$3:$R$165,3,0)</f>
        <v>388212.29999999993</v>
      </c>
    </row>
    <row r="10" spans="1:5" x14ac:dyDescent="0.3">
      <c r="C10">
        <v>300</v>
      </c>
      <c r="D10" t="s">
        <v>80</v>
      </c>
      <c r="E10" s="89">
        <f>HLOOKUP($D$5,'Bourgeoisies Comptes 2020'!$E$3:$R$165,4,0)</f>
        <v>47100</v>
      </c>
    </row>
    <row r="11" spans="1:5" x14ac:dyDescent="0.3">
      <c r="C11">
        <v>301</v>
      </c>
      <c r="D11" t="s">
        <v>81</v>
      </c>
      <c r="E11" s="89">
        <f>HLOOKUP($D$5,'Bourgeoisies Comptes 2020'!$E$3:$R$165,5,0)</f>
        <v>245737.5</v>
      </c>
    </row>
    <row r="12" spans="1:5" x14ac:dyDescent="0.3">
      <c r="C12">
        <v>302</v>
      </c>
      <c r="D12" t="s">
        <v>82</v>
      </c>
      <c r="E12" s="89">
        <f>HLOOKUP($D$5,'Bourgeoisies Comptes 2020'!$E$3:$R$165,6,0)</f>
        <v>0</v>
      </c>
    </row>
    <row r="13" spans="1:5" x14ac:dyDescent="0.3">
      <c r="C13">
        <v>303</v>
      </c>
      <c r="D13" t="s">
        <v>83</v>
      </c>
      <c r="E13" s="89">
        <f>HLOOKUP($D$5,'Bourgeoisies Comptes 2020'!$E$3:$R$165,7,0)</f>
        <v>0</v>
      </c>
    </row>
    <row r="14" spans="1:5" x14ac:dyDescent="0.3">
      <c r="C14">
        <v>304</v>
      </c>
      <c r="D14" t="s">
        <v>596</v>
      </c>
      <c r="E14" s="89">
        <f>HLOOKUP($D$5,'Bourgeoisies Comptes 2020'!$E$3:$R$165,8,0)</f>
        <v>8107.3</v>
      </c>
    </row>
    <row r="15" spans="1:5" x14ac:dyDescent="0.3">
      <c r="C15">
        <v>305</v>
      </c>
      <c r="D15" t="s">
        <v>84</v>
      </c>
      <c r="E15" s="89">
        <f>HLOOKUP($D$5,'Bourgeoisies Comptes 2020'!$E$3:$R$165,9,0)</f>
        <v>79504.899999999994</v>
      </c>
    </row>
    <row r="16" spans="1:5" x14ac:dyDescent="0.3">
      <c r="C16">
        <v>306</v>
      </c>
      <c r="D16" t="s">
        <v>85</v>
      </c>
      <c r="E16" s="89">
        <f>HLOOKUP($D$5,'Bourgeoisies Comptes 2020'!$E$3:$R$165,10,0)</f>
        <v>0</v>
      </c>
    </row>
    <row r="17" spans="2:5" x14ac:dyDescent="0.3">
      <c r="C17">
        <v>309</v>
      </c>
      <c r="D17" t="s">
        <v>86</v>
      </c>
      <c r="E17" s="89">
        <f>HLOOKUP($D$5,'Bourgeoisies Comptes 2020'!$E$3:$R$165,11,0)</f>
        <v>7762.6</v>
      </c>
    </row>
    <row r="18" spans="2:5" x14ac:dyDescent="0.3">
      <c r="E18" s="4"/>
    </row>
    <row r="19" spans="2:5" x14ac:dyDescent="0.3">
      <c r="B19" s="94">
        <v>31</v>
      </c>
      <c r="C19" s="94"/>
      <c r="D19" s="94" t="s">
        <v>87</v>
      </c>
      <c r="E19" s="95">
        <f>SUM(E20:E29)</f>
        <v>595456.80000000005</v>
      </c>
    </row>
    <row r="20" spans="2:5" x14ac:dyDescent="0.3">
      <c r="C20">
        <v>310</v>
      </c>
      <c r="D20" t="s">
        <v>88</v>
      </c>
      <c r="E20" s="89">
        <f>HLOOKUP($D$5,'Bourgeoisies Comptes 2020'!$E$3:$R$165,14,0)</f>
        <v>9944.5499999999993</v>
      </c>
    </row>
    <row r="21" spans="2:5" x14ac:dyDescent="0.3">
      <c r="C21">
        <v>311</v>
      </c>
      <c r="D21" t="s">
        <v>462</v>
      </c>
      <c r="E21" s="89">
        <f>HLOOKUP($D$5,'Bourgeoisies Comptes 2020'!$E$3:$R$165,15,0)</f>
        <v>2119.35</v>
      </c>
    </row>
    <row r="22" spans="2:5" x14ac:dyDescent="0.3">
      <c r="C22">
        <v>312</v>
      </c>
      <c r="D22" t="s">
        <v>90</v>
      </c>
      <c r="E22" s="89">
        <f>HLOOKUP($D$5,'Bourgeoisies Comptes 2020'!$E$3:$R$165,16,0)</f>
        <v>121050.8</v>
      </c>
    </row>
    <row r="23" spans="2:5" x14ac:dyDescent="0.3">
      <c r="C23">
        <v>313</v>
      </c>
      <c r="D23" t="s">
        <v>91</v>
      </c>
      <c r="E23" s="89">
        <f>HLOOKUP($D$5,'Bourgeoisies Comptes 2020'!$E$3:$R$165,17,0)</f>
        <v>290485.7</v>
      </c>
    </row>
    <row r="24" spans="2:5" x14ac:dyDescent="0.3">
      <c r="C24">
        <v>314</v>
      </c>
      <c r="D24" t="s">
        <v>92</v>
      </c>
      <c r="E24" s="89">
        <f>HLOOKUP($D$5,'Bourgeoisies Comptes 2020'!$E$3:$R$165,18,0)</f>
        <v>168164.4</v>
      </c>
    </row>
    <row r="25" spans="2:5" x14ac:dyDescent="0.3">
      <c r="C25">
        <v>315</v>
      </c>
      <c r="D25" t="s">
        <v>93</v>
      </c>
      <c r="E25" s="89">
        <f>HLOOKUP($D$5,'Bourgeoisies Comptes 2020'!$E$3:$R$165,19,0)</f>
        <v>0</v>
      </c>
    </row>
    <row r="26" spans="2:5" x14ac:dyDescent="0.3">
      <c r="C26">
        <v>316</v>
      </c>
      <c r="D26" t="s">
        <v>94</v>
      </c>
      <c r="E26" s="89">
        <f>HLOOKUP($D$5,'Bourgeoisies Comptes 2020'!$E$3:$R$165,20,0)</f>
        <v>0</v>
      </c>
    </row>
    <row r="27" spans="2:5" x14ac:dyDescent="0.3">
      <c r="C27">
        <v>317</v>
      </c>
      <c r="D27" t="s">
        <v>95</v>
      </c>
      <c r="E27" s="89">
        <f>HLOOKUP($D$5,'Bourgeoisies Comptes 2020'!$E$3:$R$165,21,0)</f>
        <v>3692</v>
      </c>
    </row>
    <row r="28" spans="2:5" x14ac:dyDescent="0.3">
      <c r="C28">
        <v>318</v>
      </c>
      <c r="D28" t="s">
        <v>96</v>
      </c>
      <c r="E28" s="89">
        <f>HLOOKUP($D$5,'Bourgeoisies Comptes 2020'!$E$3:$R$165,22,0)</f>
        <v>0</v>
      </c>
    </row>
    <row r="29" spans="2:5" x14ac:dyDescent="0.3">
      <c r="C29">
        <v>319</v>
      </c>
      <c r="D29" t="s">
        <v>97</v>
      </c>
      <c r="E29" s="89">
        <f>HLOOKUP($D$5,'Bourgeoisies Comptes 2020'!$E$3:$R$165,23,0)</f>
        <v>0</v>
      </c>
    </row>
    <row r="30" spans="2:5" x14ac:dyDescent="0.3">
      <c r="E30" s="4"/>
    </row>
    <row r="31" spans="2:5" x14ac:dyDescent="0.3">
      <c r="B31" s="94">
        <v>33</v>
      </c>
      <c r="C31" s="94"/>
      <c r="D31" s="94" t="s">
        <v>98</v>
      </c>
      <c r="E31" s="95">
        <f>SUM(E32:E33)</f>
        <v>197327.15</v>
      </c>
    </row>
    <row r="32" spans="2:5" x14ac:dyDescent="0.3">
      <c r="C32">
        <v>330</v>
      </c>
      <c r="D32" t="s">
        <v>100</v>
      </c>
      <c r="E32" s="89">
        <f>HLOOKUP($D$5,'Bourgeoisies Comptes 2020'!$E$3:$R$165,26,0)</f>
        <v>197327.15</v>
      </c>
    </row>
    <row r="33" spans="2:5" x14ac:dyDescent="0.3">
      <c r="C33">
        <v>332</v>
      </c>
      <c r="D33" t="s">
        <v>99</v>
      </c>
      <c r="E33" s="89">
        <f>HLOOKUP($D$5,'Bourgeoisies Comptes 2020'!$E$3:$R$165,27,0)</f>
        <v>0</v>
      </c>
    </row>
    <row r="34" spans="2:5" x14ac:dyDescent="0.3">
      <c r="E34" s="4"/>
    </row>
    <row r="35" spans="2:5" x14ac:dyDescent="0.3">
      <c r="B35" s="94">
        <v>34</v>
      </c>
      <c r="C35" s="94"/>
      <c r="D35" s="94" t="s">
        <v>101</v>
      </c>
      <c r="E35" s="95">
        <f>SUM(E36:E41)</f>
        <v>118687.45</v>
      </c>
    </row>
    <row r="36" spans="2:5" x14ac:dyDescent="0.3">
      <c r="C36">
        <v>340</v>
      </c>
      <c r="D36" t="s">
        <v>102</v>
      </c>
      <c r="E36" s="89">
        <f>HLOOKUP($D$5,'Bourgeoisies Comptes 2020'!$E$3:$R$165,30,0)</f>
        <v>24969.599999999999</v>
      </c>
    </row>
    <row r="37" spans="2:5" x14ac:dyDescent="0.3">
      <c r="C37">
        <v>341</v>
      </c>
      <c r="D37" t="s">
        <v>103</v>
      </c>
      <c r="E37" s="89">
        <f>HLOOKUP($D$5,'Bourgeoisies Comptes 2020'!$E$3:$R$165,31,0)</f>
        <v>0</v>
      </c>
    </row>
    <row r="38" spans="2:5" x14ac:dyDescent="0.3">
      <c r="C38">
        <v>342</v>
      </c>
      <c r="D38" t="s">
        <v>104</v>
      </c>
      <c r="E38" s="89">
        <f>HLOOKUP($D$5,'Bourgeoisies Comptes 2020'!$E$3:$R$165,32,0)</f>
        <v>0</v>
      </c>
    </row>
    <row r="39" spans="2:5" x14ac:dyDescent="0.3">
      <c r="C39">
        <v>343</v>
      </c>
      <c r="D39" t="s">
        <v>105</v>
      </c>
      <c r="E39" s="89">
        <f>HLOOKUP($D$5,'Bourgeoisies Comptes 2020'!$E$3:$R$165,33,0)</f>
        <v>91628.3</v>
      </c>
    </row>
    <row r="40" spans="2:5" x14ac:dyDescent="0.3">
      <c r="C40">
        <v>344</v>
      </c>
      <c r="D40" t="s">
        <v>106</v>
      </c>
      <c r="E40" s="89">
        <f>HLOOKUP($D$5,'Bourgeoisies Comptes 2020'!$E$3:$R$165,34,0)</f>
        <v>0</v>
      </c>
    </row>
    <row r="41" spans="2:5" x14ac:dyDescent="0.3">
      <c r="C41">
        <v>349</v>
      </c>
      <c r="D41" t="s">
        <v>107</v>
      </c>
      <c r="E41" s="89">
        <f>HLOOKUP($D$5,'Bourgeoisies Comptes 2020'!$E$3:$R$165,35,0)</f>
        <v>2089.5500000000002</v>
      </c>
    </row>
    <row r="42" spans="2:5" x14ac:dyDescent="0.3">
      <c r="E42" s="4"/>
    </row>
    <row r="43" spans="2:5" x14ac:dyDescent="0.3">
      <c r="B43" s="94">
        <v>35</v>
      </c>
      <c r="C43" s="94"/>
      <c r="D43" s="94" t="s">
        <v>109</v>
      </c>
      <c r="E43" s="95">
        <f>SUM(E44:E45)</f>
        <v>464005.7</v>
      </c>
    </row>
    <row r="44" spans="2:5" x14ac:dyDescent="0.3">
      <c r="C44">
        <v>350</v>
      </c>
      <c r="D44" t="s">
        <v>109</v>
      </c>
      <c r="E44" s="89">
        <f>HLOOKUP($D$5,'Bourgeoisies Comptes 2020'!$E$3:$R$165,38,0)</f>
        <v>0</v>
      </c>
    </row>
    <row r="45" spans="2:5" x14ac:dyDescent="0.3">
      <c r="C45">
        <v>351</v>
      </c>
      <c r="D45" t="s">
        <v>108</v>
      </c>
      <c r="E45" s="89">
        <f>HLOOKUP($D$5,'Bourgeoisies Comptes 2020'!$E$3:$R$165,39,0)</f>
        <v>464005.7</v>
      </c>
    </row>
    <row r="46" spans="2:5" x14ac:dyDescent="0.3">
      <c r="E46" s="4"/>
    </row>
    <row r="47" spans="2:5" x14ac:dyDescent="0.3">
      <c r="B47" s="94">
        <v>36</v>
      </c>
      <c r="C47" s="94"/>
      <c r="D47" s="94" t="s">
        <v>110</v>
      </c>
      <c r="E47" s="95">
        <f>SUM(E48:E55)</f>
        <v>60033.2</v>
      </c>
    </row>
    <row r="48" spans="2:5" x14ac:dyDescent="0.3">
      <c r="C48">
        <v>360</v>
      </c>
      <c r="D48" t="s">
        <v>111</v>
      </c>
      <c r="E48" s="89">
        <f>HLOOKUP($D$5,'Bourgeoisies Comptes 2020'!$E$3:$R$165,42,0)</f>
        <v>2000</v>
      </c>
    </row>
    <row r="49" spans="2:5" x14ac:dyDescent="0.3">
      <c r="C49">
        <v>361</v>
      </c>
      <c r="D49" t="s">
        <v>112</v>
      </c>
      <c r="E49" s="89">
        <f>HLOOKUP($D$5,'Bourgeoisies Comptes 2020'!$E$3:$R$165,43,0)</f>
        <v>0</v>
      </c>
    </row>
    <row r="50" spans="2:5" x14ac:dyDescent="0.3">
      <c r="C50">
        <v>362</v>
      </c>
      <c r="D50" t="s">
        <v>113</v>
      </c>
      <c r="E50" s="89">
        <f>HLOOKUP($D$5,'Bourgeoisies Comptes 2020'!$E$3:$R$165,44,0)</f>
        <v>0</v>
      </c>
    </row>
    <row r="51" spans="2:5" x14ac:dyDescent="0.3">
      <c r="C51">
        <v>363</v>
      </c>
      <c r="D51" t="s">
        <v>114</v>
      </c>
      <c r="E51" s="89">
        <f>HLOOKUP($D$5,'Bourgeoisies Comptes 2020'!$E$3:$R$165,45,0)</f>
        <v>58033.2</v>
      </c>
    </row>
    <row r="52" spans="2:5" x14ac:dyDescent="0.3">
      <c r="C52">
        <v>364</v>
      </c>
      <c r="D52" t="s">
        <v>115</v>
      </c>
      <c r="E52" s="89">
        <f>HLOOKUP($D$5,'Bourgeoisies Comptes 2020'!$E$3:$R$165,46,0)</f>
        <v>0</v>
      </c>
    </row>
    <row r="53" spans="2:5" x14ac:dyDescent="0.3">
      <c r="C53">
        <v>365</v>
      </c>
      <c r="D53" t="s">
        <v>116</v>
      </c>
      <c r="E53" s="89">
        <f>HLOOKUP($D$5,'Bourgeoisies Comptes 2020'!$E$3:$R$165,47,0)</f>
        <v>0</v>
      </c>
    </row>
    <row r="54" spans="2:5" x14ac:dyDescent="0.3">
      <c r="C54">
        <v>366</v>
      </c>
      <c r="D54" t="s">
        <v>117</v>
      </c>
      <c r="E54" s="89">
        <f>HLOOKUP($D$5,'Bourgeoisies Comptes 2020'!$E$3:$R$165,48,0)</f>
        <v>0</v>
      </c>
    </row>
    <row r="55" spans="2:5" x14ac:dyDescent="0.3">
      <c r="C55">
        <v>369</v>
      </c>
      <c r="D55" t="s">
        <v>118</v>
      </c>
      <c r="E55" s="89">
        <f>HLOOKUP($D$5,'Bourgeoisies Comptes 2020'!$E$3:$R$165,49,0)</f>
        <v>0</v>
      </c>
    </row>
    <row r="56" spans="2:5" x14ac:dyDescent="0.3">
      <c r="E56" s="4"/>
    </row>
    <row r="57" spans="2:5" x14ac:dyDescent="0.3">
      <c r="B57" s="94">
        <v>37</v>
      </c>
      <c r="C57" s="94"/>
      <c r="D57" s="94" t="s">
        <v>119</v>
      </c>
      <c r="E57" s="95">
        <f>SUM(E58)</f>
        <v>0</v>
      </c>
    </row>
    <row r="58" spans="2:5" x14ac:dyDescent="0.3">
      <c r="C58">
        <v>370</v>
      </c>
      <c r="D58" t="s">
        <v>120</v>
      </c>
      <c r="E58" s="89">
        <f>HLOOKUP($D$5,'Bourgeoisies Comptes 2020'!$E$3:$R$165,52,0)</f>
        <v>0</v>
      </c>
    </row>
    <row r="59" spans="2:5" x14ac:dyDescent="0.3">
      <c r="E59" s="4"/>
    </row>
    <row r="60" spans="2:5" x14ac:dyDescent="0.3">
      <c r="B60" s="94">
        <v>38</v>
      </c>
      <c r="C60" s="94"/>
      <c r="D60" s="94" t="s">
        <v>121</v>
      </c>
      <c r="E60" s="95">
        <f>SUM(E61:E66)</f>
        <v>0</v>
      </c>
    </row>
    <row r="61" spans="2:5" x14ac:dyDescent="0.3">
      <c r="C61">
        <v>380</v>
      </c>
      <c r="D61" t="s">
        <v>122</v>
      </c>
      <c r="E61" s="89">
        <f>HLOOKUP($D$5,'Bourgeoisies Comptes 2020'!$E$3:$R$165,55,0)</f>
        <v>0</v>
      </c>
    </row>
    <row r="62" spans="2:5" x14ac:dyDescent="0.3">
      <c r="C62">
        <v>381</v>
      </c>
      <c r="D62" t="s">
        <v>123</v>
      </c>
      <c r="E62" s="89">
        <f>HLOOKUP($D$5,'Bourgeoisies Comptes 2020'!$E$3:$R$165,56,0)</f>
        <v>0</v>
      </c>
    </row>
    <row r="63" spans="2:5" x14ac:dyDescent="0.3">
      <c r="C63">
        <v>384</v>
      </c>
      <c r="D63" t="s">
        <v>124</v>
      </c>
      <c r="E63" s="89">
        <f>HLOOKUP($D$5,'Bourgeoisies Comptes 2020'!$E$3:$R$165,57,0)</f>
        <v>0</v>
      </c>
    </row>
    <row r="64" spans="2:5" x14ac:dyDescent="0.3">
      <c r="C64">
        <v>385</v>
      </c>
      <c r="D64" t="s">
        <v>125</v>
      </c>
      <c r="E64" s="89">
        <f>HLOOKUP($D$5,'Bourgeoisies Comptes 2020'!$E$3:$R$165,58,0)</f>
        <v>0</v>
      </c>
    </row>
    <row r="65" spans="1:5" x14ac:dyDescent="0.3">
      <c r="C65">
        <v>386</v>
      </c>
      <c r="D65" t="s">
        <v>126</v>
      </c>
      <c r="E65" s="89">
        <f>HLOOKUP($D$5,'Bourgeoisies Comptes 2020'!$E$3:$R$165,59,0)</f>
        <v>0</v>
      </c>
    </row>
    <row r="66" spans="1:5" x14ac:dyDescent="0.3">
      <c r="C66">
        <v>389</v>
      </c>
      <c r="D66" t="s">
        <v>297</v>
      </c>
      <c r="E66" s="89">
        <f>HLOOKUP($D$5,'Bourgeoisies Comptes 2020'!$E$3:$R$165,60,0)</f>
        <v>0</v>
      </c>
    </row>
    <row r="67" spans="1:5" x14ac:dyDescent="0.3">
      <c r="E67" s="4"/>
    </row>
    <row r="68" spans="1:5" x14ac:dyDescent="0.3">
      <c r="B68" s="94">
        <v>39</v>
      </c>
      <c r="C68" s="94"/>
      <c r="D68" s="94" t="s">
        <v>128</v>
      </c>
      <c r="E68" s="95">
        <f>SUM(E69:E76)</f>
        <v>0</v>
      </c>
    </row>
    <row r="69" spans="1:5" x14ac:dyDescent="0.3">
      <c r="C69">
        <v>390</v>
      </c>
      <c r="D69" t="s">
        <v>129</v>
      </c>
      <c r="E69" s="89">
        <f>HLOOKUP($D$5,'Bourgeoisies Comptes 2020'!$E$3:$R$165,63,0)</f>
        <v>0</v>
      </c>
    </row>
    <row r="70" spans="1:5" x14ac:dyDescent="0.3">
      <c r="C70">
        <v>391</v>
      </c>
      <c r="D70" t="s">
        <v>130</v>
      </c>
      <c r="E70" s="89">
        <f>HLOOKUP($D$5,'Bourgeoisies Comptes 2020'!$E$3:$R$165,64,0)</f>
        <v>0</v>
      </c>
    </row>
    <row r="71" spans="1:5" x14ac:dyDescent="0.3">
      <c r="C71">
        <v>392</v>
      </c>
      <c r="D71" t="s">
        <v>131</v>
      </c>
      <c r="E71" s="89">
        <f>HLOOKUP($D$5,'Bourgeoisies Comptes 2020'!$E$3:$R$165,65,0)</f>
        <v>0</v>
      </c>
    </row>
    <row r="72" spans="1:5" x14ac:dyDescent="0.3">
      <c r="C72">
        <v>393</v>
      </c>
      <c r="D72" t="s">
        <v>132</v>
      </c>
      <c r="E72" s="89">
        <f>HLOOKUP($D$5,'Bourgeoisies Comptes 2020'!$E$3:$R$165,66,0)</f>
        <v>0</v>
      </c>
    </row>
    <row r="73" spans="1:5" x14ac:dyDescent="0.3">
      <c r="C73">
        <v>394</v>
      </c>
      <c r="D73" t="s">
        <v>133</v>
      </c>
      <c r="E73" s="89">
        <f>HLOOKUP($D$5,'Bourgeoisies Comptes 2020'!$E$3:$R$165,67,0)</f>
        <v>0</v>
      </c>
    </row>
    <row r="74" spans="1:5" x14ac:dyDescent="0.3">
      <c r="C74">
        <v>395</v>
      </c>
      <c r="D74" t="s">
        <v>134</v>
      </c>
      <c r="E74" s="89">
        <f>HLOOKUP($D$5,'Bourgeoisies Comptes 2020'!$E$3:$R$165,68,0)</f>
        <v>0</v>
      </c>
    </row>
    <row r="75" spans="1:5" x14ac:dyDescent="0.3">
      <c r="C75">
        <v>398</v>
      </c>
      <c r="D75" t="s">
        <v>135</v>
      </c>
      <c r="E75" s="89">
        <f>HLOOKUP($D$5,'Bourgeoisies Comptes 2020'!$E$3:$R$165,69,0)</f>
        <v>0</v>
      </c>
    </row>
    <row r="76" spans="1:5" x14ac:dyDescent="0.3">
      <c r="C76">
        <v>399</v>
      </c>
      <c r="D76" t="s">
        <v>136</v>
      </c>
      <c r="E76" s="89">
        <f>HLOOKUP($D$5,'Bourgeoisies Comptes 2020'!$E$3:$R$165,70,0)</f>
        <v>0</v>
      </c>
    </row>
    <row r="77" spans="1:5" x14ac:dyDescent="0.3">
      <c r="E77" s="4"/>
    </row>
    <row r="78" spans="1:5" x14ac:dyDescent="0.3">
      <c r="E78" s="4"/>
    </row>
    <row r="79" spans="1:5" ht="21" x14ac:dyDescent="0.4">
      <c r="A79" s="98">
        <v>4</v>
      </c>
      <c r="B79" s="98"/>
      <c r="C79" s="98"/>
      <c r="D79" s="98" t="s">
        <v>137</v>
      </c>
      <c r="E79" s="172">
        <f>HLOOKUP($D$5,'Bourgeoisies Comptes 2020'!$E$3:$R$165,73,0)</f>
        <v>1980996.5999999999</v>
      </c>
    </row>
    <row r="80" spans="1:5" x14ac:dyDescent="0.3">
      <c r="A80" s="7"/>
      <c r="B80" s="96">
        <v>40</v>
      </c>
      <c r="C80" s="96"/>
      <c r="D80" s="96" t="s">
        <v>79</v>
      </c>
      <c r="E80" s="91">
        <f>SUM(E81:E84)</f>
        <v>0</v>
      </c>
    </row>
    <row r="81" spans="2:5" x14ac:dyDescent="0.3">
      <c r="C81">
        <v>400</v>
      </c>
      <c r="D81" t="s">
        <v>138</v>
      </c>
      <c r="E81" s="89">
        <f>HLOOKUP($D$5,'Bourgeoisies Comptes 2020'!$E$3:$R$165,75,0)</f>
        <v>0</v>
      </c>
    </row>
    <row r="82" spans="2:5" x14ac:dyDescent="0.3">
      <c r="C82">
        <v>401</v>
      </c>
      <c r="D82" t="s">
        <v>139</v>
      </c>
      <c r="E82" s="89">
        <f>HLOOKUP($D$5,'Bourgeoisies Comptes 2020'!$E$3:$R$165,76,0)</f>
        <v>0</v>
      </c>
    </row>
    <row r="83" spans="2:5" x14ac:dyDescent="0.3">
      <c r="C83">
        <v>402</v>
      </c>
      <c r="D83" t="s">
        <v>140</v>
      </c>
      <c r="E83" s="89">
        <f>HLOOKUP($D$5,'Bourgeoisies Comptes 2020'!$E$3:$R$165,77,0)</f>
        <v>0</v>
      </c>
    </row>
    <row r="84" spans="2:5" x14ac:dyDescent="0.3">
      <c r="C84">
        <v>403</v>
      </c>
      <c r="D84" t="s">
        <v>141</v>
      </c>
      <c r="E84" s="89">
        <f>HLOOKUP($D$5,'Bourgeoisies Comptes 2020'!$E$3:$R$165,78,0)</f>
        <v>0</v>
      </c>
    </row>
    <row r="85" spans="2:5" x14ac:dyDescent="0.3">
      <c r="E85" s="4"/>
    </row>
    <row r="86" spans="2:5" x14ac:dyDescent="0.3">
      <c r="B86" s="96">
        <v>41</v>
      </c>
      <c r="C86" s="96"/>
      <c r="D86" s="96" t="s">
        <v>142</v>
      </c>
      <c r="E86" s="91">
        <f>SUM(E87:E90)</f>
        <v>0</v>
      </c>
    </row>
    <row r="87" spans="2:5" x14ac:dyDescent="0.3">
      <c r="C87">
        <v>410</v>
      </c>
      <c r="D87" t="s">
        <v>143</v>
      </c>
      <c r="E87" s="89">
        <f>HLOOKUP($D$5,'Bourgeoisies Comptes 2020'!$E$3:$R$165,81,0)</f>
        <v>0</v>
      </c>
    </row>
    <row r="88" spans="2:5" x14ac:dyDescent="0.3">
      <c r="C88">
        <v>411</v>
      </c>
      <c r="D88" t="s">
        <v>144</v>
      </c>
      <c r="E88" s="89">
        <f>HLOOKUP($D$5,'Bourgeoisies Comptes 2020'!$E$3:$R$165,82,0)</f>
        <v>0</v>
      </c>
    </row>
    <row r="89" spans="2:5" x14ac:dyDescent="0.3">
      <c r="C89">
        <v>412</v>
      </c>
      <c r="D89" t="s">
        <v>145</v>
      </c>
      <c r="E89" s="89">
        <f>HLOOKUP($D$5,'Bourgeoisies Comptes 2020'!$E$3:$R$165,83,0)</f>
        <v>0</v>
      </c>
    </row>
    <row r="90" spans="2:5" x14ac:dyDescent="0.3">
      <c r="C90">
        <v>413</v>
      </c>
      <c r="D90" t="s">
        <v>146</v>
      </c>
      <c r="E90" s="89">
        <f>HLOOKUP($D$5,'Bourgeoisies Comptes 2020'!$E$3:$R$165,84,0)</f>
        <v>0</v>
      </c>
    </row>
    <row r="91" spans="2:5" x14ac:dyDescent="0.3">
      <c r="E91" s="4"/>
    </row>
    <row r="92" spans="2:5" x14ac:dyDescent="0.3">
      <c r="B92" s="96">
        <v>42</v>
      </c>
      <c r="C92" s="96"/>
      <c r="D92" s="96" t="s">
        <v>147</v>
      </c>
      <c r="E92" s="91">
        <f>SUM(E93:E101)</f>
        <v>431067</v>
      </c>
    </row>
    <row r="93" spans="2:5" x14ac:dyDescent="0.3">
      <c r="C93">
        <v>420</v>
      </c>
      <c r="D93" t="s">
        <v>148</v>
      </c>
      <c r="E93" s="89">
        <f>HLOOKUP($D$5,'Bourgeoisies Comptes 2020'!$E$3:$R$165,87,0)</f>
        <v>0</v>
      </c>
    </row>
    <row r="94" spans="2:5" x14ac:dyDescent="0.3">
      <c r="C94">
        <v>421</v>
      </c>
      <c r="D94" t="s">
        <v>149</v>
      </c>
      <c r="E94" s="89">
        <f>HLOOKUP($D$5,'Bourgeoisies Comptes 2020'!$E$3:$R$165,88,0)</f>
        <v>5562</v>
      </c>
    </row>
    <row r="95" spans="2:5" x14ac:dyDescent="0.3">
      <c r="C95">
        <v>422</v>
      </c>
      <c r="D95" t="s">
        <v>150</v>
      </c>
      <c r="E95" s="89">
        <f>HLOOKUP($D$5,'Bourgeoisies Comptes 2020'!$E$3:$R$165,89,0)</f>
        <v>0</v>
      </c>
    </row>
    <row r="96" spans="2:5" x14ac:dyDescent="0.3">
      <c r="C96">
        <v>423</v>
      </c>
      <c r="D96" t="s">
        <v>151</v>
      </c>
      <c r="E96" s="89">
        <f>HLOOKUP($D$5,'Bourgeoisies Comptes 2020'!$E$3:$R$165,90,0)</f>
        <v>0</v>
      </c>
    </row>
    <row r="97" spans="2:5" x14ac:dyDescent="0.3">
      <c r="C97">
        <v>424</v>
      </c>
      <c r="D97" t="s">
        <v>152</v>
      </c>
      <c r="E97" s="89">
        <f>HLOOKUP($D$5,'Bourgeoisies Comptes 2020'!$E$3:$R$165,91,0)</f>
        <v>39917.599999999999</v>
      </c>
    </row>
    <row r="98" spans="2:5" x14ac:dyDescent="0.3">
      <c r="C98">
        <v>425</v>
      </c>
      <c r="D98" t="s">
        <v>153</v>
      </c>
      <c r="E98" s="89">
        <f>HLOOKUP($D$5,'Bourgeoisies Comptes 2020'!$E$3:$R$165,92,0)</f>
        <v>328014.95</v>
      </c>
    </row>
    <row r="99" spans="2:5" x14ac:dyDescent="0.3">
      <c r="C99">
        <v>426</v>
      </c>
      <c r="D99" t="s">
        <v>154</v>
      </c>
      <c r="E99" s="89">
        <f>HLOOKUP($D$5,'Bourgeoisies Comptes 2020'!$E$3:$R$165,93,0)</f>
        <v>57572.45</v>
      </c>
    </row>
    <row r="100" spans="2:5" x14ac:dyDescent="0.3">
      <c r="C100">
        <v>427</v>
      </c>
      <c r="D100" t="s">
        <v>155</v>
      </c>
      <c r="E100" s="89">
        <f>HLOOKUP($D$5,'Bourgeoisies Comptes 2020'!$E$3:$R$165,94,0)</f>
        <v>0</v>
      </c>
    </row>
    <row r="101" spans="2:5" x14ac:dyDescent="0.3">
      <c r="C101">
        <v>429</v>
      </c>
      <c r="D101" t="s">
        <v>156</v>
      </c>
      <c r="E101" s="89">
        <f>HLOOKUP($D$5,'Bourgeoisies Comptes 2020'!$E$3:$R$165,95,0)</f>
        <v>0</v>
      </c>
    </row>
    <row r="102" spans="2:5" x14ac:dyDescent="0.3">
      <c r="E102" s="4"/>
    </row>
    <row r="103" spans="2:5" x14ac:dyDescent="0.3">
      <c r="B103" s="96">
        <v>43</v>
      </c>
      <c r="C103" s="96"/>
      <c r="D103" s="96" t="s">
        <v>157</v>
      </c>
      <c r="E103" s="91">
        <f>SUM(E104:E107)</f>
        <v>0</v>
      </c>
    </row>
    <row r="104" spans="2:5" x14ac:dyDescent="0.3">
      <c r="C104">
        <v>430</v>
      </c>
      <c r="D104" t="s">
        <v>158</v>
      </c>
      <c r="E104" s="89">
        <f>HLOOKUP($D$5,'Bourgeoisies Comptes 2020'!$E$3:$R$165,98,0)</f>
        <v>0</v>
      </c>
    </row>
    <row r="105" spans="2:5" x14ac:dyDescent="0.3">
      <c r="C105">
        <v>431</v>
      </c>
      <c r="D105" t="s">
        <v>159</v>
      </c>
      <c r="E105" s="89">
        <f>HLOOKUP($D$5,'Bourgeoisies Comptes 2020'!$E$3:$R$165,99,0)</f>
        <v>0</v>
      </c>
    </row>
    <row r="106" spans="2:5" x14ac:dyDescent="0.3">
      <c r="C106">
        <v>432</v>
      </c>
      <c r="D106" t="s">
        <v>160</v>
      </c>
      <c r="E106" s="89">
        <f>HLOOKUP($D$5,'Bourgeoisies Comptes 2020'!$E$3:$R$165,100,0)</f>
        <v>0</v>
      </c>
    </row>
    <row r="107" spans="2:5" x14ac:dyDescent="0.3">
      <c r="C107">
        <v>439</v>
      </c>
      <c r="D107" t="s">
        <v>161</v>
      </c>
      <c r="E107" s="89">
        <f>HLOOKUP($D$5,'Bourgeoisies Comptes 2020'!$E$3:$R$165,101,0)</f>
        <v>0</v>
      </c>
    </row>
    <row r="108" spans="2:5" x14ac:dyDescent="0.3">
      <c r="E108" s="4"/>
    </row>
    <row r="109" spans="2:5" x14ac:dyDescent="0.3">
      <c r="B109" s="96">
        <v>44</v>
      </c>
      <c r="C109" s="96"/>
      <c r="D109" s="96" t="s">
        <v>162</v>
      </c>
      <c r="E109" s="91">
        <f>SUM(E110:E119)</f>
        <v>1125019.2999999998</v>
      </c>
    </row>
    <row r="110" spans="2:5" x14ac:dyDescent="0.3">
      <c r="C110">
        <v>440</v>
      </c>
      <c r="D110" t="s">
        <v>163</v>
      </c>
      <c r="E110" s="89">
        <f>HLOOKUP($D$5,'Bourgeoisies Comptes 2020'!$E$3:$R$165,104,0)</f>
        <v>44055.95</v>
      </c>
    </row>
    <row r="111" spans="2:5" x14ac:dyDescent="0.3">
      <c r="C111">
        <v>441</v>
      </c>
      <c r="D111" t="s">
        <v>164</v>
      </c>
      <c r="E111" s="89">
        <f>HLOOKUP($D$5,'Bourgeoisies Comptes 2020'!$E$3:$R$165,105,0)</f>
        <v>17070</v>
      </c>
    </row>
    <row r="112" spans="2:5" x14ac:dyDescent="0.3">
      <c r="C112">
        <v>442</v>
      </c>
      <c r="D112" t="s">
        <v>165</v>
      </c>
      <c r="E112" s="89">
        <f>HLOOKUP($D$5,'Bourgeoisies Comptes 2020'!$E$3:$R$165,106,0)</f>
        <v>3250.65</v>
      </c>
    </row>
    <row r="113" spans="2:5" x14ac:dyDescent="0.3">
      <c r="C113">
        <v>443</v>
      </c>
      <c r="D113" t="s">
        <v>166</v>
      </c>
      <c r="E113" s="89">
        <f>HLOOKUP($D$5,'Bourgeoisies Comptes 2020'!$E$3:$R$165,107,0)</f>
        <v>653106.94999999995</v>
      </c>
    </row>
    <row r="114" spans="2:5" x14ac:dyDescent="0.3">
      <c r="C114">
        <v>444</v>
      </c>
      <c r="D114" t="s">
        <v>106</v>
      </c>
      <c r="E114" s="89">
        <f>HLOOKUP($D$5,'Bourgeoisies Comptes 2020'!$E$3:$R$165,108,0)</f>
        <v>0</v>
      </c>
    </row>
    <row r="115" spans="2:5" x14ac:dyDescent="0.3">
      <c r="C115">
        <v>445</v>
      </c>
      <c r="D115" t="s">
        <v>167</v>
      </c>
      <c r="E115" s="89">
        <f>HLOOKUP($D$5,'Bourgeoisies Comptes 2020'!$E$3:$R$165,109,0)</f>
        <v>0</v>
      </c>
    </row>
    <row r="116" spans="2:5" x14ac:dyDescent="0.3">
      <c r="C116">
        <v>446</v>
      </c>
      <c r="D116" t="s">
        <v>168</v>
      </c>
      <c r="E116" s="89">
        <f>HLOOKUP($D$5,'Bourgeoisies Comptes 2020'!$E$3:$R$165,110,0)</f>
        <v>0</v>
      </c>
    </row>
    <row r="117" spans="2:5" x14ac:dyDescent="0.3">
      <c r="C117">
        <v>447</v>
      </c>
      <c r="D117" t="s">
        <v>169</v>
      </c>
      <c r="E117" s="89">
        <f>HLOOKUP($D$5,'Bourgeoisies Comptes 2020'!$E$3:$R$165,111,0)</f>
        <v>407429.75</v>
      </c>
    </row>
    <row r="118" spans="2:5" x14ac:dyDescent="0.3">
      <c r="C118">
        <v>448</v>
      </c>
      <c r="D118" t="s">
        <v>170</v>
      </c>
      <c r="E118" s="89">
        <f>HLOOKUP($D$5,'Bourgeoisies Comptes 2020'!$E$3:$R$165,112,0)</f>
        <v>0</v>
      </c>
    </row>
    <row r="119" spans="2:5" x14ac:dyDescent="0.3">
      <c r="C119">
        <v>449</v>
      </c>
      <c r="D119" t="s">
        <v>171</v>
      </c>
      <c r="E119" s="89">
        <f>HLOOKUP($D$5,'Bourgeoisies Comptes 2020'!$E$3:$R$165,113,0)</f>
        <v>106</v>
      </c>
    </row>
    <row r="120" spans="2:5" x14ac:dyDescent="0.3">
      <c r="E120" s="4"/>
    </row>
    <row r="121" spans="2:5" x14ac:dyDescent="0.3">
      <c r="B121" s="96">
        <v>45</v>
      </c>
      <c r="C121" s="96"/>
      <c r="D121" s="96" t="s">
        <v>174</v>
      </c>
      <c r="E121" s="91">
        <f>SUM(E122:E123)</f>
        <v>64520.05</v>
      </c>
    </row>
    <row r="122" spans="2:5" x14ac:dyDescent="0.3">
      <c r="C122">
        <v>450</v>
      </c>
      <c r="D122" t="s">
        <v>172</v>
      </c>
      <c r="E122" s="89">
        <f>HLOOKUP($D$5,'Bourgeoisies Comptes 2020'!$E$3:$R$165,116,0)</f>
        <v>0</v>
      </c>
    </row>
    <row r="123" spans="2:5" x14ac:dyDescent="0.3">
      <c r="C123">
        <v>451</v>
      </c>
      <c r="D123" t="s">
        <v>173</v>
      </c>
      <c r="E123" s="89">
        <f>HLOOKUP($D$5,'Bourgeoisies Comptes 2020'!$E$3:$R$165,117,0)</f>
        <v>64520.05</v>
      </c>
    </row>
    <row r="124" spans="2:5" x14ac:dyDescent="0.3">
      <c r="E124" s="4"/>
    </row>
    <row r="125" spans="2:5" x14ac:dyDescent="0.3">
      <c r="B125" s="96">
        <v>46</v>
      </c>
      <c r="C125" s="96"/>
      <c r="D125" s="96" t="s">
        <v>175</v>
      </c>
      <c r="E125" s="91">
        <f>SUM(E126:E130)</f>
        <v>360390.25</v>
      </c>
    </row>
    <row r="126" spans="2:5" x14ac:dyDescent="0.3">
      <c r="C126">
        <v>460</v>
      </c>
      <c r="D126" t="s">
        <v>176</v>
      </c>
      <c r="E126" s="89">
        <f>HLOOKUP($D$5,'Bourgeoisies Comptes 2020'!$E$3:$R$165,120,0)</f>
        <v>0</v>
      </c>
    </row>
    <row r="127" spans="2:5" x14ac:dyDescent="0.3">
      <c r="C127">
        <v>461</v>
      </c>
      <c r="D127" t="s">
        <v>177</v>
      </c>
      <c r="E127" s="89">
        <f>HLOOKUP($D$5,'Bourgeoisies Comptes 2020'!$E$3:$R$165,121,0)</f>
        <v>0</v>
      </c>
    </row>
    <row r="128" spans="2:5" x14ac:dyDescent="0.3">
      <c r="C128">
        <v>462</v>
      </c>
      <c r="D128" t="s">
        <v>113</v>
      </c>
      <c r="E128" s="89">
        <f>HLOOKUP($D$5,'Bourgeoisies Comptes 2020'!$E$3:$R$165,122,0)</f>
        <v>0</v>
      </c>
    </row>
    <row r="129" spans="2:5" x14ac:dyDescent="0.3">
      <c r="C129">
        <v>463</v>
      </c>
      <c r="D129" t="s">
        <v>178</v>
      </c>
      <c r="E129" s="89">
        <f>HLOOKUP($D$5,'Bourgeoisies Comptes 2020'!$E$3:$R$165,123,0)</f>
        <v>360390.25</v>
      </c>
    </row>
    <row r="130" spans="2:5" x14ac:dyDescent="0.3">
      <c r="C130">
        <v>469</v>
      </c>
      <c r="D130" t="s">
        <v>179</v>
      </c>
      <c r="E130" s="89">
        <f>HLOOKUP($D$5,'Bourgeoisies Comptes 2020'!$E$3:$R$165,124,0)</f>
        <v>0</v>
      </c>
    </row>
    <row r="131" spans="2:5" x14ac:dyDescent="0.3">
      <c r="E131" s="4"/>
    </row>
    <row r="132" spans="2:5" x14ac:dyDescent="0.3">
      <c r="B132" s="96">
        <v>47</v>
      </c>
      <c r="C132" s="96"/>
      <c r="D132" s="96" t="s">
        <v>119</v>
      </c>
      <c r="E132" s="91">
        <f>SUM(E133)</f>
        <v>0</v>
      </c>
    </row>
    <row r="133" spans="2:5" x14ac:dyDescent="0.3">
      <c r="C133">
        <v>470</v>
      </c>
      <c r="D133" t="s">
        <v>180</v>
      </c>
      <c r="E133" s="89">
        <f>HLOOKUP($D$5,'Bourgeoisies Comptes 2020'!$E$3:$R$165,127,0)</f>
        <v>0</v>
      </c>
    </row>
    <row r="134" spans="2:5" x14ac:dyDescent="0.3">
      <c r="E134" s="4"/>
    </row>
    <row r="135" spans="2:5" x14ac:dyDescent="0.3">
      <c r="B135" s="96">
        <v>48</v>
      </c>
      <c r="C135" s="96"/>
      <c r="D135" s="96" t="s">
        <v>181</v>
      </c>
      <c r="E135" s="91">
        <f>SUM(E136:E142)</f>
        <v>0</v>
      </c>
    </row>
    <row r="136" spans="2:5" x14ac:dyDescent="0.3">
      <c r="C136">
        <v>481</v>
      </c>
      <c r="D136" t="s">
        <v>182</v>
      </c>
      <c r="E136" s="89">
        <f>HLOOKUP($D$5,'Bourgeoisies Comptes 2020'!$E$3:$R$165,130,0)</f>
        <v>0</v>
      </c>
    </row>
    <row r="137" spans="2:5" x14ac:dyDescent="0.3">
      <c r="C137">
        <v>482</v>
      </c>
      <c r="D137" t="s">
        <v>183</v>
      </c>
      <c r="E137" s="89">
        <f>HLOOKUP($D$5,'Bourgeoisies Comptes 2020'!$E$3:$R$165,131,0)</f>
        <v>0</v>
      </c>
    </row>
    <row r="138" spans="2:5" x14ac:dyDescent="0.3">
      <c r="C138">
        <v>483</v>
      </c>
      <c r="D138" t="s">
        <v>184</v>
      </c>
      <c r="E138" s="89">
        <f>HLOOKUP($D$5,'Bourgeoisies Comptes 2020'!$E$3:$R$165,132,0)</f>
        <v>0</v>
      </c>
    </row>
    <row r="139" spans="2:5" x14ac:dyDescent="0.3">
      <c r="C139">
        <v>484</v>
      </c>
      <c r="D139" t="s">
        <v>185</v>
      </c>
      <c r="E139" s="89">
        <f>HLOOKUP($D$5,'Bourgeoisies Comptes 2020'!$E$3:$R$165,133,0)</f>
        <v>0</v>
      </c>
    </row>
    <row r="140" spans="2:5" x14ac:dyDescent="0.3">
      <c r="C140">
        <v>485</v>
      </c>
      <c r="D140" t="s">
        <v>186</v>
      </c>
      <c r="E140" s="89">
        <f>HLOOKUP($D$5,'Bourgeoisies Comptes 2020'!$E$3:$R$165,134,0)</f>
        <v>0</v>
      </c>
    </row>
    <row r="141" spans="2:5" x14ac:dyDescent="0.3">
      <c r="C141">
        <v>486</v>
      </c>
      <c r="D141" t="s">
        <v>187</v>
      </c>
      <c r="E141" s="89">
        <f>HLOOKUP($D$5,'Bourgeoisies Comptes 2020'!$E$3:$R$165,135,0)</f>
        <v>0</v>
      </c>
    </row>
    <row r="142" spans="2:5" x14ac:dyDescent="0.3">
      <c r="C142">
        <v>489</v>
      </c>
      <c r="D142" t="s">
        <v>188</v>
      </c>
      <c r="E142" s="89">
        <f>HLOOKUP($D$5,'Bourgeoisies Comptes 2020'!$E$3:$R$165,136,0)</f>
        <v>0</v>
      </c>
    </row>
    <row r="143" spans="2:5" x14ac:dyDescent="0.3">
      <c r="E143" s="4"/>
    </row>
    <row r="144" spans="2:5" x14ac:dyDescent="0.3">
      <c r="B144" s="96">
        <v>49</v>
      </c>
      <c r="C144" s="96"/>
      <c r="D144" s="96" t="s">
        <v>128</v>
      </c>
      <c r="E144" s="91">
        <f>SUM(E145:E152)</f>
        <v>0</v>
      </c>
    </row>
    <row r="145" spans="1:5" x14ac:dyDescent="0.3">
      <c r="C145">
        <v>490</v>
      </c>
      <c r="D145" t="s">
        <v>129</v>
      </c>
      <c r="E145" s="89">
        <f>HLOOKUP($D$5,'Bourgeoisies Comptes 2020'!$E$3:$R$165,139,0)</f>
        <v>0</v>
      </c>
    </row>
    <row r="146" spans="1:5" x14ac:dyDescent="0.3">
      <c r="C146">
        <v>491</v>
      </c>
      <c r="D146" t="s">
        <v>130</v>
      </c>
      <c r="E146" s="89">
        <f>HLOOKUP($D$5,'Bourgeoisies Comptes 2020'!$E$3:$R$165,140,0)</f>
        <v>0</v>
      </c>
    </row>
    <row r="147" spans="1:5" x14ac:dyDescent="0.3">
      <c r="C147">
        <v>492</v>
      </c>
      <c r="D147" t="s">
        <v>189</v>
      </c>
      <c r="E147" s="89">
        <f>HLOOKUP($D$5,'Bourgeoisies Comptes 2020'!$E$3:$R$165,141,0)</f>
        <v>0</v>
      </c>
    </row>
    <row r="148" spans="1:5" x14ac:dyDescent="0.3">
      <c r="C148">
        <v>493</v>
      </c>
      <c r="D148" t="s">
        <v>190</v>
      </c>
      <c r="E148" s="89">
        <f>HLOOKUP($D$5,'Bourgeoisies Comptes 2020'!$E$3:$R$165,142,0)</f>
        <v>0</v>
      </c>
    </row>
    <row r="149" spans="1:5" x14ac:dyDescent="0.3">
      <c r="C149">
        <v>494</v>
      </c>
      <c r="D149" t="s">
        <v>133</v>
      </c>
      <c r="E149" s="89">
        <f>HLOOKUP($D$5,'Bourgeoisies Comptes 2020'!$E$3:$R$165,143,0)</f>
        <v>0</v>
      </c>
    </row>
    <row r="150" spans="1:5" x14ac:dyDescent="0.3">
      <c r="C150">
        <v>495</v>
      </c>
      <c r="D150" t="s">
        <v>191</v>
      </c>
      <c r="E150" s="89">
        <f>HLOOKUP($D$5,'Bourgeoisies Comptes 2020'!$E$3:$R$165,144,0)</f>
        <v>0</v>
      </c>
    </row>
    <row r="151" spans="1:5" x14ac:dyDescent="0.3">
      <c r="C151">
        <v>498</v>
      </c>
      <c r="D151" t="s">
        <v>192</v>
      </c>
      <c r="E151" s="89">
        <f>HLOOKUP($D$5,'Bourgeoisies Comptes 2020'!$E$3:$R$165,145,0)</f>
        <v>0</v>
      </c>
    </row>
    <row r="152" spans="1:5" x14ac:dyDescent="0.3">
      <c r="C152">
        <v>499</v>
      </c>
      <c r="D152" t="s">
        <v>136</v>
      </c>
      <c r="E152" s="89">
        <f>HLOOKUP($D$5,'Bourgeoisies Comptes 2020'!$E$3:$R$165,146,0)</f>
        <v>0</v>
      </c>
    </row>
    <row r="153" spans="1:5" x14ac:dyDescent="0.3">
      <c r="E153" s="4"/>
    </row>
    <row r="154" spans="1:5" x14ac:dyDescent="0.3">
      <c r="E154" s="4"/>
    </row>
    <row r="155" spans="1:5" x14ac:dyDescent="0.3">
      <c r="E155" s="4"/>
    </row>
    <row r="156" spans="1:5" x14ac:dyDescent="0.3">
      <c r="A156" s="106">
        <v>9</v>
      </c>
      <c r="B156" s="106"/>
      <c r="C156" s="106"/>
      <c r="D156" s="106" t="s">
        <v>194</v>
      </c>
      <c r="E156" s="107"/>
    </row>
    <row r="157" spans="1:5" x14ac:dyDescent="0.3">
      <c r="A157" s="106"/>
      <c r="B157" s="106">
        <v>90</v>
      </c>
      <c r="C157" s="106"/>
      <c r="D157" s="106" t="s">
        <v>195</v>
      </c>
      <c r="E157" s="108">
        <f>SUM(E158:E159)</f>
        <v>157274</v>
      </c>
    </row>
    <row r="158" spans="1:5" x14ac:dyDescent="0.3">
      <c r="C158">
        <v>900</v>
      </c>
      <c r="D158" t="s">
        <v>196</v>
      </c>
      <c r="E158" s="89">
        <f>HLOOKUP($D$5,'Bourgeoisies Comptes 2020'!$E$3:$R$165,152,0)</f>
        <v>157274</v>
      </c>
    </row>
    <row r="159" spans="1:5" x14ac:dyDescent="0.3">
      <c r="C159">
        <v>901</v>
      </c>
      <c r="D159" t="s">
        <v>197</v>
      </c>
      <c r="E159" s="89">
        <f>HLOOKUP($D$5,'Bourgeoisies Comptes 2020'!$E$3:$R$165,153,0)</f>
        <v>0</v>
      </c>
    </row>
    <row r="160" spans="1:5" x14ac:dyDescent="0.3">
      <c r="E160" s="4"/>
    </row>
    <row r="161" spans="4:5" x14ac:dyDescent="0.3">
      <c r="D161" s="7" t="s">
        <v>198</v>
      </c>
      <c r="E161" s="89">
        <f>HLOOKUP($D$5,'Bourgeoisies Comptes 2020'!$E$3:$R$165,155,0)</f>
        <v>157274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2020'!$E$3:$R$3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85"/>
  <sheetViews>
    <sheetView zoomScaleNormal="100" workbookViewId="0">
      <pane xSplit="4" ySplit="3" topLeftCell="BB4" activePane="bottomRight" state="frozen"/>
      <selection activeCell="C23" sqref="C23"/>
      <selection pane="topRight" activeCell="C23" sqref="C23"/>
      <selection pane="bottomLeft" activeCell="C23" sqref="C23"/>
      <selection pane="bottomRight" activeCell="C23" sqref="C23"/>
    </sheetView>
  </sheetViews>
  <sheetFormatPr baseColWidth="10" defaultRowHeight="14.4" x14ac:dyDescent="0.3"/>
  <cols>
    <col min="1" max="2" width="5.6640625" customWidth="1"/>
    <col min="3" max="3" width="9" customWidth="1"/>
    <col min="4" max="4" width="63.5546875" customWidth="1"/>
    <col min="5" max="58" width="16.33203125" customWidth="1"/>
    <col min="59" max="61" width="17.88671875" customWidth="1"/>
  </cols>
  <sheetData>
    <row r="1" spans="1:61" ht="25.8" x14ac:dyDescent="0.5">
      <c r="A1" s="42" t="s">
        <v>199</v>
      </c>
      <c r="B1" s="7"/>
      <c r="C1" s="7"/>
      <c r="D1" s="7"/>
    </row>
    <row r="2" spans="1:61" x14ac:dyDescent="0.3">
      <c r="A2" t="s">
        <v>818</v>
      </c>
      <c r="E2" s="57">
        <f>'Base de données pop.'!C2</f>
        <v>923</v>
      </c>
      <c r="F2" s="57">
        <f>'Base de données pop.'!C3</f>
        <v>270</v>
      </c>
      <c r="G2" s="57">
        <f>'Base de données pop.'!C4</f>
        <v>485</v>
      </c>
      <c r="H2" s="57">
        <f>'Base de données pop.'!C5</f>
        <v>446</v>
      </c>
      <c r="I2" s="57">
        <f>'Base de données pop.'!C6</f>
        <v>3631</v>
      </c>
      <c r="J2" s="57">
        <f>'Base de données pop.'!C7</f>
        <v>3313</v>
      </c>
      <c r="K2" s="57">
        <f>'Base de données pop.'!C8</f>
        <v>2644</v>
      </c>
      <c r="L2" s="57">
        <f>'Base de données pop.'!C9</f>
        <v>12618</v>
      </c>
      <c r="M2" s="57">
        <f>'Base de données pop.'!C10</f>
        <v>1371</v>
      </c>
      <c r="N2" s="57">
        <f>'Base de données pop.'!C11</f>
        <v>118</v>
      </c>
      <c r="O2" s="57">
        <f>'Base de données pop.'!C12</f>
        <v>7167</v>
      </c>
      <c r="P2" s="57">
        <f>'Base de données pop.'!C13</f>
        <v>528</v>
      </c>
      <c r="Q2" s="57">
        <f>'Base de données pop.'!C14</f>
        <v>108</v>
      </c>
      <c r="R2" s="57">
        <f>'Base de données pop.'!C15</f>
        <v>415</v>
      </c>
      <c r="S2" s="57">
        <f>'Base de données pop.'!C16</f>
        <v>349</v>
      </c>
      <c r="T2" s="57">
        <f>'Base de données pop.'!C17</f>
        <v>687</v>
      </c>
      <c r="U2" s="57">
        <f>'Base de données pop.'!C18</f>
        <v>255</v>
      </c>
      <c r="V2" s="57">
        <f>'Base de données pop.'!C19</f>
        <v>436</v>
      </c>
      <c r="W2" s="57">
        <f>'Base de données pop.'!C20</f>
        <v>3190</v>
      </c>
      <c r="X2" s="57">
        <f>'Base de données pop.'!C21</f>
        <v>324</v>
      </c>
      <c r="Y2" s="57">
        <f>'Base de données pop.'!C22</f>
        <v>1246</v>
      </c>
      <c r="Z2" s="57">
        <f>'Base de données pop.'!C23</f>
        <v>1528</v>
      </c>
      <c r="AA2" s="57">
        <f>'Base de données pop.'!C24</f>
        <v>96</v>
      </c>
      <c r="AB2" s="57">
        <f>'Base de données pop.'!C25</f>
        <v>149</v>
      </c>
      <c r="AC2" s="57">
        <f>'Base de données pop.'!C26</f>
        <v>516</v>
      </c>
      <c r="AD2" s="57">
        <f>'Base de données pop.'!C27</f>
        <v>671</v>
      </c>
      <c r="AE2" s="57">
        <f>'Base de données pop.'!C28</f>
        <v>572</v>
      </c>
      <c r="AF2" s="57">
        <f>'Base de données pop.'!C29</f>
        <v>490</v>
      </c>
      <c r="AG2" s="57">
        <f>'Base de données pop.'!C30</f>
        <v>1914</v>
      </c>
      <c r="AH2" s="57">
        <f>'Base de données pop.'!C31</f>
        <v>2615</v>
      </c>
      <c r="AI2" s="57">
        <f>'Base de données pop.'!C32</f>
        <v>227</v>
      </c>
      <c r="AJ2" s="57">
        <f>'Base de données pop.'!C33</f>
        <v>131</v>
      </c>
      <c r="AK2" s="57">
        <f>'Base de données pop.'!C34</f>
        <v>1895</v>
      </c>
      <c r="AL2" s="57">
        <f>'Base de données pop.'!C35</f>
        <v>1135</v>
      </c>
      <c r="AM2" s="57">
        <f>'Base de données pop.'!C36</f>
        <v>1241</v>
      </c>
      <c r="AN2" s="57">
        <f>'Base de données pop.'!C37</f>
        <v>119</v>
      </c>
      <c r="AO2" s="57">
        <f>'Base de données pop.'!C38</f>
        <v>1195</v>
      </c>
      <c r="AP2" s="57">
        <f>'Base de données pop.'!C39</f>
        <v>663</v>
      </c>
      <c r="AQ2" s="57">
        <f>'Base de données pop.'!C40</f>
        <v>645</v>
      </c>
      <c r="AR2" s="57">
        <f>'Base de données pop.'!C41</f>
        <v>1263</v>
      </c>
      <c r="AS2" s="57">
        <f>'Base de données pop.'!C42</f>
        <v>740</v>
      </c>
      <c r="AT2" s="57">
        <f>'Base de données pop.'!C43</f>
        <v>1028</v>
      </c>
      <c r="AU2" s="57">
        <f>'Base de données pop.'!C44</f>
        <v>314</v>
      </c>
      <c r="AV2" s="57">
        <f>'Base de données pop.'!C45</f>
        <v>2400</v>
      </c>
      <c r="AW2" s="57">
        <f>'Base de données pop.'!C46</f>
        <v>755</v>
      </c>
      <c r="AX2" s="57">
        <f>'Base de données pop.'!C47</f>
        <v>181</v>
      </c>
      <c r="AY2" s="57">
        <f>'Base de données pop.'!C48</f>
        <v>347</v>
      </c>
      <c r="AZ2" s="57">
        <f>'Base de données pop.'!C49</f>
        <v>1690</v>
      </c>
      <c r="BA2" s="57">
        <f>'Base de données pop.'!C50</f>
        <v>387</v>
      </c>
      <c r="BB2" s="57">
        <f>'Base de données pop.'!C51</f>
        <v>1096</v>
      </c>
      <c r="BC2" s="57">
        <f>'Base de données pop.'!C52</f>
        <v>188</v>
      </c>
      <c r="BD2" s="57">
        <f>'Base de données pop.'!C53</f>
        <v>6434</v>
      </c>
      <c r="BE2" s="57">
        <f>'Base de données pop.'!C54</f>
        <v>560</v>
      </c>
      <c r="BF2" s="57">
        <f>SUM(E2:BE2)</f>
        <v>73709</v>
      </c>
      <c r="BG2" s="57">
        <f>SUM(E2:W2)</f>
        <v>38954</v>
      </c>
      <c r="BH2" s="57">
        <f>SUM(X2:AJ2)</f>
        <v>10479</v>
      </c>
      <c r="BI2" s="57">
        <f>SUM(AK2:BE2)</f>
        <v>24276</v>
      </c>
    </row>
    <row r="3" spans="1:61" x14ac:dyDescent="0.3">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4">
      <c r="A4" s="92">
        <v>3</v>
      </c>
      <c r="B4" s="92"/>
      <c r="C4" s="92"/>
      <c r="D4" s="92" t="s">
        <v>60</v>
      </c>
      <c r="E4" s="93">
        <f>E5+E15+E27+E31+E39+E43+E53+E56+E64</f>
        <v>4023666.78</v>
      </c>
      <c r="F4" s="93">
        <f t="shared" ref="F4:BI4" si="0">F5+F15+F27+F31+F39+F43+F53+F56+F64</f>
        <v>1024476.5899999999</v>
      </c>
      <c r="G4" s="93">
        <f t="shared" si="0"/>
        <v>1740654.2199999997</v>
      </c>
      <c r="H4" s="93">
        <f t="shared" si="0"/>
        <v>1738507.71</v>
      </c>
      <c r="I4" s="93">
        <f t="shared" si="0"/>
        <v>14077081.509999998</v>
      </c>
      <c r="J4" s="93">
        <f t="shared" si="0"/>
        <v>13356921.640000001</v>
      </c>
      <c r="K4" s="93">
        <f t="shared" si="0"/>
        <v>10198838.439999999</v>
      </c>
      <c r="L4" s="93">
        <f t="shared" si="0"/>
        <v>99120550.029999986</v>
      </c>
      <c r="M4" s="93">
        <f t="shared" si="0"/>
        <v>7172640.6600000001</v>
      </c>
      <c r="N4" s="93">
        <f t="shared" si="0"/>
        <v>465190.74</v>
      </c>
      <c r="O4" s="93">
        <f t="shared" si="0"/>
        <v>25574369.950000003</v>
      </c>
      <c r="P4" s="93">
        <f t="shared" si="0"/>
        <v>2024389.12</v>
      </c>
      <c r="Q4" s="93">
        <f t="shared" si="0"/>
        <v>378615.28</v>
      </c>
      <c r="R4" s="93">
        <f t="shared" si="0"/>
        <v>1537836.38</v>
      </c>
      <c r="S4" s="93">
        <f t="shared" si="0"/>
        <v>1356352.42</v>
      </c>
      <c r="T4" s="93">
        <f t="shared" si="0"/>
        <v>2616219.5700000003</v>
      </c>
      <c r="U4" s="93">
        <f t="shared" si="0"/>
        <v>1004618.0499999999</v>
      </c>
      <c r="V4" s="93">
        <f t="shared" si="0"/>
        <v>2420187.2800000003</v>
      </c>
      <c r="W4" s="93">
        <f t="shared" si="0"/>
        <v>11757343.74</v>
      </c>
      <c r="X4" s="93">
        <f t="shared" si="0"/>
        <v>1847199.7699999998</v>
      </c>
      <c r="Y4" s="93">
        <f t="shared" si="0"/>
        <v>5662732.25</v>
      </c>
      <c r="Z4" s="93">
        <f t="shared" si="0"/>
        <v>10836534.830000002</v>
      </c>
      <c r="AA4" s="93">
        <f t="shared" si="0"/>
        <v>644533.20000000007</v>
      </c>
      <c r="AB4" s="93">
        <f t="shared" si="0"/>
        <v>827991.57</v>
      </c>
      <c r="AC4" s="93">
        <f t="shared" si="0"/>
        <v>2724908.7600000007</v>
      </c>
      <c r="AD4" s="93">
        <f t="shared" si="0"/>
        <v>3423946.5900000008</v>
      </c>
      <c r="AE4" s="93">
        <f t="shared" si="0"/>
        <v>2683306.15</v>
      </c>
      <c r="AF4" s="93">
        <f t="shared" si="0"/>
        <v>3714434.5600000005</v>
      </c>
      <c r="AG4" s="93">
        <f t="shared" si="0"/>
        <v>8821935.7699999996</v>
      </c>
      <c r="AH4" s="93">
        <f t="shared" si="0"/>
        <v>11584752.48</v>
      </c>
      <c r="AI4" s="93">
        <f t="shared" si="0"/>
        <v>1149199.7999999998</v>
      </c>
      <c r="AJ4" s="93">
        <f t="shared" si="0"/>
        <v>642235.65</v>
      </c>
      <c r="AK4" s="93">
        <f t="shared" si="0"/>
        <v>7998191.8299999991</v>
      </c>
      <c r="AL4" s="93">
        <f t="shared" si="0"/>
        <v>5756760.120000001</v>
      </c>
      <c r="AM4" s="93">
        <f t="shared" si="0"/>
        <v>4612595.87</v>
      </c>
      <c r="AN4" s="93">
        <f t="shared" si="0"/>
        <v>564123.19000000006</v>
      </c>
      <c r="AO4" s="93">
        <f t="shared" si="0"/>
        <v>8348710.6599999992</v>
      </c>
      <c r="AP4" s="93">
        <f t="shared" si="0"/>
        <v>3777958.1799999997</v>
      </c>
      <c r="AQ4" s="93">
        <f t="shared" si="0"/>
        <v>2500263.6100000003</v>
      </c>
      <c r="AR4" s="93">
        <f t="shared" si="0"/>
        <v>7195879.459999999</v>
      </c>
      <c r="AS4" s="93">
        <f t="shared" si="0"/>
        <v>3007875.98</v>
      </c>
      <c r="AT4" s="93">
        <f t="shared" si="0"/>
        <v>4356503.2300000004</v>
      </c>
      <c r="AU4" s="93">
        <f t="shared" si="0"/>
        <v>2657434.1799999997</v>
      </c>
      <c r="AV4" s="93">
        <f t="shared" si="0"/>
        <v>8937021.1899999995</v>
      </c>
      <c r="AW4" s="93">
        <f t="shared" si="0"/>
        <v>2950588.56</v>
      </c>
      <c r="AX4" s="93">
        <f t="shared" si="0"/>
        <v>741246.2</v>
      </c>
      <c r="AY4" s="93">
        <f t="shared" si="0"/>
        <v>1487464.8</v>
      </c>
      <c r="AZ4" s="93">
        <f t="shared" si="0"/>
        <v>7023915.9999999991</v>
      </c>
      <c r="BA4" s="93">
        <f t="shared" si="0"/>
        <v>1739103.08</v>
      </c>
      <c r="BB4" s="93">
        <f t="shared" si="0"/>
        <v>5671248.4699999997</v>
      </c>
      <c r="BC4" s="93">
        <f t="shared" si="0"/>
        <v>636352.83000000007</v>
      </c>
      <c r="BD4" s="93">
        <f t="shared" si="0"/>
        <v>40471114.469999999</v>
      </c>
      <c r="BE4" s="93">
        <f t="shared" si="0"/>
        <v>2395635.41</v>
      </c>
      <c r="BF4" s="93">
        <f t="shared" si="0"/>
        <v>378982158.81000012</v>
      </c>
      <c r="BG4" s="93">
        <f t="shared" si="0"/>
        <v>201588460.10999998</v>
      </c>
      <c r="BH4" s="93">
        <f t="shared" si="0"/>
        <v>54563711.38000001</v>
      </c>
      <c r="BI4" s="93">
        <f t="shared" si="0"/>
        <v>122829987.31999999</v>
      </c>
    </row>
    <row r="5" spans="1:61" x14ac:dyDescent="0.3">
      <c r="A5" s="94"/>
      <c r="B5" s="94">
        <v>30</v>
      </c>
      <c r="C5" s="94"/>
      <c r="D5" s="94" t="s">
        <v>61</v>
      </c>
      <c r="E5" s="95">
        <f>E6+E7+E8+E9+E10+E11+E12+E13</f>
        <v>469778.3</v>
      </c>
      <c r="F5" s="95">
        <f t="shared" ref="F5:BI5" si="1">F6+F7+F8+F9+F10+F11+F12+F13</f>
        <v>52868.7</v>
      </c>
      <c r="G5" s="95">
        <f t="shared" si="1"/>
        <v>138719.95000000001</v>
      </c>
      <c r="H5" s="95">
        <f t="shared" si="1"/>
        <v>234232.2</v>
      </c>
      <c r="I5" s="95">
        <f t="shared" si="1"/>
        <v>2617814.3999999994</v>
      </c>
      <c r="J5" s="95">
        <f t="shared" si="1"/>
        <v>2914897.7000000007</v>
      </c>
      <c r="K5" s="95">
        <f t="shared" si="1"/>
        <v>1077446.8999999999</v>
      </c>
      <c r="L5" s="95">
        <f t="shared" si="1"/>
        <v>23819035.590000004</v>
      </c>
      <c r="M5" s="95">
        <f t="shared" si="1"/>
        <v>1243052.8</v>
      </c>
      <c r="N5" s="95">
        <f t="shared" si="1"/>
        <v>41572.05000000001</v>
      </c>
      <c r="O5" s="95">
        <f t="shared" si="1"/>
        <v>3587375.6</v>
      </c>
      <c r="P5" s="95">
        <f t="shared" si="1"/>
        <v>166881.04999999999</v>
      </c>
      <c r="Q5" s="95">
        <f t="shared" si="1"/>
        <v>69596.649999999994</v>
      </c>
      <c r="R5" s="95">
        <f t="shared" si="1"/>
        <v>238242.75</v>
      </c>
      <c r="S5" s="95">
        <f t="shared" si="1"/>
        <v>120756.95</v>
      </c>
      <c r="T5" s="95">
        <f t="shared" si="1"/>
        <v>294788</v>
      </c>
      <c r="U5" s="95">
        <f t="shared" si="1"/>
        <v>115430.84999999999</v>
      </c>
      <c r="V5" s="95">
        <f t="shared" si="1"/>
        <v>341297.2</v>
      </c>
      <c r="W5" s="95">
        <f t="shared" si="1"/>
        <v>2126563.1999999997</v>
      </c>
      <c r="X5" s="95">
        <f t="shared" si="1"/>
        <v>99578.5</v>
      </c>
      <c r="Y5" s="95">
        <f t="shared" si="1"/>
        <v>1250675.8</v>
      </c>
      <c r="Z5" s="95">
        <f t="shared" si="1"/>
        <v>1631716.45</v>
      </c>
      <c r="AA5" s="95">
        <f t="shared" si="1"/>
        <v>93557.6</v>
      </c>
      <c r="AB5" s="95">
        <f t="shared" si="1"/>
        <v>66462.900000000009</v>
      </c>
      <c r="AC5" s="95">
        <f t="shared" si="1"/>
        <v>273450.14999999997</v>
      </c>
      <c r="AD5" s="95">
        <f t="shared" si="1"/>
        <v>563074.20000000007</v>
      </c>
      <c r="AE5" s="95">
        <f t="shared" si="1"/>
        <v>297597.05</v>
      </c>
      <c r="AF5" s="95">
        <f t="shared" si="1"/>
        <v>357056.9</v>
      </c>
      <c r="AG5" s="95">
        <f t="shared" si="1"/>
        <v>965251.9</v>
      </c>
      <c r="AH5" s="95">
        <f t="shared" si="1"/>
        <v>1837860.75</v>
      </c>
      <c r="AI5" s="95">
        <f t="shared" si="1"/>
        <v>100313.84999999999</v>
      </c>
      <c r="AJ5" s="95">
        <f t="shared" si="1"/>
        <v>66337.75</v>
      </c>
      <c r="AK5" s="95">
        <f t="shared" si="1"/>
        <v>773698.35</v>
      </c>
      <c r="AL5" s="95">
        <f t="shared" si="1"/>
        <v>644888.1</v>
      </c>
      <c r="AM5" s="95">
        <f t="shared" si="1"/>
        <v>494732.75</v>
      </c>
      <c r="AN5" s="95">
        <f t="shared" si="1"/>
        <v>66430.3</v>
      </c>
      <c r="AO5" s="95">
        <f t="shared" si="1"/>
        <v>1270590.7</v>
      </c>
      <c r="AP5" s="95">
        <f t="shared" si="1"/>
        <v>791661.35</v>
      </c>
      <c r="AQ5" s="95">
        <f t="shared" si="1"/>
        <v>242934.65000000002</v>
      </c>
      <c r="AR5" s="95">
        <f t="shared" si="1"/>
        <v>1102114.8</v>
      </c>
      <c r="AS5" s="95">
        <f t="shared" si="1"/>
        <v>441282.85</v>
      </c>
      <c r="AT5" s="95">
        <f t="shared" si="1"/>
        <v>438562.5</v>
      </c>
      <c r="AU5" s="95">
        <f t="shared" si="1"/>
        <v>107092.01000000001</v>
      </c>
      <c r="AV5" s="95">
        <f t="shared" si="1"/>
        <v>1008536.25</v>
      </c>
      <c r="AW5" s="95">
        <f t="shared" si="1"/>
        <v>474540.2</v>
      </c>
      <c r="AX5" s="95">
        <f t="shared" si="1"/>
        <v>87538.05</v>
      </c>
      <c r="AY5" s="95">
        <f t="shared" si="1"/>
        <v>141865.75</v>
      </c>
      <c r="AZ5" s="95">
        <f t="shared" si="1"/>
        <v>873403.6</v>
      </c>
      <c r="BA5" s="95">
        <f t="shared" si="1"/>
        <v>118392.9</v>
      </c>
      <c r="BB5" s="95">
        <f t="shared" si="1"/>
        <v>1272093.4599999997</v>
      </c>
      <c r="BC5" s="95">
        <f t="shared" si="1"/>
        <v>72984.600000000006</v>
      </c>
      <c r="BD5" s="95">
        <f t="shared" si="1"/>
        <v>10704463.389999999</v>
      </c>
      <c r="BE5" s="95">
        <f t="shared" si="1"/>
        <v>319536.65000000002</v>
      </c>
      <c r="BF5" s="95">
        <f t="shared" si="1"/>
        <v>68720627.850000009</v>
      </c>
      <c r="BG5" s="95">
        <f t="shared" si="1"/>
        <v>39670350.840000004</v>
      </c>
      <c r="BH5" s="95">
        <f t="shared" si="1"/>
        <v>7602933.7999999998</v>
      </c>
      <c r="BI5" s="95">
        <f t="shared" si="1"/>
        <v>21447343.209999993</v>
      </c>
    </row>
    <row r="6" spans="1:61" x14ac:dyDescent="0.3">
      <c r="C6">
        <v>300</v>
      </c>
      <c r="D6" t="s">
        <v>80</v>
      </c>
      <c r="E6" s="4">
        <v>39726.800000000003</v>
      </c>
      <c r="F6" s="4">
        <v>20005</v>
      </c>
      <c r="G6" s="4">
        <v>28557.55</v>
      </c>
      <c r="H6" s="4">
        <v>40361.699999999997</v>
      </c>
      <c r="I6" s="4">
        <v>184074.8</v>
      </c>
      <c r="J6" s="4">
        <v>138815.6</v>
      </c>
      <c r="K6" s="4">
        <v>101565.45</v>
      </c>
      <c r="L6" s="4">
        <v>740241.35</v>
      </c>
      <c r="M6" s="4">
        <v>64924.7</v>
      </c>
      <c r="N6" s="4">
        <v>17779.150000000001</v>
      </c>
      <c r="O6" s="4">
        <v>280834.75</v>
      </c>
      <c r="P6" s="4">
        <v>36162.699999999997</v>
      </c>
      <c r="Q6" s="4">
        <v>14663.75</v>
      </c>
      <c r="R6" s="4">
        <v>25162.5</v>
      </c>
      <c r="S6" s="4">
        <v>26418.55</v>
      </c>
      <c r="T6" s="4">
        <v>56803.75</v>
      </c>
      <c r="U6" s="4">
        <v>12439.2</v>
      </c>
      <c r="V6" s="4">
        <v>56966.95</v>
      </c>
      <c r="W6" s="4">
        <v>94890.6</v>
      </c>
      <c r="X6" s="4">
        <v>38284.550000000003</v>
      </c>
      <c r="Y6" s="4">
        <v>57691.45</v>
      </c>
      <c r="Z6" s="4">
        <v>51033.65</v>
      </c>
      <c r="AA6" s="4">
        <v>6537.5</v>
      </c>
      <c r="AB6" s="4">
        <v>11586.25</v>
      </c>
      <c r="AC6" s="4">
        <v>23330</v>
      </c>
      <c r="AD6" s="4">
        <v>19312.5</v>
      </c>
      <c r="AE6" s="4">
        <v>22530</v>
      </c>
      <c r="AF6" s="4">
        <v>26236.6</v>
      </c>
      <c r="AG6" s="4">
        <v>87676.05</v>
      </c>
      <c r="AH6" s="4">
        <v>56826.1</v>
      </c>
      <c r="AI6" s="4">
        <v>19636.650000000001</v>
      </c>
      <c r="AJ6" s="4">
        <v>14782.5</v>
      </c>
      <c r="AK6" s="4">
        <v>149613.35</v>
      </c>
      <c r="AL6" s="4">
        <v>48609.7</v>
      </c>
      <c r="AM6" s="4">
        <v>48095.4</v>
      </c>
      <c r="AN6" s="4">
        <v>17777.900000000001</v>
      </c>
      <c r="AO6" s="4">
        <v>92852.15</v>
      </c>
      <c r="AP6" s="4">
        <v>26215</v>
      </c>
      <c r="AQ6" s="4">
        <v>41030.5</v>
      </c>
      <c r="AR6" s="4">
        <v>73895.75</v>
      </c>
      <c r="AS6" s="4">
        <v>35003.75</v>
      </c>
      <c r="AT6" s="4">
        <v>38675</v>
      </c>
      <c r="AU6" s="4">
        <v>13515</v>
      </c>
      <c r="AV6" s="4">
        <v>55690</v>
      </c>
      <c r="AW6" s="4">
        <v>53708.5</v>
      </c>
      <c r="AX6" s="4">
        <v>11516.8</v>
      </c>
      <c r="AY6" s="4">
        <v>13207.6</v>
      </c>
      <c r="AZ6" s="4">
        <v>51975</v>
      </c>
      <c r="BA6" s="4">
        <v>23159.75</v>
      </c>
      <c r="BB6" s="4">
        <v>51638.65</v>
      </c>
      <c r="BC6" s="4">
        <v>13464.38</v>
      </c>
      <c r="BD6" s="4">
        <v>248561.75</v>
      </c>
      <c r="BE6" s="4">
        <v>25733.4</v>
      </c>
      <c r="BF6" s="4">
        <f>SUM(E6:BE6)</f>
        <v>3549797.9799999995</v>
      </c>
      <c r="BG6" s="4">
        <f>SUM(E6:W6)</f>
        <v>1980394.8499999999</v>
      </c>
      <c r="BH6" s="4">
        <f>SUM(X6:AJ6)</f>
        <v>435463.8</v>
      </c>
      <c r="BI6" s="4">
        <f>SUM(AK6:BE6)</f>
        <v>1133939.33</v>
      </c>
    </row>
    <row r="7" spans="1:61" x14ac:dyDescent="0.3">
      <c r="C7">
        <v>301</v>
      </c>
      <c r="D7" t="s">
        <v>81</v>
      </c>
      <c r="E7" s="4">
        <v>353234.5</v>
      </c>
      <c r="F7" s="4">
        <v>29497.5</v>
      </c>
      <c r="G7" s="4">
        <v>93244.3</v>
      </c>
      <c r="H7" s="4">
        <v>155747.79999999999</v>
      </c>
      <c r="I7" s="4">
        <v>1972008</v>
      </c>
      <c r="J7" s="4">
        <v>2148131</v>
      </c>
      <c r="K7" s="4">
        <v>756238.9</v>
      </c>
      <c r="L7" s="4">
        <v>18872107.210000001</v>
      </c>
      <c r="M7" s="4">
        <v>986668.75</v>
      </c>
      <c r="N7" s="4">
        <v>19295.7</v>
      </c>
      <c r="O7" s="4">
        <v>2678680.4500000002</v>
      </c>
      <c r="P7" s="4">
        <v>99918.6</v>
      </c>
      <c r="Q7" s="4">
        <v>45454.5</v>
      </c>
      <c r="R7" s="4">
        <v>165458.35</v>
      </c>
      <c r="S7" s="4">
        <v>86308.7</v>
      </c>
      <c r="T7" s="4">
        <v>192726.2</v>
      </c>
      <c r="U7" s="4">
        <v>90240.75</v>
      </c>
      <c r="V7" s="4">
        <v>236030.5</v>
      </c>
      <c r="W7" s="4">
        <v>1693877.5</v>
      </c>
      <c r="X7" s="4">
        <v>50249.2</v>
      </c>
      <c r="Y7" s="4">
        <v>1003412.45</v>
      </c>
      <c r="Z7" s="4">
        <v>1319934.8500000001</v>
      </c>
      <c r="AA7" s="4">
        <v>75019.199999999997</v>
      </c>
      <c r="AB7" s="4">
        <v>48607.8</v>
      </c>
      <c r="AC7" s="4">
        <v>209865.4</v>
      </c>
      <c r="AD7" s="4">
        <v>443644.7</v>
      </c>
      <c r="AE7" s="4">
        <v>226017.45</v>
      </c>
      <c r="AF7" s="4">
        <v>260713.4</v>
      </c>
      <c r="AG7" s="4">
        <v>703604.9</v>
      </c>
      <c r="AH7" s="4">
        <v>1453365.9</v>
      </c>
      <c r="AI7" s="4">
        <v>69600.850000000006</v>
      </c>
      <c r="AJ7" s="4">
        <v>43579.95</v>
      </c>
      <c r="AK7" s="4">
        <v>607490.43000000005</v>
      </c>
      <c r="AL7" s="4">
        <v>492810.2</v>
      </c>
      <c r="AM7" s="4">
        <v>376129.6</v>
      </c>
      <c r="AN7" s="4">
        <v>38080.050000000003</v>
      </c>
      <c r="AO7" s="4">
        <v>985572.95</v>
      </c>
      <c r="AP7" s="4">
        <v>642913.35</v>
      </c>
      <c r="AQ7" s="4">
        <v>161848</v>
      </c>
      <c r="AR7" s="4">
        <v>875386.5</v>
      </c>
      <c r="AS7" s="4">
        <v>335351.09999999998</v>
      </c>
      <c r="AT7" s="4">
        <v>329942.75</v>
      </c>
      <c r="AU7" s="4">
        <v>77225.61</v>
      </c>
      <c r="AV7" s="4">
        <v>767052.6</v>
      </c>
      <c r="AW7" s="4">
        <v>347283.1</v>
      </c>
      <c r="AX7" s="4">
        <v>61791.5</v>
      </c>
      <c r="AY7" s="4">
        <v>109173</v>
      </c>
      <c r="AZ7" s="4">
        <v>672529.85</v>
      </c>
      <c r="BA7" s="4">
        <v>75503.8</v>
      </c>
      <c r="BB7" s="4">
        <v>1000025.96</v>
      </c>
      <c r="BC7" s="4">
        <v>49275.15</v>
      </c>
      <c r="BD7" s="4">
        <v>8615847.0399999991</v>
      </c>
      <c r="BE7" s="4">
        <v>249341.5</v>
      </c>
      <c r="BF7" s="4">
        <f t="shared" ref="BF7:BF13" si="2">SUM(E7:BE7)</f>
        <v>53453059.300000012</v>
      </c>
      <c r="BG7" s="4">
        <f t="shared" ref="BG7:BG13" si="3">SUM(E7:W7)</f>
        <v>30674869.210000001</v>
      </c>
      <c r="BH7" s="4">
        <f t="shared" ref="BH7:BH13" si="4">SUM(X7:AJ7)</f>
        <v>5907616.0499999998</v>
      </c>
      <c r="BI7" s="4">
        <f t="shared" ref="BI7:BI13" si="5">SUM(AK7:BE7)</f>
        <v>16870574.039999999</v>
      </c>
    </row>
    <row r="8" spans="1:61" x14ac:dyDescent="0.3">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3645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3645</v>
      </c>
      <c r="BG8" s="4">
        <f t="shared" si="3"/>
        <v>0</v>
      </c>
      <c r="BH8" s="4">
        <f t="shared" si="4"/>
        <v>3645</v>
      </c>
      <c r="BI8" s="4">
        <f t="shared" si="5"/>
        <v>0</v>
      </c>
    </row>
    <row r="9" spans="1:61" x14ac:dyDescent="0.3">
      <c r="C9">
        <v>303</v>
      </c>
      <c r="D9" t="s">
        <v>83</v>
      </c>
      <c r="E9" s="4">
        <v>0</v>
      </c>
      <c r="F9" s="4">
        <v>0</v>
      </c>
      <c r="G9" s="4">
        <v>0</v>
      </c>
      <c r="H9" s="4">
        <v>0</v>
      </c>
      <c r="I9" s="4">
        <v>0</v>
      </c>
      <c r="J9" s="4">
        <v>0</v>
      </c>
      <c r="K9" s="4">
        <v>0</v>
      </c>
      <c r="L9" s="4">
        <v>0</v>
      </c>
      <c r="M9" s="4">
        <v>4000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200</v>
      </c>
      <c r="AJ9" s="4">
        <v>0</v>
      </c>
      <c r="AK9" s="4">
        <v>0</v>
      </c>
      <c r="AL9" s="4">
        <v>0</v>
      </c>
      <c r="AM9" s="4">
        <v>0</v>
      </c>
      <c r="AN9" s="4">
        <v>600</v>
      </c>
      <c r="AO9" s="4">
        <v>0</v>
      </c>
      <c r="AP9" s="4">
        <v>0</v>
      </c>
      <c r="AQ9" s="4">
        <v>0</v>
      </c>
      <c r="AR9" s="4">
        <v>0</v>
      </c>
      <c r="AS9" s="4">
        <v>0</v>
      </c>
      <c r="AT9" s="4">
        <v>0</v>
      </c>
      <c r="AU9" s="4">
        <v>0</v>
      </c>
      <c r="AV9" s="4">
        <v>0</v>
      </c>
      <c r="AW9" s="4">
        <v>495</v>
      </c>
      <c r="AX9" s="4">
        <v>0</v>
      </c>
      <c r="AY9" s="4">
        <v>0</v>
      </c>
      <c r="AZ9" s="4">
        <v>0</v>
      </c>
      <c r="BA9" s="4">
        <v>250</v>
      </c>
      <c r="BB9" s="4">
        <v>1243.6500000000001</v>
      </c>
      <c r="BC9" s="4">
        <v>0</v>
      </c>
      <c r="BD9" s="4">
        <v>0</v>
      </c>
      <c r="BE9" s="4">
        <v>0</v>
      </c>
      <c r="BF9" s="4">
        <f t="shared" si="2"/>
        <v>6788.65</v>
      </c>
      <c r="BG9" s="4">
        <f t="shared" si="3"/>
        <v>4000</v>
      </c>
      <c r="BH9" s="4">
        <f t="shared" si="4"/>
        <v>200</v>
      </c>
      <c r="BI9" s="4">
        <f t="shared" si="5"/>
        <v>2588.65</v>
      </c>
    </row>
    <row r="10" spans="1:61" x14ac:dyDescent="0.3">
      <c r="C10">
        <v>304</v>
      </c>
      <c r="D10" t="s">
        <v>596</v>
      </c>
      <c r="E10" s="4">
        <v>0</v>
      </c>
      <c r="F10" s="4">
        <v>0</v>
      </c>
      <c r="G10" s="4">
        <v>0</v>
      </c>
      <c r="H10" s="4">
        <v>0</v>
      </c>
      <c r="I10" s="4">
        <v>0</v>
      </c>
      <c r="J10" s="4">
        <v>21891.7</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50000</v>
      </c>
      <c r="AI10" s="4">
        <v>1787.9</v>
      </c>
      <c r="AJ10" s="4">
        <v>0</v>
      </c>
      <c r="AK10" s="4">
        <v>0</v>
      </c>
      <c r="AL10" s="4">
        <v>0</v>
      </c>
      <c r="AM10" s="4">
        <v>0</v>
      </c>
      <c r="AN10" s="4">
        <v>0</v>
      </c>
      <c r="AO10" s="4">
        <v>0</v>
      </c>
      <c r="AP10" s="4">
        <v>0</v>
      </c>
      <c r="AQ10" s="4">
        <v>0</v>
      </c>
      <c r="AR10" s="4">
        <v>0</v>
      </c>
      <c r="AS10" s="4">
        <v>0</v>
      </c>
      <c r="AT10" s="4">
        <v>0</v>
      </c>
      <c r="AU10" s="4">
        <v>0.2</v>
      </c>
      <c r="AV10" s="4">
        <v>0</v>
      </c>
      <c r="AW10" s="4">
        <v>0</v>
      </c>
      <c r="AX10" s="4">
        <v>0</v>
      </c>
      <c r="AY10" s="4">
        <v>0</v>
      </c>
      <c r="AZ10" s="4">
        <v>0</v>
      </c>
      <c r="BA10" s="4">
        <v>0</v>
      </c>
      <c r="BB10" s="4">
        <v>0</v>
      </c>
      <c r="BC10" s="4">
        <v>0</v>
      </c>
      <c r="BD10" s="4">
        <v>0</v>
      </c>
      <c r="BE10" s="4">
        <v>0</v>
      </c>
      <c r="BF10" s="4">
        <f t="shared" si="2"/>
        <v>73679.799999999988</v>
      </c>
      <c r="BG10" s="4">
        <f t="shared" si="3"/>
        <v>21891.7</v>
      </c>
      <c r="BH10" s="4">
        <f t="shared" si="4"/>
        <v>51787.9</v>
      </c>
      <c r="BI10" s="4">
        <f t="shared" si="5"/>
        <v>0.2</v>
      </c>
    </row>
    <row r="11" spans="1:61" x14ac:dyDescent="0.3">
      <c r="C11">
        <v>305</v>
      </c>
      <c r="D11" t="s">
        <v>84</v>
      </c>
      <c r="E11" s="4">
        <v>71655.3</v>
      </c>
      <c r="F11" s="4">
        <v>3196.7</v>
      </c>
      <c r="G11" s="4">
        <v>15608.2</v>
      </c>
      <c r="H11" s="4">
        <v>36391.699999999997</v>
      </c>
      <c r="I11" s="4">
        <v>441332.05</v>
      </c>
      <c r="J11" s="4">
        <v>587782.30000000005</v>
      </c>
      <c r="K11" s="4">
        <v>182192.4</v>
      </c>
      <c r="L11" s="4">
        <v>3909190.34</v>
      </c>
      <c r="M11" s="4">
        <v>181654.75</v>
      </c>
      <c r="N11" s="4">
        <v>3432.4</v>
      </c>
      <c r="O11" s="4">
        <v>604659.6</v>
      </c>
      <c r="P11" s="4">
        <v>22058.25</v>
      </c>
      <c r="Q11" s="4">
        <v>8688.4</v>
      </c>
      <c r="R11" s="4">
        <v>46774.1</v>
      </c>
      <c r="S11" s="4">
        <v>7551.9</v>
      </c>
      <c r="T11" s="4">
        <v>44657.8</v>
      </c>
      <c r="U11" s="4">
        <v>11920.9</v>
      </c>
      <c r="V11" s="4">
        <v>45804.55</v>
      </c>
      <c r="W11" s="4">
        <v>321191.8</v>
      </c>
      <c r="X11" s="4">
        <v>9402.2999999999993</v>
      </c>
      <c r="Y11" s="4">
        <v>184566.1</v>
      </c>
      <c r="Z11" s="4">
        <v>241614.55</v>
      </c>
      <c r="AA11" s="4">
        <v>11005.6</v>
      </c>
      <c r="AB11" s="4">
        <v>6208.85</v>
      </c>
      <c r="AC11" s="4">
        <v>34500.15</v>
      </c>
      <c r="AD11" s="4">
        <v>91969.2</v>
      </c>
      <c r="AE11" s="4">
        <v>47316</v>
      </c>
      <c r="AF11" s="4">
        <v>69079.649999999994</v>
      </c>
      <c r="AG11" s="4">
        <v>160850.35</v>
      </c>
      <c r="AH11" s="4">
        <v>273141.25</v>
      </c>
      <c r="AI11" s="4">
        <v>8928.4500000000007</v>
      </c>
      <c r="AJ11" s="4">
        <v>7975.3</v>
      </c>
      <c r="AK11" s="4">
        <v>3673.35</v>
      </c>
      <c r="AL11" s="4">
        <v>101762.2</v>
      </c>
      <c r="AM11" s="4">
        <v>68846.55</v>
      </c>
      <c r="AN11" s="4">
        <v>9421.0499999999993</v>
      </c>
      <c r="AO11" s="4">
        <v>176629.75</v>
      </c>
      <c r="AP11" s="4">
        <v>117275.7</v>
      </c>
      <c r="AQ11" s="4">
        <v>37614.699999999997</v>
      </c>
      <c r="AR11" s="4">
        <v>147964.1</v>
      </c>
      <c r="AS11" s="4">
        <v>67450.899999999994</v>
      </c>
      <c r="AT11" s="4">
        <v>58909.15</v>
      </c>
      <c r="AU11" s="4">
        <v>15156.85</v>
      </c>
      <c r="AV11" s="4">
        <v>176281.5</v>
      </c>
      <c r="AW11" s="4">
        <v>65428.15</v>
      </c>
      <c r="AX11" s="4">
        <v>13463.55</v>
      </c>
      <c r="AY11" s="4">
        <v>19018.849999999999</v>
      </c>
      <c r="AZ11" s="4">
        <v>142468</v>
      </c>
      <c r="BA11" s="4">
        <v>18004.349999999999</v>
      </c>
      <c r="BB11" s="4">
        <v>202120</v>
      </c>
      <c r="BC11" s="4">
        <v>9727.4699999999993</v>
      </c>
      <c r="BD11" s="4">
        <v>1762238</v>
      </c>
      <c r="BE11" s="4">
        <v>44461.75</v>
      </c>
      <c r="BF11" s="4">
        <f t="shared" si="2"/>
        <v>10950217.109999999</v>
      </c>
      <c r="BG11" s="4">
        <f t="shared" si="3"/>
        <v>6545743.4400000004</v>
      </c>
      <c r="BH11" s="4">
        <f t="shared" si="4"/>
        <v>1146557.75</v>
      </c>
      <c r="BI11" s="4">
        <f t="shared" si="5"/>
        <v>3257915.92</v>
      </c>
    </row>
    <row r="12" spans="1:61" x14ac:dyDescent="0.3">
      <c r="C12">
        <v>306</v>
      </c>
      <c r="D12" t="s">
        <v>85</v>
      </c>
      <c r="E12" s="4">
        <v>0</v>
      </c>
      <c r="F12" s="4">
        <v>0</v>
      </c>
      <c r="G12" s="4">
        <v>0</v>
      </c>
      <c r="H12" s="4">
        <v>0</v>
      </c>
      <c r="I12" s="4">
        <v>3029.75</v>
      </c>
      <c r="J12" s="4">
        <v>0</v>
      </c>
      <c r="K12" s="4">
        <v>0</v>
      </c>
      <c r="L12" s="4">
        <v>52415.5</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200</v>
      </c>
      <c r="AW12" s="4">
        <v>0</v>
      </c>
      <c r="AX12" s="4">
        <v>0</v>
      </c>
      <c r="AY12" s="4">
        <v>0</v>
      </c>
      <c r="AZ12" s="4">
        <v>0</v>
      </c>
      <c r="BA12" s="4">
        <v>0</v>
      </c>
      <c r="BB12" s="4">
        <v>0</v>
      </c>
      <c r="BC12" s="4">
        <v>0</v>
      </c>
      <c r="BD12" s="4">
        <v>0</v>
      </c>
      <c r="BE12" s="4">
        <v>0</v>
      </c>
      <c r="BF12" s="4">
        <f t="shared" si="2"/>
        <v>56145.25</v>
      </c>
      <c r="BG12" s="4">
        <f t="shared" si="3"/>
        <v>55445.25</v>
      </c>
      <c r="BH12" s="4">
        <f t="shared" si="4"/>
        <v>500</v>
      </c>
      <c r="BI12" s="4">
        <f t="shared" si="5"/>
        <v>200</v>
      </c>
    </row>
    <row r="13" spans="1:61" x14ac:dyDescent="0.3">
      <c r="C13">
        <v>309</v>
      </c>
      <c r="D13" t="s">
        <v>86</v>
      </c>
      <c r="E13" s="4">
        <v>5161.7</v>
      </c>
      <c r="F13" s="4">
        <v>169.5</v>
      </c>
      <c r="G13" s="4">
        <v>1309.9000000000001</v>
      </c>
      <c r="H13" s="4">
        <v>1731</v>
      </c>
      <c r="I13" s="4">
        <v>17369.8</v>
      </c>
      <c r="J13" s="4">
        <v>18277.099999999999</v>
      </c>
      <c r="K13" s="4">
        <v>37450.15</v>
      </c>
      <c r="L13" s="4">
        <v>245081.19</v>
      </c>
      <c r="M13" s="4">
        <v>5804.6</v>
      </c>
      <c r="N13" s="4">
        <v>1064.8</v>
      </c>
      <c r="O13" s="4">
        <v>23200.799999999999</v>
      </c>
      <c r="P13" s="4">
        <v>8741.5</v>
      </c>
      <c r="Q13" s="4">
        <v>790</v>
      </c>
      <c r="R13" s="4">
        <v>847.8</v>
      </c>
      <c r="S13" s="4">
        <v>477.8</v>
      </c>
      <c r="T13" s="4">
        <v>600.25</v>
      </c>
      <c r="U13" s="4">
        <v>830</v>
      </c>
      <c r="V13" s="4">
        <v>2495.1999999999998</v>
      </c>
      <c r="W13" s="4">
        <v>16603.3</v>
      </c>
      <c r="X13" s="4">
        <v>1642.45</v>
      </c>
      <c r="Y13" s="4">
        <v>5005.8</v>
      </c>
      <c r="Z13" s="4">
        <v>18633.400000000001</v>
      </c>
      <c r="AA13" s="4">
        <v>995.3</v>
      </c>
      <c r="AB13" s="4">
        <v>60</v>
      </c>
      <c r="AC13" s="4">
        <v>5754.6</v>
      </c>
      <c r="AD13" s="4">
        <v>8147.8</v>
      </c>
      <c r="AE13" s="4">
        <v>1733.6</v>
      </c>
      <c r="AF13" s="4">
        <v>1027.25</v>
      </c>
      <c r="AG13" s="4">
        <v>9475.6</v>
      </c>
      <c r="AH13" s="4">
        <v>4527.5</v>
      </c>
      <c r="AI13" s="4">
        <v>160</v>
      </c>
      <c r="AJ13" s="4">
        <v>0</v>
      </c>
      <c r="AK13" s="4">
        <v>12921.22</v>
      </c>
      <c r="AL13" s="4">
        <v>1706</v>
      </c>
      <c r="AM13" s="4">
        <v>1661.2</v>
      </c>
      <c r="AN13" s="4">
        <v>551.29999999999995</v>
      </c>
      <c r="AO13" s="4">
        <v>15535.85</v>
      </c>
      <c r="AP13" s="4">
        <v>5257.3</v>
      </c>
      <c r="AQ13" s="4">
        <v>2441.4499999999998</v>
      </c>
      <c r="AR13" s="4">
        <v>4868.45</v>
      </c>
      <c r="AS13" s="4">
        <v>3477.1</v>
      </c>
      <c r="AT13" s="4">
        <v>11035.6</v>
      </c>
      <c r="AU13" s="4">
        <v>1194.3499999999999</v>
      </c>
      <c r="AV13" s="4">
        <v>9312.15</v>
      </c>
      <c r="AW13" s="4">
        <v>7625.45</v>
      </c>
      <c r="AX13" s="4">
        <v>766.2</v>
      </c>
      <c r="AY13" s="4">
        <v>466.3</v>
      </c>
      <c r="AZ13" s="4">
        <v>6430.75</v>
      </c>
      <c r="BA13" s="4">
        <v>1475</v>
      </c>
      <c r="BB13" s="4">
        <v>17065.2</v>
      </c>
      <c r="BC13" s="4">
        <v>517.6</v>
      </c>
      <c r="BD13" s="4">
        <v>77816.600000000006</v>
      </c>
      <c r="BE13" s="4">
        <v>0</v>
      </c>
      <c r="BF13" s="4">
        <f t="shared" si="2"/>
        <v>627294.75999999966</v>
      </c>
      <c r="BG13" s="4">
        <f t="shared" si="3"/>
        <v>388006.3899999999</v>
      </c>
      <c r="BH13" s="4">
        <f t="shared" si="4"/>
        <v>57163.3</v>
      </c>
      <c r="BI13" s="4">
        <f t="shared" si="5"/>
        <v>182125.07</v>
      </c>
    </row>
    <row r="14" spans="1:61" x14ac:dyDescent="0.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3">
      <c r="B15" s="94">
        <v>31</v>
      </c>
      <c r="C15" s="94"/>
      <c r="D15" s="94" t="s">
        <v>87</v>
      </c>
      <c r="E15" s="95">
        <f>E16+E17+E18+E19+E20+E21+E22+E23+E24+E25</f>
        <v>519678.63000000006</v>
      </c>
      <c r="F15" s="95">
        <f t="shared" ref="F15:BI15" si="6">F16+F17+F18+F19+F20+F21+F22+F23+F24+F25</f>
        <v>202592.19999999998</v>
      </c>
      <c r="G15" s="95">
        <f t="shared" si="6"/>
        <v>246367.93000000002</v>
      </c>
      <c r="H15" s="95">
        <f t="shared" si="6"/>
        <v>280771.84000000003</v>
      </c>
      <c r="I15" s="95">
        <f t="shared" si="6"/>
        <v>2704298.4299999997</v>
      </c>
      <c r="J15" s="95">
        <f t="shared" si="6"/>
        <v>1972283.5099999998</v>
      </c>
      <c r="K15" s="95">
        <f t="shared" si="6"/>
        <v>1626060.57</v>
      </c>
      <c r="L15" s="95">
        <f t="shared" si="6"/>
        <v>19861849.819999997</v>
      </c>
      <c r="M15" s="95">
        <f t="shared" si="6"/>
        <v>1747147.69</v>
      </c>
      <c r="N15" s="95">
        <f t="shared" si="6"/>
        <v>68313.8</v>
      </c>
      <c r="O15" s="95">
        <f t="shared" si="6"/>
        <v>3520162.8000000003</v>
      </c>
      <c r="P15" s="95">
        <f t="shared" si="6"/>
        <v>488433.9</v>
      </c>
      <c r="Q15" s="95">
        <f t="shared" si="6"/>
        <v>47139.999999999985</v>
      </c>
      <c r="R15" s="95">
        <f t="shared" si="6"/>
        <v>254198.46000000002</v>
      </c>
      <c r="S15" s="95">
        <f t="shared" si="6"/>
        <v>386409.93999999994</v>
      </c>
      <c r="T15" s="95">
        <f t="shared" si="6"/>
        <v>611756.07000000007</v>
      </c>
      <c r="U15" s="95">
        <f t="shared" si="6"/>
        <v>223291.87999999998</v>
      </c>
      <c r="V15" s="95">
        <f t="shared" si="6"/>
        <v>564276.35000000009</v>
      </c>
      <c r="W15" s="95">
        <f t="shared" si="6"/>
        <v>1803554.98</v>
      </c>
      <c r="X15" s="95">
        <f t="shared" si="6"/>
        <v>490521.3</v>
      </c>
      <c r="Y15" s="95">
        <f t="shared" si="6"/>
        <v>1195834.96</v>
      </c>
      <c r="Z15" s="95">
        <f t="shared" si="6"/>
        <v>2504201.29</v>
      </c>
      <c r="AA15" s="95">
        <f t="shared" si="6"/>
        <v>136646.64000000001</v>
      </c>
      <c r="AB15" s="95">
        <f t="shared" si="6"/>
        <v>215664.13999999998</v>
      </c>
      <c r="AC15" s="95">
        <f t="shared" si="6"/>
        <v>742142.79000000015</v>
      </c>
      <c r="AD15" s="95">
        <f t="shared" si="6"/>
        <v>810737.99000000022</v>
      </c>
      <c r="AE15" s="95">
        <f t="shared" si="6"/>
        <v>887967.67</v>
      </c>
      <c r="AF15" s="95">
        <f t="shared" si="6"/>
        <v>923720.35</v>
      </c>
      <c r="AG15" s="95">
        <f t="shared" si="6"/>
        <v>1706747.2499999998</v>
      </c>
      <c r="AH15" s="95">
        <f t="shared" si="6"/>
        <v>2481753.7600000002</v>
      </c>
      <c r="AI15" s="95">
        <f t="shared" si="6"/>
        <v>281189.75</v>
      </c>
      <c r="AJ15" s="95">
        <f t="shared" si="6"/>
        <v>231857.44999999998</v>
      </c>
      <c r="AK15" s="95">
        <f t="shared" si="6"/>
        <v>1277781.8100000003</v>
      </c>
      <c r="AL15" s="95">
        <f t="shared" si="6"/>
        <v>1458495.6199999999</v>
      </c>
      <c r="AM15" s="95">
        <f t="shared" si="6"/>
        <v>1016617.3700000001</v>
      </c>
      <c r="AN15" s="95">
        <f t="shared" si="6"/>
        <v>135760.01</v>
      </c>
      <c r="AO15" s="95">
        <f t="shared" si="6"/>
        <v>1482198.24</v>
      </c>
      <c r="AP15" s="95">
        <f t="shared" si="6"/>
        <v>514900.34000000008</v>
      </c>
      <c r="AQ15" s="95">
        <f t="shared" si="6"/>
        <v>454314.42999999993</v>
      </c>
      <c r="AR15" s="95">
        <f t="shared" si="6"/>
        <v>1494728.9899999998</v>
      </c>
      <c r="AS15" s="95">
        <f t="shared" si="6"/>
        <v>529720.28</v>
      </c>
      <c r="AT15" s="95">
        <f t="shared" si="6"/>
        <v>692277.74999999988</v>
      </c>
      <c r="AU15" s="95">
        <f t="shared" si="6"/>
        <v>398705.82</v>
      </c>
      <c r="AV15" s="95">
        <f t="shared" si="6"/>
        <v>1744115.84</v>
      </c>
      <c r="AW15" s="95">
        <f t="shared" si="6"/>
        <v>549955.64</v>
      </c>
      <c r="AX15" s="95">
        <f t="shared" si="6"/>
        <v>141601.73999999996</v>
      </c>
      <c r="AY15" s="95">
        <f t="shared" si="6"/>
        <v>386145.29000000004</v>
      </c>
      <c r="AZ15" s="95">
        <f t="shared" si="6"/>
        <v>1031824.7</v>
      </c>
      <c r="BA15" s="95">
        <f t="shared" si="6"/>
        <v>515024.4</v>
      </c>
      <c r="BB15" s="95">
        <f t="shared" si="6"/>
        <v>1018327.4</v>
      </c>
      <c r="BC15" s="95">
        <f t="shared" si="6"/>
        <v>137825.36000000002</v>
      </c>
      <c r="BD15" s="95">
        <f t="shared" si="6"/>
        <v>6312440.3100000005</v>
      </c>
      <c r="BE15" s="95">
        <f t="shared" si="6"/>
        <v>419378.24999999994</v>
      </c>
      <c r="BF15" s="95">
        <f t="shared" si="6"/>
        <v>71449713.730000019</v>
      </c>
      <c r="BG15" s="95">
        <f t="shared" si="6"/>
        <v>37128588.799999997</v>
      </c>
      <c r="BH15" s="95">
        <f t="shared" si="6"/>
        <v>12608985.340000005</v>
      </c>
      <c r="BI15" s="95">
        <f t="shared" si="6"/>
        <v>21712139.59</v>
      </c>
    </row>
    <row r="16" spans="1:61" x14ac:dyDescent="0.3">
      <c r="C16">
        <v>310</v>
      </c>
      <c r="D16" t="s">
        <v>88</v>
      </c>
      <c r="E16" s="4">
        <v>55216.9</v>
      </c>
      <c r="F16" s="4">
        <v>17773.2</v>
      </c>
      <c r="G16" s="4">
        <v>13179</v>
      </c>
      <c r="H16" s="4">
        <v>29018.05</v>
      </c>
      <c r="I16" s="4">
        <v>299491.59999999998</v>
      </c>
      <c r="J16" s="4">
        <v>280154.94</v>
      </c>
      <c r="K16" s="4">
        <v>232572.43</v>
      </c>
      <c r="L16" s="4">
        <v>1813266.84</v>
      </c>
      <c r="M16" s="4">
        <v>195669.4</v>
      </c>
      <c r="N16" s="4">
        <v>8782.2000000000007</v>
      </c>
      <c r="O16" s="4">
        <v>521631.95</v>
      </c>
      <c r="P16" s="4">
        <v>58745.26</v>
      </c>
      <c r="Q16" s="4">
        <v>8429.85</v>
      </c>
      <c r="R16" s="4">
        <v>33989.85</v>
      </c>
      <c r="S16" s="4">
        <v>39834.949999999997</v>
      </c>
      <c r="T16" s="4">
        <v>56088.62</v>
      </c>
      <c r="U16" s="4">
        <v>17970.78</v>
      </c>
      <c r="V16" s="4">
        <v>43294.11</v>
      </c>
      <c r="W16" s="4">
        <v>238295.07</v>
      </c>
      <c r="X16" s="4">
        <v>77326.91</v>
      </c>
      <c r="Y16" s="4">
        <v>147569.15</v>
      </c>
      <c r="Z16" s="4">
        <v>323157.26</v>
      </c>
      <c r="AA16" s="4">
        <v>4009.05</v>
      </c>
      <c r="AB16" s="4">
        <v>24456.76</v>
      </c>
      <c r="AC16" s="4">
        <v>94991.53</v>
      </c>
      <c r="AD16" s="4">
        <v>65444.45</v>
      </c>
      <c r="AE16" s="4">
        <v>64890.1</v>
      </c>
      <c r="AF16" s="4">
        <v>94914.85</v>
      </c>
      <c r="AG16" s="4">
        <v>231201.77</v>
      </c>
      <c r="AH16" s="4">
        <v>378342.25</v>
      </c>
      <c r="AI16" s="4">
        <v>5324.65</v>
      </c>
      <c r="AJ16" s="4">
        <v>24142.7</v>
      </c>
      <c r="AK16" s="4">
        <v>224379.17</v>
      </c>
      <c r="AL16" s="4">
        <v>107239.77</v>
      </c>
      <c r="AM16" s="4">
        <v>53173.83</v>
      </c>
      <c r="AN16" s="4">
        <v>21760.95</v>
      </c>
      <c r="AO16" s="4">
        <v>219526.18</v>
      </c>
      <c r="AP16" s="4">
        <v>68909.02</v>
      </c>
      <c r="AQ16" s="4">
        <v>13090.75</v>
      </c>
      <c r="AR16" s="4">
        <v>93357.25</v>
      </c>
      <c r="AS16" s="4">
        <v>76560.149999999994</v>
      </c>
      <c r="AT16" s="4">
        <v>105349.89</v>
      </c>
      <c r="AU16" s="4">
        <v>25540.240000000002</v>
      </c>
      <c r="AV16" s="4">
        <v>180495.65</v>
      </c>
      <c r="AW16" s="4">
        <v>35621.599999999999</v>
      </c>
      <c r="AX16" s="4">
        <v>14664.81</v>
      </c>
      <c r="AY16" s="4">
        <v>84169.05</v>
      </c>
      <c r="AZ16" s="4">
        <v>75485.399999999994</v>
      </c>
      <c r="BA16" s="4">
        <v>20002.240000000002</v>
      </c>
      <c r="BB16" s="4">
        <v>95778.13</v>
      </c>
      <c r="BC16" s="4">
        <v>4022.55</v>
      </c>
      <c r="BD16" s="4">
        <v>722014.81</v>
      </c>
      <c r="BE16" s="4">
        <v>65327.38</v>
      </c>
      <c r="BF16" s="4">
        <f>SUM(E16:BE16)</f>
        <v>7805645.2499999991</v>
      </c>
      <c r="BG16" s="4">
        <f t="shared" ref="BG16:BG25" si="7">SUM(E16:W16)</f>
        <v>3963405</v>
      </c>
      <c r="BH16" s="4">
        <f t="shared" ref="BH16:BH25" si="8">SUM(X16:AJ16)</f>
        <v>1535771.43</v>
      </c>
      <c r="BI16" s="4">
        <f t="shared" ref="BI16:BI25" si="9">SUM(AK16:BE16)</f>
        <v>2306468.8200000003</v>
      </c>
    </row>
    <row r="17" spans="2:61" x14ac:dyDescent="0.3">
      <c r="C17">
        <v>311</v>
      </c>
      <c r="D17" t="s">
        <v>462</v>
      </c>
      <c r="E17" s="4">
        <v>56305.05</v>
      </c>
      <c r="F17" s="4">
        <v>3401.3</v>
      </c>
      <c r="G17" s="4">
        <v>13078.2</v>
      </c>
      <c r="H17" s="4">
        <v>13830.3</v>
      </c>
      <c r="I17" s="4">
        <v>92166.9</v>
      </c>
      <c r="J17" s="4">
        <v>23736.65</v>
      </c>
      <c r="K17" s="4">
        <v>30295.15</v>
      </c>
      <c r="L17" s="4">
        <v>588837.65</v>
      </c>
      <c r="M17" s="4">
        <v>154568.4</v>
      </c>
      <c r="N17" s="4">
        <v>5300.4</v>
      </c>
      <c r="O17" s="4">
        <v>121475.56</v>
      </c>
      <c r="P17" s="4">
        <v>24804.9</v>
      </c>
      <c r="Q17" s="4">
        <v>198.15</v>
      </c>
      <c r="R17" s="4">
        <v>1035.6500000000001</v>
      </c>
      <c r="S17" s="4">
        <v>4601.55</v>
      </c>
      <c r="T17" s="4">
        <v>19765.650000000001</v>
      </c>
      <c r="U17" s="4">
        <v>6736.35</v>
      </c>
      <c r="V17" s="4">
        <v>32402.35</v>
      </c>
      <c r="W17" s="4">
        <v>65770.399999999994</v>
      </c>
      <c r="X17" s="4">
        <v>6452.6</v>
      </c>
      <c r="Y17" s="4">
        <v>26589.56</v>
      </c>
      <c r="Z17" s="4">
        <v>41306.5</v>
      </c>
      <c r="AA17" s="4">
        <v>0</v>
      </c>
      <c r="AB17" s="4">
        <v>200</v>
      </c>
      <c r="AC17" s="4">
        <v>17661.650000000001</v>
      </c>
      <c r="AD17" s="4">
        <v>62960.19</v>
      </c>
      <c r="AE17" s="4">
        <v>20278.95</v>
      </c>
      <c r="AF17" s="4">
        <v>48215.4</v>
      </c>
      <c r="AG17" s="4">
        <v>80883.45</v>
      </c>
      <c r="AH17" s="4">
        <v>37997.730000000003</v>
      </c>
      <c r="AI17" s="4">
        <v>534</v>
      </c>
      <c r="AJ17" s="4">
        <v>1000</v>
      </c>
      <c r="AK17" s="4">
        <v>119338.29</v>
      </c>
      <c r="AL17" s="4">
        <v>4404.1499999999996</v>
      </c>
      <c r="AM17" s="4">
        <v>19472.95</v>
      </c>
      <c r="AN17" s="4">
        <v>14530.75</v>
      </c>
      <c r="AO17" s="4">
        <v>33538.230000000003</v>
      </c>
      <c r="AP17" s="4">
        <v>16448.8</v>
      </c>
      <c r="AQ17" s="4">
        <v>17452</v>
      </c>
      <c r="AR17" s="4">
        <v>75329.5</v>
      </c>
      <c r="AS17" s="4">
        <v>33578.400000000001</v>
      </c>
      <c r="AT17" s="4">
        <v>79368.800000000003</v>
      </c>
      <c r="AU17" s="4">
        <v>28149.200000000001</v>
      </c>
      <c r="AV17" s="4">
        <v>116905.60000000001</v>
      </c>
      <c r="AW17" s="4">
        <v>4072.6</v>
      </c>
      <c r="AX17" s="4">
        <v>89</v>
      </c>
      <c r="AY17" s="4">
        <v>5603.1</v>
      </c>
      <c r="AZ17" s="4">
        <v>39231.1</v>
      </c>
      <c r="BA17" s="4">
        <v>30567.599999999999</v>
      </c>
      <c r="BB17" s="4">
        <v>80762.22</v>
      </c>
      <c r="BC17" s="4">
        <v>0</v>
      </c>
      <c r="BD17" s="4">
        <v>141475.94</v>
      </c>
      <c r="BE17" s="4">
        <v>74095</v>
      </c>
      <c r="BF17" s="4">
        <f t="shared" ref="BF17:BF25" si="10">SUM(E17:BE17)</f>
        <v>2536803.8199999998</v>
      </c>
      <c r="BG17" s="4">
        <f t="shared" si="7"/>
        <v>1258310.5599999998</v>
      </c>
      <c r="BH17" s="4">
        <f t="shared" si="8"/>
        <v>344080.02999999997</v>
      </c>
      <c r="BI17" s="4">
        <f t="shared" si="9"/>
        <v>934413.23</v>
      </c>
    </row>
    <row r="18" spans="2:61" x14ac:dyDescent="0.3">
      <c r="C18">
        <v>312</v>
      </c>
      <c r="D18" t="s">
        <v>90</v>
      </c>
      <c r="E18" s="4">
        <v>66682.350000000006</v>
      </c>
      <c r="F18" s="4">
        <v>52326.5</v>
      </c>
      <c r="G18" s="4">
        <v>23694.799999999999</v>
      </c>
      <c r="H18" s="4">
        <v>22343.25</v>
      </c>
      <c r="I18" s="4">
        <v>773407.2</v>
      </c>
      <c r="J18" s="4">
        <v>663417.5</v>
      </c>
      <c r="K18" s="4">
        <v>363053.15</v>
      </c>
      <c r="L18" s="4">
        <v>10872252.630000001</v>
      </c>
      <c r="M18" s="4">
        <v>852361</v>
      </c>
      <c r="N18" s="4">
        <v>12277.65</v>
      </c>
      <c r="O18" s="4">
        <v>470341.28</v>
      </c>
      <c r="P18" s="4">
        <v>35686.949999999997</v>
      </c>
      <c r="Q18" s="4">
        <v>9335.9</v>
      </c>
      <c r="R18" s="4">
        <v>41681.75</v>
      </c>
      <c r="S18" s="4">
        <v>38916.9</v>
      </c>
      <c r="T18" s="4">
        <v>168984.6</v>
      </c>
      <c r="U18" s="4">
        <v>62290.73</v>
      </c>
      <c r="V18" s="4">
        <v>47300.05</v>
      </c>
      <c r="W18" s="4">
        <v>256606.73</v>
      </c>
      <c r="X18" s="4">
        <v>134227.4</v>
      </c>
      <c r="Y18" s="4">
        <v>245262.1</v>
      </c>
      <c r="Z18" s="4">
        <v>387455.8</v>
      </c>
      <c r="AA18" s="4">
        <v>45375</v>
      </c>
      <c r="AB18" s="4">
        <v>37797.9</v>
      </c>
      <c r="AC18" s="4">
        <v>134609.60000000001</v>
      </c>
      <c r="AD18" s="4">
        <v>159485.20000000001</v>
      </c>
      <c r="AE18" s="4">
        <v>210695.85</v>
      </c>
      <c r="AF18" s="4">
        <v>134814.6</v>
      </c>
      <c r="AG18" s="4">
        <v>306738.34999999998</v>
      </c>
      <c r="AH18" s="4">
        <v>582468.15</v>
      </c>
      <c r="AI18" s="4">
        <v>97360.3</v>
      </c>
      <c r="AJ18" s="4">
        <v>31945.8</v>
      </c>
      <c r="AK18" s="4">
        <v>117744.5</v>
      </c>
      <c r="AL18" s="4">
        <v>102683.55</v>
      </c>
      <c r="AM18" s="4">
        <v>266295.75</v>
      </c>
      <c r="AN18" s="4">
        <v>29055.55</v>
      </c>
      <c r="AO18" s="4">
        <v>313126.25</v>
      </c>
      <c r="AP18" s="4">
        <v>272512.5</v>
      </c>
      <c r="AQ18" s="4">
        <v>107014.5</v>
      </c>
      <c r="AR18" s="4">
        <v>190392.35</v>
      </c>
      <c r="AS18" s="4">
        <v>122456.55</v>
      </c>
      <c r="AT18" s="4">
        <v>123320.85</v>
      </c>
      <c r="AU18" s="4">
        <v>62565.25</v>
      </c>
      <c r="AV18" s="4">
        <v>354496.6</v>
      </c>
      <c r="AW18" s="4">
        <v>38410.949999999997</v>
      </c>
      <c r="AX18" s="4">
        <v>40778.6</v>
      </c>
      <c r="AY18" s="4">
        <v>82644.850000000006</v>
      </c>
      <c r="AZ18" s="4">
        <v>273617.45</v>
      </c>
      <c r="BA18" s="4">
        <v>56744.800000000003</v>
      </c>
      <c r="BB18" s="4">
        <v>251741.86</v>
      </c>
      <c r="BC18" s="4">
        <v>38255.629999999997</v>
      </c>
      <c r="BD18" s="4">
        <v>902576.07</v>
      </c>
      <c r="BE18" s="4">
        <v>36355.050000000003</v>
      </c>
      <c r="BF18" s="4">
        <f t="shared" si="10"/>
        <v>21123986.430000011</v>
      </c>
      <c r="BG18" s="4">
        <f t="shared" si="7"/>
        <v>14832960.920000002</v>
      </c>
      <c r="BH18" s="4">
        <f t="shared" si="8"/>
        <v>2508236.0499999998</v>
      </c>
      <c r="BI18" s="4">
        <f t="shared" si="9"/>
        <v>3782789.46</v>
      </c>
    </row>
    <row r="19" spans="2:61" x14ac:dyDescent="0.3">
      <c r="C19">
        <v>313</v>
      </c>
      <c r="D19" t="s">
        <v>91</v>
      </c>
      <c r="E19" s="4">
        <v>79418.28</v>
      </c>
      <c r="F19" s="4">
        <v>80937.600000000006</v>
      </c>
      <c r="G19" s="4">
        <v>107112.58</v>
      </c>
      <c r="H19" s="4">
        <v>28598.65</v>
      </c>
      <c r="I19" s="4">
        <v>757052.24</v>
      </c>
      <c r="J19" s="4">
        <v>643962.64</v>
      </c>
      <c r="K19" s="4">
        <v>344199.73</v>
      </c>
      <c r="L19" s="4">
        <v>3351727.32</v>
      </c>
      <c r="M19" s="4">
        <v>232953.69</v>
      </c>
      <c r="N19" s="4">
        <v>18347.599999999999</v>
      </c>
      <c r="O19" s="4">
        <v>1334038.26</v>
      </c>
      <c r="P19" s="4">
        <v>156336.79</v>
      </c>
      <c r="Q19" s="4">
        <v>21805.3</v>
      </c>
      <c r="R19" s="4">
        <v>73208.95</v>
      </c>
      <c r="S19" s="4">
        <v>128739.14</v>
      </c>
      <c r="T19" s="4">
        <v>168660.75</v>
      </c>
      <c r="U19" s="4">
        <v>60563.040000000001</v>
      </c>
      <c r="V19" s="4">
        <v>281800.28999999998</v>
      </c>
      <c r="W19" s="4">
        <v>579434.35</v>
      </c>
      <c r="X19" s="4">
        <v>188468.56</v>
      </c>
      <c r="Y19" s="4">
        <v>402251</v>
      </c>
      <c r="Z19" s="4">
        <v>1026983.98</v>
      </c>
      <c r="AA19" s="4">
        <v>48903.19</v>
      </c>
      <c r="AB19" s="4">
        <v>125449.68</v>
      </c>
      <c r="AC19" s="4">
        <v>322648.90000000002</v>
      </c>
      <c r="AD19" s="4">
        <v>249740.26</v>
      </c>
      <c r="AE19" s="4">
        <v>387432.43</v>
      </c>
      <c r="AF19" s="4">
        <v>472350.39</v>
      </c>
      <c r="AG19" s="4">
        <v>584640.06000000006</v>
      </c>
      <c r="AH19" s="4">
        <v>776415.99</v>
      </c>
      <c r="AI19" s="4">
        <v>90631.4</v>
      </c>
      <c r="AJ19" s="4">
        <v>75801.05</v>
      </c>
      <c r="AK19" s="4">
        <v>434488.55</v>
      </c>
      <c r="AL19" s="4">
        <v>664747.25</v>
      </c>
      <c r="AM19" s="4">
        <v>364999.39</v>
      </c>
      <c r="AN19" s="4">
        <v>41511.75</v>
      </c>
      <c r="AO19" s="4">
        <v>529426.93999999994</v>
      </c>
      <c r="AP19" s="4">
        <v>104161.76</v>
      </c>
      <c r="AQ19" s="4">
        <v>130140.85</v>
      </c>
      <c r="AR19" s="4">
        <v>577117.43999999994</v>
      </c>
      <c r="AS19" s="4">
        <v>152131.28</v>
      </c>
      <c r="AT19" s="4">
        <v>177162.83</v>
      </c>
      <c r="AU19" s="4">
        <v>129366.88</v>
      </c>
      <c r="AV19" s="4">
        <v>455199.91</v>
      </c>
      <c r="AW19" s="4">
        <v>276641.05</v>
      </c>
      <c r="AX19" s="4">
        <v>40832.879999999997</v>
      </c>
      <c r="AY19" s="4">
        <v>102946.94</v>
      </c>
      <c r="AZ19" s="4">
        <v>338993.44</v>
      </c>
      <c r="BA19" s="4">
        <v>288009.46000000002</v>
      </c>
      <c r="BB19" s="4">
        <v>315744.87</v>
      </c>
      <c r="BC19" s="4">
        <v>40915.03</v>
      </c>
      <c r="BD19" s="4">
        <v>1784059.23</v>
      </c>
      <c r="BE19" s="4">
        <v>127461.17</v>
      </c>
      <c r="BF19" s="4">
        <f t="shared" si="10"/>
        <v>20276672.99000001</v>
      </c>
      <c r="BG19" s="4">
        <f t="shared" si="7"/>
        <v>8448897.1999999993</v>
      </c>
      <c r="BH19" s="4">
        <f t="shared" si="8"/>
        <v>4751716.8900000006</v>
      </c>
      <c r="BI19" s="4">
        <f t="shared" si="9"/>
        <v>7076058.9000000004</v>
      </c>
    </row>
    <row r="20" spans="2:61" x14ac:dyDescent="0.3">
      <c r="C20">
        <v>314</v>
      </c>
      <c r="D20" t="s">
        <v>92</v>
      </c>
      <c r="E20" s="4">
        <v>115774.2</v>
      </c>
      <c r="F20" s="4">
        <v>57280</v>
      </c>
      <c r="G20" s="4">
        <v>59538.49</v>
      </c>
      <c r="H20" s="4">
        <v>146517.04999999999</v>
      </c>
      <c r="I20" s="4">
        <v>441044.57</v>
      </c>
      <c r="J20" s="4">
        <v>224906.54</v>
      </c>
      <c r="K20" s="4">
        <v>464857.1</v>
      </c>
      <c r="L20" s="4">
        <v>1338737.31</v>
      </c>
      <c r="M20" s="4">
        <v>216524</v>
      </c>
      <c r="N20" s="4">
        <v>6753.8</v>
      </c>
      <c r="O20" s="4">
        <v>698992.2</v>
      </c>
      <c r="P20" s="4">
        <v>127772.75</v>
      </c>
      <c r="Q20" s="4">
        <v>2945.85</v>
      </c>
      <c r="R20" s="4">
        <v>75880.55</v>
      </c>
      <c r="S20" s="4">
        <v>124329.8</v>
      </c>
      <c r="T20" s="4">
        <v>125223.05</v>
      </c>
      <c r="U20" s="4">
        <v>49052</v>
      </c>
      <c r="V20" s="4">
        <v>86079.05</v>
      </c>
      <c r="W20" s="4">
        <v>235417.63</v>
      </c>
      <c r="X20" s="4">
        <v>22891.15</v>
      </c>
      <c r="Y20" s="4">
        <v>212977.71</v>
      </c>
      <c r="Z20" s="4">
        <v>394315.35</v>
      </c>
      <c r="AA20" s="4">
        <v>25368.65</v>
      </c>
      <c r="AB20" s="4">
        <v>14427.65</v>
      </c>
      <c r="AC20" s="4">
        <v>208072.99</v>
      </c>
      <c r="AD20" s="4">
        <v>97562.8</v>
      </c>
      <c r="AE20" s="4">
        <v>134944.4</v>
      </c>
      <c r="AF20" s="4">
        <v>143246.04999999999</v>
      </c>
      <c r="AG20" s="4">
        <v>351787.15</v>
      </c>
      <c r="AH20" s="4">
        <v>431394.35</v>
      </c>
      <c r="AI20" s="4">
        <v>47839.199999999997</v>
      </c>
      <c r="AJ20" s="4">
        <v>81647.25</v>
      </c>
      <c r="AK20" s="4">
        <v>224135.6</v>
      </c>
      <c r="AL20" s="4">
        <v>300916.37</v>
      </c>
      <c r="AM20" s="4">
        <v>142587.9</v>
      </c>
      <c r="AN20" s="4">
        <v>13980.55</v>
      </c>
      <c r="AO20" s="4">
        <v>395618.15</v>
      </c>
      <c r="AP20" s="4">
        <v>100872</v>
      </c>
      <c r="AQ20" s="4">
        <v>130598.3</v>
      </c>
      <c r="AR20" s="4">
        <v>309127.05</v>
      </c>
      <c r="AS20" s="4">
        <v>53415.7</v>
      </c>
      <c r="AT20" s="4">
        <v>109651</v>
      </c>
      <c r="AU20" s="4">
        <v>54529.5</v>
      </c>
      <c r="AV20" s="4">
        <v>264026.05</v>
      </c>
      <c r="AW20" s="4">
        <v>76053.7</v>
      </c>
      <c r="AX20" s="4">
        <v>27435.8</v>
      </c>
      <c r="AY20" s="4">
        <v>68794.2</v>
      </c>
      <c r="AZ20" s="4">
        <v>134673.79999999999</v>
      </c>
      <c r="BA20" s="4">
        <v>91012.2</v>
      </c>
      <c r="BB20" s="4">
        <v>148618.51</v>
      </c>
      <c r="BC20" s="4">
        <v>40557.050000000003</v>
      </c>
      <c r="BD20" s="4">
        <v>896552.62</v>
      </c>
      <c r="BE20" s="4">
        <v>47917.05</v>
      </c>
      <c r="BF20" s="4">
        <f t="shared" si="10"/>
        <v>10395173.74</v>
      </c>
      <c r="BG20" s="4">
        <f t="shared" si="7"/>
        <v>4597625.9399999995</v>
      </c>
      <c r="BH20" s="4">
        <f t="shared" si="8"/>
        <v>2166474.7000000002</v>
      </c>
      <c r="BI20" s="4">
        <f t="shared" si="9"/>
        <v>3631073.0999999996</v>
      </c>
    </row>
    <row r="21" spans="2:61" x14ac:dyDescent="0.3">
      <c r="C21">
        <v>315</v>
      </c>
      <c r="D21" t="s">
        <v>93</v>
      </c>
      <c r="E21" s="4">
        <v>33160.449999999997</v>
      </c>
      <c r="F21" s="4">
        <v>13144</v>
      </c>
      <c r="G21" s="4">
        <v>13012.65</v>
      </c>
      <c r="H21" s="4">
        <v>19904.349999999999</v>
      </c>
      <c r="I21" s="4">
        <v>139783.15</v>
      </c>
      <c r="J21" s="4">
        <v>14920.45</v>
      </c>
      <c r="K21" s="4">
        <v>87676.21</v>
      </c>
      <c r="L21" s="4">
        <v>961037.26</v>
      </c>
      <c r="M21" s="4">
        <v>60398.75</v>
      </c>
      <c r="N21" s="4">
        <v>2010.9</v>
      </c>
      <c r="O21" s="4">
        <v>225862.6</v>
      </c>
      <c r="P21" s="4">
        <v>9061.85</v>
      </c>
      <c r="Q21" s="4">
        <v>2462.4499999999998</v>
      </c>
      <c r="R21" s="4">
        <v>21264.91</v>
      </c>
      <c r="S21" s="4">
        <v>5574.4</v>
      </c>
      <c r="T21" s="4">
        <v>12791.85</v>
      </c>
      <c r="U21" s="4">
        <v>8484.3700000000008</v>
      </c>
      <c r="V21" s="4">
        <v>21722.799999999999</v>
      </c>
      <c r="W21" s="4">
        <v>125111.69</v>
      </c>
      <c r="X21" s="4">
        <v>1710.9</v>
      </c>
      <c r="Y21" s="4">
        <v>88235.45</v>
      </c>
      <c r="Z21" s="4">
        <v>63613</v>
      </c>
      <c r="AA21" s="4">
        <v>7642.25</v>
      </c>
      <c r="AB21" s="4">
        <v>4579.8500000000004</v>
      </c>
      <c r="AC21" s="4">
        <v>43070.87</v>
      </c>
      <c r="AD21" s="4">
        <v>91199.82</v>
      </c>
      <c r="AE21" s="4">
        <v>50073.35</v>
      </c>
      <c r="AF21" s="4">
        <v>3215.11</v>
      </c>
      <c r="AG21" s="4">
        <v>101860.78</v>
      </c>
      <c r="AH21" s="4">
        <v>42911.1</v>
      </c>
      <c r="AI21" s="4">
        <v>26422</v>
      </c>
      <c r="AJ21" s="4">
        <v>8458.9</v>
      </c>
      <c r="AK21" s="4">
        <v>19682.599999999999</v>
      </c>
      <c r="AL21" s="4">
        <v>130910.1</v>
      </c>
      <c r="AM21" s="4">
        <v>45568.55</v>
      </c>
      <c r="AN21" s="4">
        <v>0</v>
      </c>
      <c r="AO21" s="4">
        <v>53688.15</v>
      </c>
      <c r="AP21" s="4">
        <v>30417.95</v>
      </c>
      <c r="AQ21" s="4">
        <v>34032.78</v>
      </c>
      <c r="AR21" s="4">
        <v>69959.100000000006</v>
      </c>
      <c r="AS21" s="4">
        <v>40182.85</v>
      </c>
      <c r="AT21" s="4">
        <v>41152.5</v>
      </c>
      <c r="AU21" s="4">
        <v>22513.55</v>
      </c>
      <c r="AV21" s="4">
        <v>55247.5</v>
      </c>
      <c r="AW21" s="4">
        <v>28331.3</v>
      </c>
      <c r="AX21" s="4">
        <v>7319.65</v>
      </c>
      <c r="AY21" s="4">
        <v>12657.45</v>
      </c>
      <c r="AZ21" s="4">
        <v>43482.15</v>
      </c>
      <c r="BA21" s="4">
        <v>8746.35</v>
      </c>
      <c r="BB21" s="4">
        <v>79870.600000000006</v>
      </c>
      <c r="BC21" s="4">
        <v>5420.05</v>
      </c>
      <c r="BD21" s="4">
        <v>418725.61</v>
      </c>
      <c r="BE21" s="4">
        <v>42182.35</v>
      </c>
      <c r="BF21" s="4">
        <f t="shared" si="10"/>
        <v>3500469.6099999994</v>
      </c>
      <c r="BG21" s="4">
        <f t="shared" si="7"/>
        <v>1777385.09</v>
      </c>
      <c r="BH21" s="4">
        <f t="shared" si="8"/>
        <v>532993.38</v>
      </c>
      <c r="BI21" s="4">
        <f t="shared" si="9"/>
        <v>1190091.1400000001</v>
      </c>
    </row>
    <row r="22" spans="2:61" x14ac:dyDescent="0.3">
      <c r="C22">
        <v>316</v>
      </c>
      <c r="D22" t="s">
        <v>94</v>
      </c>
      <c r="E22" s="4">
        <v>3877.2</v>
      </c>
      <c r="F22" s="4">
        <v>2836.05</v>
      </c>
      <c r="G22" s="4">
        <v>592.35</v>
      </c>
      <c r="H22" s="4">
        <v>4124.8999999999996</v>
      </c>
      <c r="I22" s="4">
        <v>67837.45</v>
      </c>
      <c r="J22" s="4">
        <v>35406.949999999997</v>
      </c>
      <c r="K22" s="4">
        <v>32914</v>
      </c>
      <c r="L22" s="4">
        <v>918761.95</v>
      </c>
      <c r="M22" s="4">
        <v>31486.55</v>
      </c>
      <c r="N22" s="4">
        <v>1200</v>
      </c>
      <c r="O22" s="4">
        <v>106532.35</v>
      </c>
      <c r="P22" s="4">
        <v>0</v>
      </c>
      <c r="Q22" s="4">
        <v>0</v>
      </c>
      <c r="R22" s="4">
        <v>0</v>
      </c>
      <c r="S22" s="4">
        <v>0</v>
      </c>
      <c r="T22" s="4">
        <v>1400.1</v>
      </c>
      <c r="U22" s="4">
        <v>0</v>
      </c>
      <c r="V22" s="4">
        <v>4800</v>
      </c>
      <c r="W22" s="4">
        <v>113662.35</v>
      </c>
      <c r="X22" s="4">
        <v>22247.63</v>
      </c>
      <c r="Y22" s="4">
        <v>14700</v>
      </c>
      <c r="Z22" s="4">
        <v>160248</v>
      </c>
      <c r="AA22" s="4">
        <v>0</v>
      </c>
      <c r="AB22" s="4">
        <v>800</v>
      </c>
      <c r="AC22" s="4">
        <v>3464.65</v>
      </c>
      <c r="AD22" s="4">
        <v>44942.400000000001</v>
      </c>
      <c r="AE22" s="4">
        <v>2466.85</v>
      </c>
      <c r="AF22" s="4">
        <v>0</v>
      </c>
      <c r="AG22" s="4">
        <v>2221.5</v>
      </c>
      <c r="AH22" s="4">
        <v>108949.1</v>
      </c>
      <c r="AI22" s="4">
        <v>0</v>
      </c>
      <c r="AJ22" s="4">
        <v>0</v>
      </c>
      <c r="AK22" s="4">
        <v>0</v>
      </c>
      <c r="AL22" s="4">
        <v>8966.9</v>
      </c>
      <c r="AM22" s="4">
        <v>14951.5</v>
      </c>
      <c r="AN22" s="4">
        <v>600</v>
      </c>
      <c r="AO22" s="4">
        <v>36000</v>
      </c>
      <c r="AP22" s="4">
        <v>38674.300000000003</v>
      </c>
      <c r="AQ22" s="4">
        <v>0</v>
      </c>
      <c r="AR22" s="4">
        <v>42741.8</v>
      </c>
      <c r="AS22" s="4">
        <v>9738.15</v>
      </c>
      <c r="AT22" s="4">
        <v>0</v>
      </c>
      <c r="AU22" s="4">
        <v>0</v>
      </c>
      <c r="AV22" s="4">
        <v>10485.75</v>
      </c>
      <c r="AW22" s="4">
        <v>19104.05</v>
      </c>
      <c r="AX22" s="4">
        <v>0</v>
      </c>
      <c r="AY22" s="4">
        <v>2739.7</v>
      </c>
      <c r="AZ22" s="4">
        <v>39756</v>
      </c>
      <c r="BA22" s="4">
        <v>5880.4</v>
      </c>
      <c r="BB22" s="4">
        <v>7695.55</v>
      </c>
      <c r="BC22" s="4">
        <v>0</v>
      </c>
      <c r="BD22" s="4">
        <v>784348.18</v>
      </c>
      <c r="BE22" s="4">
        <v>600</v>
      </c>
      <c r="BF22" s="4">
        <f t="shared" si="10"/>
        <v>2707754.61</v>
      </c>
      <c r="BG22" s="4">
        <f t="shared" si="7"/>
        <v>1325432.2000000002</v>
      </c>
      <c r="BH22" s="4">
        <f t="shared" si="8"/>
        <v>360040.13</v>
      </c>
      <c r="BI22" s="4">
        <f t="shared" si="9"/>
        <v>1022282.28</v>
      </c>
    </row>
    <row r="23" spans="2:61" x14ac:dyDescent="0.3">
      <c r="C23">
        <v>317</v>
      </c>
      <c r="D23" t="s">
        <v>95</v>
      </c>
      <c r="E23" s="4">
        <v>17503.349999999999</v>
      </c>
      <c r="F23" s="4">
        <v>1752.4</v>
      </c>
      <c r="G23" s="4">
        <v>604.65</v>
      </c>
      <c r="H23" s="4">
        <v>899.24</v>
      </c>
      <c r="I23" s="4">
        <v>28163.15</v>
      </c>
      <c r="J23" s="4">
        <v>42359.65</v>
      </c>
      <c r="K23" s="4">
        <v>18593.900000000001</v>
      </c>
      <c r="L23" s="4">
        <v>64472.58</v>
      </c>
      <c r="M23" s="4">
        <v>12326.15</v>
      </c>
      <c r="N23" s="4">
        <v>155</v>
      </c>
      <c r="O23" s="4">
        <v>70768.100000000006</v>
      </c>
      <c r="P23" s="4">
        <v>2739.3</v>
      </c>
      <c r="Q23" s="4">
        <v>1309.7</v>
      </c>
      <c r="R23" s="4">
        <v>1237.3499999999999</v>
      </c>
      <c r="S23" s="4">
        <v>5823.75</v>
      </c>
      <c r="T23" s="4">
        <v>26207.65</v>
      </c>
      <c r="U23" s="4">
        <v>2740.6</v>
      </c>
      <c r="V23" s="4">
        <v>3163.65</v>
      </c>
      <c r="W23" s="4">
        <v>17203.55</v>
      </c>
      <c r="X23" s="4">
        <v>21221.95</v>
      </c>
      <c r="Y23" s="4">
        <v>7060.8</v>
      </c>
      <c r="Z23" s="4">
        <v>29995.4</v>
      </c>
      <c r="AA23" s="4">
        <v>409.3</v>
      </c>
      <c r="AB23" s="4">
        <v>555.1</v>
      </c>
      <c r="AC23" s="4">
        <v>2853.75</v>
      </c>
      <c r="AD23" s="4">
        <v>7892.9</v>
      </c>
      <c r="AE23" s="4">
        <v>6814</v>
      </c>
      <c r="AF23" s="4">
        <v>0</v>
      </c>
      <c r="AG23" s="4">
        <v>15978.5</v>
      </c>
      <c r="AH23" s="4">
        <v>7793.05</v>
      </c>
      <c r="AI23" s="4">
        <v>1696.2</v>
      </c>
      <c r="AJ23" s="4">
        <v>535.1</v>
      </c>
      <c r="AK23" s="4">
        <v>30402.1</v>
      </c>
      <c r="AL23" s="4">
        <v>14366.8</v>
      </c>
      <c r="AM23" s="4">
        <v>14784.8</v>
      </c>
      <c r="AN23" s="4">
        <v>441.6</v>
      </c>
      <c r="AO23" s="4">
        <v>26087.35</v>
      </c>
      <c r="AP23" s="4">
        <v>2674.6</v>
      </c>
      <c r="AQ23" s="4">
        <v>460.85</v>
      </c>
      <c r="AR23" s="4">
        <v>19156.2</v>
      </c>
      <c r="AS23" s="4">
        <v>26910.7</v>
      </c>
      <c r="AT23" s="4">
        <v>6889.85</v>
      </c>
      <c r="AU23" s="4">
        <v>1633</v>
      </c>
      <c r="AV23" s="4">
        <v>30778.5</v>
      </c>
      <c r="AW23" s="4">
        <v>1433</v>
      </c>
      <c r="AX23" s="4">
        <v>621.29999999999995</v>
      </c>
      <c r="AY23" s="4">
        <v>3792.7</v>
      </c>
      <c r="AZ23" s="4">
        <v>19720.009999999998</v>
      </c>
      <c r="BA23" s="4">
        <v>3060.35</v>
      </c>
      <c r="BB23" s="4">
        <v>16871.3</v>
      </c>
      <c r="BC23" s="4">
        <v>333.5</v>
      </c>
      <c r="BD23" s="4">
        <v>37357.5</v>
      </c>
      <c r="BE23" s="4">
        <v>1109.3</v>
      </c>
      <c r="BF23" s="4">
        <f t="shared" si="10"/>
        <v>679715.07999999984</v>
      </c>
      <c r="BG23" s="4">
        <f t="shared" si="7"/>
        <v>318023.71999999997</v>
      </c>
      <c r="BH23" s="4">
        <f t="shared" si="8"/>
        <v>102806.05</v>
      </c>
      <c r="BI23" s="4">
        <f t="shared" si="9"/>
        <v>258885.31</v>
      </c>
    </row>
    <row r="24" spans="2:61" x14ac:dyDescent="0.3">
      <c r="C24">
        <v>318</v>
      </c>
      <c r="D24" t="s">
        <v>96</v>
      </c>
      <c r="E24" s="4">
        <v>89412.95</v>
      </c>
      <c r="F24" s="4">
        <v>-26908.85</v>
      </c>
      <c r="G24" s="4">
        <v>11187.51</v>
      </c>
      <c r="H24" s="4">
        <v>12827.4</v>
      </c>
      <c r="I24" s="4">
        <v>72341.649999999994</v>
      </c>
      <c r="J24" s="4">
        <v>19718.150000000001</v>
      </c>
      <c r="K24" s="4">
        <v>30462.05</v>
      </c>
      <c r="L24" s="4">
        <v>-232397.17</v>
      </c>
      <c r="M24" s="4">
        <v>-62640.25</v>
      </c>
      <c r="N24" s="4">
        <v>10535.05</v>
      </c>
      <c r="O24" s="4">
        <v>-43121.85</v>
      </c>
      <c r="P24" s="4">
        <v>73096.100000000006</v>
      </c>
      <c r="Q24" s="4">
        <v>59.45</v>
      </c>
      <c r="R24" s="4">
        <v>5899.45</v>
      </c>
      <c r="S24" s="4">
        <v>37242.85</v>
      </c>
      <c r="T24" s="4">
        <v>27840.799999999999</v>
      </c>
      <c r="U24" s="4">
        <v>14764.9</v>
      </c>
      <c r="V24" s="4">
        <v>42514.5</v>
      </c>
      <c r="W24" s="4">
        <v>165098.10999999999</v>
      </c>
      <c r="X24" s="4">
        <v>14489.35</v>
      </c>
      <c r="Y24" s="4">
        <v>35962.44</v>
      </c>
      <c r="Z24" s="4">
        <v>60436.4</v>
      </c>
      <c r="AA24" s="4">
        <v>3963.7</v>
      </c>
      <c r="AB24" s="4">
        <v>6037.4</v>
      </c>
      <c r="AC24" s="4">
        <v>-86221.95</v>
      </c>
      <c r="AD24" s="4">
        <v>24341.87</v>
      </c>
      <c r="AE24" s="4">
        <v>7432.09</v>
      </c>
      <c r="AF24" s="4">
        <v>25173.35</v>
      </c>
      <c r="AG24" s="4">
        <v>24837.69</v>
      </c>
      <c r="AH24" s="4">
        <v>103564.94</v>
      </c>
      <c r="AI24" s="4">
        <v>10692.7</v>
      </c>
      <c r="AJ24" s="4">
        <v>6779.65</v>
      </c>
      <c r="AK24" s="4">
        <v>107611</v>
      </c>
      <c r="AL24" s="4">
        <v>106511.78</v>
      </c>
      <c r="AM24" s="4">
        <v>93838.6</v>
      </c>
      <c r="AN24" s="4">
        <v>13878.86</v>
      </c>
      <c r="AO24" s="4">
        <v>-158108.51</v>
      </c>
      <c r="AP24" s="4">
        <v>-121128.74</v>
      </c>
      <c r="AQ24" s="4">
        <v>21423</v>
      </c>
      <c r="AR24" s="4">
        <v>101567.4</v>
      </c>
      <c r="AS24" s="4">
        <v>12355.1</v>
      </c>
      <c r="AT24" s="4">
        <v>26849.83</v>
      </c>
      <c r="AU24" s="4">
        <v>72190.8</v>
      </c>
      <c r="AV24" s="4">
        <v>255480.28</v>
      </c>
      <c r="AW24" s="4">
        <v>59543.09</v>
      </c>
      <c r="AX24" s="4">
        <v>9683.7999999999993</v>
      </c>
      <c r="AY24" s="4">
        <v>22797.3</v>
      </c>
      <c r="AZ24" s="4">
        <v>63552.6</v>
      </c>
      <c r="BA24" s="4">
        <v>11001</v>
      </c>
      <c r="BB24" s="4">
        <v>13653.96</v>
      </c>
      <c r="BC24" s="4">
        <v>7580.95</v>
      </c>
      <c r="BD24" s="4">
        <v>465875.65</v>
      </c>
      <c r="BE24" s="4">
        <v>21039</v>
      </c>
      <c r="BF24" s="4">
        <f t="shared" si="10"/>
        <v>1692619.1800000002</v>
      </c>
      <c r="BG24" s="4">
        <f t="shared" si="7"/>
        <v>247932.79999999993</v>
      </c>
      <c r="BH24" s="4">
        <f t="shared" si="8"/>
        <v>237489.63</v>
      </c>
      <c r="BI24" s="4">
        <f t="shared" si="9"/>
        <v>1207196.75</v>
      </c>
    </row>
    <row r="25" spans="2:61" x14ac:dyDescent="0.3">
      <c r="C25">
        <v>319</v>
      </c>
      <c r="D25" t="s">
        <v>97</v>
      </c>
      <c r="E25" s="4">
        <v>2327.9</v>
      </c>
      <c r="F25" s="4">
        <v>50</v>
      </c>
      <c r="G25" s="4">
        <v>4367.7</v>
      </c>
      <c r="H25" s="4">
        <v>2708.65</v>
      </c>
      <c r="I25" s="4">
        <v>33010.519999999997</v>
      </c>
      <c r="J25" s="4">
        <v>23700.04</v>
      </c>
      <c r="K25" s="4">
        <v>21436.85</v>
      </c>
      <c r="L25" s="4">
        <v>185153.45</v>
      </c>
      <c r="M25" s="4">
        <v>53500</v>
      </c>
      <c r="N25" s="4">
        <v>2951.2</v>
      </c>
      <c r="O25" s="4">
        <v>13642.35</v>
      </c>
      <c r="P25" s="4">
        <v>190</v>
      </c>
      <c r="Q25" s="4">
        <v>593.35</v>
      </c>
      <c r="R25" s="4">
        <v>0</v>
      </c>
      <c r="S25" s="4">
        <v>1346.6</v>
      </c>
      <c r="T25" s="4">
        <v>4793</v>
      </c>
      <c r="U25" s="4">
        <v>689.11</v>
      </c>
      <c r="V25" s="4">
        <v>1199.55</v>
      </c>
      <c r="W25" s="4">
        <v>6955.1</v>
      </c>
      <c r="X25" s="4">
        <v>1484.85</v>
      </c>
      <c r="Y25" s="4">
        <v>15226.75</v>
      </c>
      <c r="Z25" s="4">
        <v>16689.599999999999</v>
      </c>
      <c r="AA25" s="4">
        <v>975.5</v>
      </c>
      <c r="AB25" s="4">
        <v>1359.8</v>
      </c>
      <c r="AC25" s="4">
        <v>990.8</v>
      </c>
      <c r="AD25" s="4">
        <v>7168.1</v>
      </c>
      <c r="AE25" s="4">
        <v>2939.65</v>
      </c>
      <c r="AF25" s="4">
        <v>1790.6</v>
      </c>
      <c r="AG25" s="4">
        <v>6598</v>
      </c>
      <c r="AH25" s="4">
        <v>11917.1</v>
      </c>
      <c r="AI25" s="4">
        <v>689.3</v>
      </c>
      <c r="AJ25" s="4">
        <v>1547</v>
      </c>
      <c r="AK25" s="4">
        <v>0</v>
      </c>
      <c r="AL25" s="4">
        <v>17748.95</v>
      </c>
      <c r="AM25" s="4">
        <v>944.1</v>
      </c>
      <c r="AN25" s="4">
        <v>0</v>
      </c>
      <c r="AO25" s="4">
        <v>33295.5</v>
      </c>
      <c r="AP25" s="4">
        <v>1358.15</v>
      </c>
      <c r="AQ25" s="4">
        <v>101.4</v>
      </c>
      <c r="AR25" s="4">
        <v>15980.9</v>
      </c>
      <c r="AS25" s="4">
        <v>2391.4</v>
      </c>
      <c r="AT25" s="4">
        <v>22532.2</v>
      </c>
      <c r="AU25" s="4">
        <v>2217.4</v>
      </c>
      <c r="AV25" s="4">
        <v>21000</v>
      </c>
      <c r="AW25" s="4">
        <v>10744.3</v>
      </c>
      <c r="AX25" s="4">
        <v>175.9</v>
      </c>
      <c r="AY25" s="4">
        <v>0</v>
      </c>
      <c r="AZ25" s="4">
        <v>3312.75</v>
      </c>
      <c r="BA25" s="4">
        <v>0</v>
      </c>
      <c r="BB25" s="4">
        <v>7590.4</v>
      </c>
      <c r="BC25" s="4">
        <v>740.6</v>
      </c>
      <c r="BD25" s="4">
        <v>159454.70000000001</v>
      </c>
      <c r="BE25" s="4">
        <v>3291.95</v>
      </c>
      <c r="BF25" s="4">
        <f t="shared" si="10"/>
        <v>730873.01999999979</v>
      </c>
      <c r="BG25" s="4">
        <f t="shared" si="7"/>
        <v>358615.36999999988</v>
      </c>
      <c r="BH25" s="4">
        <f t="shared" si="8"/>
        <v>69377.05</v>
      </c>
      <c r="BI25" s="4">
        <f t="shared" si="9"/>
        <v>302880.60000000003</v>
      </c>
    </row>
    <row r="26" spans="2:61" x14ac:dyDescent="0.3">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3">
      <c r="B27" s="94">
        <v>33</v>
      </c>
      <c r="C27" s="94"/>
      <c r="D27" s="94" t="s">
        <v>98</v>
      </c>
      <c r="E27" s="95">
        <f>E28+E29</f>
        <v>505358.98</v>
      </c>
      <c r="F27" s="95">
        <f t="shared" ref="F27:BI27" si="11">F28+F29</f>
        <v>79584</v>
      </c>
      <c r="G27" s="95">
        <f t="shared" si="11"/>
        <v>36441</v>
      </c>
      <c r="H27" s="95">
        <f t="shared" si="11"/>
        <v>100260</v>
      </c>
      <c r="I27" s="95">
        <f t="shared" si="11"/>
        <v>742648.8</v>
      </c>
      <c r="J27" s="95">
        <f t="shared" si="11"/>
        <v>1008330.1</v>
      </c>
      <c r="K27" s="95">
        <f t="shared" si="11"/>
        <v>562251.4</v>
      </c>
      <c r="L27" s="95">
        <f t="shared" si="11"/>
        <v>5119062.6100000003</v>
      </c>
      <c r="M27" s="95">
        <f t="shared" si="11"/>
        <v>264426.14</v>
      </c>
      <c r="N27" s="95">
        <f t="shared" si="11"/>
        <v>54734.79</v>
      </c>
      <c r="O27" s="95">
        <f t="shared" si="11"/>
        <v>1311445.05</v>
      </c>
      <c r="P27" s="95">
        <f t="shared" si="11"/>
        <v>137078</v>
      </c>
      <c r="Q27" s="95">
        <f t="shared" si="11"/>
        <v>12845</v>
      </c>
      <c r="R27" s="95">
        <f t="shared" si="11"/>
        <v>94900</v>
      </c>
      <c r="S27" s="95">
        <f t="shared" si="11"/>
        <v>67550</v>
      </c>
      <c r="T27" s="95">
        <f t="shared" si="11"/>
        <v>149143.29999999999</v>
      </c>
      <c r="U27" s="95">
        <f t="shared" si="11"/>
        <v>33009.11</v>
      </c>
      <c r="V27" s="95">
        <f t="shared" si="11"/>
        <v>155409.54999999999</v>
      </c>
      <c r="W27" s="95">
        <f t="shared" si="11"/>
        <v>954867.77</v>
      </c>
      <c r="X27" s="95">
        <f t="shared" si="11"/>
        <v>51671.15</v>
      </c>
      <c r="Y27" s="95">
        <f t="shared" si="11"/>
        <v>263696.45</v>
      </c>
      <c r="Z27" s="95">
        <f t="shared" si="11"/>
        <v>310449.90999999997</v>
      </c>
      <c r="AA27" s="95">
        <f t="shared" si="11"/>
        <v>40237.300000000003</v>
      </c>
      <c r="AB27" s="95">
        <f t="shared" si="11"/>
        <v>700</v>
      </c>
      <c r="AC27" s="95">
        <f t="shared" si="11"/>
        <v>97340.800000000003</v>
      </c>
      <c r="AD27" s="95">
        <f t="shared" si="11"/>
        <v>175409.64</v>
      </c>
      <c r="AE27" s="95">
        <f t="shared" si="11"/>
        <v>112900</v>
      </c>
      <c r="AF27" s="95">
        <f t="shared" si="11"/>
        <v>46101.55</v>
      </c>
      <c r="AG27" s="95">
        <f t="shared" si="11"/>
        <v>602139</v>
      </c>
      <c r="AH27" s="95">
        <f t="shared" si="11"/>
        <v>1126485.45</v>
      </c>
      <c r="AI27" s="95">
        <f t="shared" si="11"/>
        <v>73520.05</v>
      </c>
      <c r="AJ27" s="95">
        <f t="shared" si="11"/>
        <v>11220</v>
      </c>
      <c r="AK27" s="95">
        <f t="shared" si="11"/>
        <v>421564</v>
      </c>
      <c r="AL27" s="95">
        <f t="shared" si="11"/>
        <v>383847.7</v>
      </c>
      <c r="AM27" s="95">
        <f t="shared" si="11"/>
        <v>263850</v>
      </c>
      <c r="AN27" s="95">
        <f t="shared" si="11"/>
        <v>18600</v>
      </c>
      <c r="AO27" s="95">
        <f t="shared" si="11"/>
        <v>613524</v>
      </c>
      <c r="AP27" s="95">
        <f t="shared" si="11"/>
        <v>67350</v>
      </c>
      <c r="AQ27" s="95">
        <f t="shared" si="11"/>
        <v>206488.85</v>
      </c>
      <c r="AR27" s="95">
        <f t="shared" si="11"/>
        <v>591914.85</v>
      </c>
      <c r="AS27" s="95">
        <f t="shared" si="11"/>
        <v>132899.79999999999</v>
      </c>
      <c r="AT27" s="95">
        <f t="shared" si="11"/>
        <v>236006.67</v>
      </c>
      <c r="AU27" s="95">
        <f t="shared" si="11"/>
        <v>432093.9</v>
      </c>
      <c r="AV27" s="95">
        <f t="shared" si="11"/>
        <v>435318.16</v>
      </c>
      <c r="AW27" s="95">
        <f t="shared" si="11"/>
        <v>106477.27</v>
      </c>
      <c r="AX27" s="95">
        <f t="shared" si="11"/>
        <v>31410</v>
      </c>
      <c r="AY27" s="95">
        <f t="shared" si="11"/>
        <v>186165</v>
      </c>
      <c r="AZ27" s="95">
        <f t="shared" si="11"/>
        <v>571793.05000000005</v>
      </c>
      <c r="BA27" s="95">
        <f t="shared" si="11"/>
        <v>29040</v>
      </c>
      <c r="BB27" s="95">
        <f t="shared" si="11"/>
        <v>381409.63</v>
      </c>
      <c r="BC27" s="95">
        <f t="shared" si="11"/>
        <v>12476</v>
      </c>
      <c r="BD27" s="95">
        <f t="shared" si="11"/>
        <v>3229816.74</v>
      </c>
      <c r="BE27" s="95">
        <f t="shared" si="11"/>
        <v>102578.57</v>
      </c>
      <c r="BF27" s="95">
        <f t="shared" si="11"/>
        <v>22755841.089999996</v>
      </c>
      <c r="BG27" s="95">
        <f t="shared" si="11"/>
        <v>11389345.599999998</v>
      </c>
      <c r="BH27" s="95">
        <f t="shared" si="11"/>
        <v>2911871.3</v>
      </c>
      <c r="BI27" s="95">
        <f t="shared" si="11"/>
        <v>8454624.1900000013</v>
      </c>
    </row>
    <row r="28" spans="2:61" x14ac:dyDescent="0.3">
      <c r="C28">
        <v>330</v>
      </c>
      <c r="D28" t="s">
        <v>100</v>
      </c>
      <c r="E28" s="4">
        <v>472574.35</v>
      </c>
      <c r="F28" s="4">
        <v>67904</v>
      </c>
      <c r="G28" s="4">
        <v>34694.5</v>
      </c>
      <c r="H28" s="4">
        <v>100260</v>
      </c>
      <c r="I28" s="4">
        <v>724428.80000000005</v>
      </c>
      <c r="J28" s="4">
        <v>999558.7</v>
      </c>
      <c r="K28" s="4">
        <v>562251.4</v>
      </c>
      <c r="L28" s="4">
        <v>5119062.6100000003</v>
      </c>
      <c r="M28" s="4">
        <v>262596.14</v>
      </c>
      <c r="N28" s="4">
        <v>54734.79</v>
      </c>
      <c r="O28" s="4">
        <v>1286437.7</v>
      </c>
      <c r="P28" s="4">
        <v>137078</v>
      </c>
      <c r="Q28" s="4">
        <v>12845</v>
      </c>
      <c r="R28" s="4">
        <v>94900</v>
      </c>
      <c r="S28" s="4">
        <v>67550</v>
      </c>
      <c r="T28" s="4">
        <v>149143.29999999999</v>
      </c>
      <c r="U28" s="4">
        <v>33009.11</v>
      </c>
      <c r="V28" s="4">
        <v>137500</v>
      </c>
      <c r="W28" s="4">
        <v>900538.02</v>
      </c>
      <c r="X28" s="4">
        <v>51671.15</v>
      </c>
      <c r="Y28" s="4">
        <v>263696.45</v>
      </c>
      <c r="Z28" s="4">
        <v>310449.90999999997</v>
      </c>
      <c r="AA28" s="4">
        <v>40237.300000000003</v>
      </c>
      <c r="AB28" s="4">
        <v>700</v>
      </c>
      <c r="AC28" s="4">
        <v>92315.8</v>
      </c>
      <c r="AD28" s="4">
        <v>175409.64</v>
      </c>
      <c r="AE28" s="4">
        <v>112900</v>
      </c>
      <c r="AF28" s="4">
        <v>46101.55</v>
      </c>
      <c r="AG28" s="4">
        <v>602139</v>
      </c>
      <c r="AH28" s="4">
        <v>1086320.45</v>
      </c>
      <c r="AI28" s="4">
        <v>73520.05</v>
      </c>
      <c r="AJ28" s="4">
        <v>11220</v>
      </c>
      <c r="AK28" s="4">
        <v>421564</v>
      </c>
      <c r="AL28" s="4">
        <v>383847.7</v>
      </c>
      <c r="AM28" s="4">
        <v>244100</v>
      </c>
      <c r="AN28" s="4">
        <v>18600</v>
      </c>
      <c r="AO28" s="4">
        <v>603124</v>
      </c>
      <c r="AP28" s="4">
        <v>67350</v>
      </c>
      <c r="AQ28" s="4">
        <v>206488.85</v>
      </c>
      <c r="AR28" s="4">
        <v>582914.85</v>
      </c>
      <c r="AS28" s="4">
        <v>132899.79999999999</v>
      </c>
      <c r="AT28" s="4">
        <v>235543.45</v>
      </c>
      <c r="AU28" s="4">
        <v>432093.9</v>
      </c>
      <c r="AV28" s="4">
        <v>435318.16</v>
      </c>
      <c r="AW28" s="4">
        <v>106477.27</v>
      </c>
      <c r="AX28" s="4">
        <v>31410</v>
      </c>
      <c r="AY28" s="4">
        <v>181665</v>
      </c>
      <c r="AZ28" s="4">
        <v>529888.05000000005</v>
      </c>
      <c r="BA28" s="4">
        <v>29040</v>
      </c>
      <c r="BB28" s="4">
        <v>381409.63</v>
      </c>
      <c r="BC28" s="4">
        <v>12476</v>
      </c>
      <c r="BD28" s="4">
        <v>2959471.24</v>
      </c>
      <c r="BE28" s="4">
        <v>102578.57</v>
      </c>
      <c r="BF28" s="4">
        <f t="shared" ref="BF28:BF29" si="12">SUM(E28:BE28)</f>
        <v>22182008.189999998</v>
      </c>
      <c r="BG28" s="4">
        <f t="shared" ref="BG28:BG29" si="13">SUM(E28:W28)</f>
        <v>11217066.419999998</v>
      </c>
      <c r="BH28" s="4">
        <f t="shared" ref="BH28:BH29" si="14">SUM(X28:AJ28)</f>
        <v>2866681.3</v>
      </c>
      <c r="BI28" s="4">
        <f t="shared" ref="BI28:BI29" si="15">SUM(AK28:BE28)</f>
        <v>8098260.4700000007</v>
      </c>
    </row>
    <row r="29" spans="2:61" x14ac:dyDescent="0.3">
      <c r="C29">
        <v>332</v>
      </c>
      <c r="D29" t="s">
        <v>99</v>
      </c>
      <c r="E29" s="4">
        <v>32784.629999999997</v>
      </c>
      <c r="F29" s="4">
        <v>11680</v>
      </c>
      <c r="G29" s="4">
        <v>1746.5</v>
      </c>
      <c r="H29" s="4">
        <v>0</v>
      </c>
      <c r="I29" s="4">
        <v>18220</v>
      </c>
      <c r="J29" s="4">
        <v>8771.4</v>
      </c>
      <c r="K29" s="4">
        <v>0</v>
      </c>
      <c r="L29" s="4">
        <v>0</v>
      </c>
      <c r="M29" s="4">
        <v>1830</v>
      </c>
      <c r="N29" s="4">
        <v>0</v>
      </c>
      <c r="O29" s="4">
        <v>25007.35</v>
      </c>
      <c r="P29" s="4">
        <v>0</v>
      </c>
      <c r="Q29" s="4">
        <v>0</v>
      </c>
      <c r="R29" s="4">
        <v>0</v>
      </c>
      <c r="S29" s="4">
        <v>0</v>
      </c>
      <c r="T29" s="4">
        <v>0</v>
      </c>
      <c r="U29" s="4">
        <v>0</v>
      </c>
      <c r="V29" s="4">
        <v>17909.55</v>
      </c>
      <c r="W29" s="4">
        <v>54329.75</v>
      </c>
      <c r="X29" s="4">
        <v>0</v>
      </c>
      <c r="Y29" s="4">
        <v>0</v>
      </c>
      <c r="Z29" s="4">
        <v>0</v>
      </c>
      <c r="AA29" s="4">
        <v>0</v>
      </c>
      <c r="AB29" s="4">
        <v>0</v>
      </c>
      <c r="AC29" s="4">
        <v>5025</v>
      </c>
      <c r="AD29" s="4">
        <v>0</v>
      </c>
      <c r="AE29" s="4">
        <v>0</v>
      </c>
      <c r="AF29" s="4">
        <v>0</v>
      </c>
      <c r="AG29" s="4">
        <v>0</v>
      </c>
      <c r="AH29" s="4">
        <v>40165</v>
      </c>
      <c r="AI29" s="4">
        <v>0</v>
      </c>
      <c r="AJ29" s="4">
        <v>0</v>
      </c>
      <c r="AK29" s="4">
        <v>0</v>
      </c>
      <c r="AL29" s="4">
        <v>0</v>
      </c>
      <c r="AM29" s="4">
        <v>19750</v>
      </c>
      <c r="AN29" s="4">
        <v>0</v>
      </c>
      <c r="AO29" s="4">
        <v>10400</v>
      </c>
      <c r="AP29" s="4">
        <v>0</v>
      </c>
      <c r="AQ29" s="4">
        <v>0</v>
      </c>
      <c r="AR29" s="4">
        <v>9000</v>
      </c>
      <c r="AS29" s="4">
        <v>0</v>
      </c>
      <c r="AT29" s="4">
        <v>463.22</v>
      </c>
      <c r="AU29" s="4">
        <v>0</v>
      </c>
      <c r="AV29" s="4">
        <v>0</v>
      </c>
      <c r="AW29" s="4">
        <v>0</v>
      </c>
      <c r="AX29" s="4">
        <v>0</v>
      </c>
      <c r="AY29" s="4">
        <v>4500</v>
      </c>
      <c r="AZ29" s="4">
        <v>41905</v>
      </c>
      <c r="BA29" s="4">
        <v>0</v>
      </c>
      <c r="BB29" s="4">
        <v>0</v>
      </c>
      <c r="BC29" s="4">
        <v>0</v>
      </c>
      <c r="BD29" s="4">
        <v>270345.5</v>
      </c>
      <c r="BE29" s="4">
        <v>0</v>
      </c>
      <c r="BF29" s="4">
        <f t="shared" si="12"/>
        <v>573832.9</v>
      </c>
      <c r="BG29" s="4">
        <f t="shared" si="13"/>
        <v>172279.18</v>
      </c>
      <c r="BH29" s="4">
        <f t="shared" si="14"/>
        <v>45190</v>
      </c>
      <c r="BI29" s="4">
        <f t="shared" si="15"/>
        <v>356363.72</v>
      </c>
    </row>
    <row r="30" spans="2:61" x14ac:dyDescent="0.3">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3">
      <c r="B31" s="94">
        <v>34</v>
      </c>
      <c r="C31" s="94"/>
      <c r="D31" s="94" t="s">
        <v>101</v>
      </c>
      <c r="E31" s="95">
        <f>E32+E33+E34+E35+E36+E37</f>
        <v>37127.64</v>
      </c>
      <c r="F31" s="95">
        <f t="shared" ref="F31:BI31" si="16">F32+F33+F34+F35+F36+F37</f>
        <v>62765.89</v>
      </c>
      <c r="G31" s="95">
        <f t="shared" si="16"/>
        <v>112446.58000000002</v>
      </c>
      <c r="H31" s="95">
        <f t="shared" si="16"/>
        <v>79602.070000000007</v>
      </c>
      <c r="I31" s="95">
        <f t="shared" si="16"/>
        <v>644111.71</v>
      </c>
      <c r="J31" s="95">
        <f t="shared" si="16"/>
        <v>388099.94999999995</v>
      </c>
      <c r="K31" s="95">
        <f t="shared" si="16"/>
        <v>190806.37</v>
      </c>
      <c r="L31" s="95">
        <f t="shared" si="16"/>
        <v>2138375.63</v>
      </c>
      <c r="M31" s="95">
        <f t="shared" si="16"/>
        <v>72055.42</v>
      </c>
      <c r="N31" s="95">
        <f t="shared" si="16"/>
        <v>7695.9</v>
      </c>
      <c r="O31" s="95">
        <f t="shared" si="16"/>
        <v>409269.4</v>
      </c>
      <c r="P31" s="95">
        <f t="shared" si="16"/>
        <v>49806.81</v>
      </c>
      <c r="Q31" s="95">
        <f t="shared" si="16"/>
        <v>9325.5300000000007</v>
      </c>
      <c r="R31" s="95">
        <f t="shared" si="16"/>
        <v>44096.62</v>
      </c>
      <c r="S31" s="95">
        <f t="shared" si="16"/>
        <v>62506.13</v>
      </c>
      <c r="T31" s="95">
        <f t="shared" si="16"/>
        <v>106712.09999999999</v>
      </c>
      <c r="U31" s="95">
        <f t="shared" si="16"/>
        <v>13829.21</v>
      </c>
      <c r="V31" s="95">
        <f t="shared" si="16"/>
        <v>64346.25</v>
      </c>
      <c r="W31" s="95">
        <f t="shared" si="16"/>
        <v>236226.93</v>
      </c>
      <c r="X31" s="95">
        <f t="shared" si="16"/>
        <v>17824.559999999998</v>
      </c>
      <c r="Y31" s="95">
        <f t="shared" si="16"/>
        <v>178118.55000000002</v>
      </c>
      <c r="Z31" s="95">
        <f t="shared" si="16"/>
        <v>49261.87</v>
      </c>
      <c r="AA31" s="95">
        <f t="shared" si="16"/>
        <v>4961.0499999999993</v>
      </c>
      <c r="AB31" s="95">
        <f t="shared" si="16"/>
        <v>18235.5</v>
      </c>
      <c r="AC31" s="95">
        <f t="shared" si="16"/>
        <v>50857.46</v>
      </c>
      <c r="AD31" s="95">
        <f t="shared" si="16"/>
        <v>152122.31</v>
      </c>
      <c r="AE31" s="95">
        <f t="shared" si="16"/>
        <v>38360.71</v>
      </c>
      <c r="AF31" s="95">
        <f t="shared" si="16"/>
        <v>53662.75</v>
      </c>
      <c r="AG31" s="95">
        <f t="shared" si="16"/>
        <v>142241.9</v>
      </c>
      <c r="AH31" s="95">
        <f t="shared" si="16"/>
        <v>353256.83</v>
      </c>
      <c r="AI31" s="95">
        <f t="shared" si="16"/>
        <v>24821.809999999998</v>
      </c>
      <c r="AJ31" s="95">
        <f t="shared" si="16"/>
        <v>43716.78</v>
      </c>
      <c r="AK31" s="95">
        <f t="shared" si="16"/>
        <v>241663.16999999998</v>
      </c>
      <c r="AL31" s="95">
        <f t="shared" si="16"/>
        <v>190129.1</v>
      </c>
      <c r="AM31" s="95">
        <f t="shared" si="16"/>
        <v>163768.80000000002</v>
      </c>
      <c r="AN31" s="95">
        <f t="shared" si="16"/>
        <v>28646.12</v>
      </c>
      <c r="AO31" s="95">
        <f t="shared" si="16"/>
        <v>259653.78</v>
      </c>
      <c r="AP31" s="95">
        <f t="shared" si="16"/>
        <v>66745.5</v>
      </c>
      <c r="AQ31" s="95">
        <f t="shared" si="16"/>
        <v>71227.8</v>
      </c>
      <c r="AR31" s="95">
        <f t="shared" si="16"/>
        <v>266678.92</v>
      </c>
      <c r="AS31" s="95">
        <f t="shared" si="16"/>
        <v>117832.13</v>
      </c>
      <c r="AT31" s="95">
        <f t="shared" si="16"/>
        <v>180860.45</v>
      </c>
      <c r="AU31" s="95">
        <f t="shared" si="16"/>
        <v>23204.25</v>
      </c>
      <c r="AV31" s="95">
        <f t="shared" si="16"/>
        <v>205298.78</v>
      </c>
      <c r="AW31" s="95">
        <f t="shared" si="16"/>
        <v>65965.850000000006</v>
      </c>
      <c r="AX31" s="95">
        <f t="shared" si="16"/>
        <v>13236.199999999999</v>
      </c>
      <c r="AY31" s="95">
        <f t="shared" si="16"/>
        <v>16514.060000000001</v>
      </c>
      <c r="AZ31" s="95">
        <f t="shared" si="16"/>
        <v>330999.18</v>
      </c>
      <c r="BA31" s="95">
        <f t="shared" si="16"/>
        <v>11552.11</v>
      </c>
      <c r="BB31" s="95">
        <f t="shared" si="16"/>
        <v>114102.89</v>
      </c>
      <c r="BC31" s="95">
        <f t="shared" si="16"/>
        <v>450.2</v>
      </c>
      <c r="BD31" s="95">
        <f t="shared" si="16"/>
        <v>982517.89</v>
      </c>
      <c r="BE31" s="95">
        <f t="shared" si="16"/>
        <v>70288.950000000012</v>
      </c>
      <c r="BF31" s="95">
        <f t="shared" si="16"/>
        <v>9277984.3499999978</v>
      </c>
      <c r="BG31" s="95">
        <f t="shared" si="16"/>
        <v>4729206.1399999997</v>
      </c>
      <c r="BH31" s="95">
        <f t="shared" si="16"/>
        <v>1127442.0800000003</v>
      </c>
      <c r="BI31" s="95">
        <f t="shared" si="16"/>
        <v>3421336.13</v>
      </c>
    </row>
    <row r="32" spans="2:61" x14ac:dyDescent="0.3">
      <c r="C32">
        <v>340</v>
      </c>
      <c r="D32" t="s">
        <v>102</v>
      </c>
      <c r="E32" s="4">
        <v>37127.64</v>
      </c>
      <c r="F32" s="4">
        <v>43881.440000000002</v>
      </c>
      <c r="G32" s="4">
        <v>66290.350000000006</v>
      </c>
      <c r="H32" s="4">
        <v>62822.720000000001</v>
      </c>
      <c r="I32" s="4">
        <v>476365.76</v>
      </c>
      <c r="J32" s="4">
        <v>324152.53999999998</v>
      </c>
      <c r="K32" s="4">
        <v>131053.32</v>
      </c>
      <c r="L32" s="4">
        <v>1943625.13</v>
      </c>
      <c r="M32" s="4">
        <v>61736.9</v>
      </c>
      <c r="N32" s="4">
        <v>7695.9</v>
      </c>
      <c r="O32" s="4">
        <v>346158.65</v>
      </c>
      <c r="P32" s="4">
        <v>39215.760000000002</v>
      </c>
      <c r="Q32" s="4">
        <v>9095.5300000000007</v>
      </c>
      <c r="R32" s="4">
        <v>36877.370000000003</v>
      </c>
      <c r="S32" s="4">
        <v>56844.93</v>
      </c>
      <c r="T32" s="4">
        <v>52274.2</v>
      </c>
      <c r="U32" s="4">
        <v>8304.64</v>
      </c>
      <c r="V32" s="4">
        <v>54207.25</v>
      </c>
      <c r="W32" s="4">
        <v>223986.68</v>
      </c>
      <c r="X32" s="4">
        <v>6223.36</v>
      </c>
      <c r="Y32" s="4">
        <v>178266.7</v>
      </c>
      <c r="Z32" s="4">
        <v>12115.22</v>
      </c>
      <c r="AA32" s="4">
        <v>4856.6499999999996</v>
      </c>
      <c r="AB32" s="4">
        <v>7098.21</v>
      </c>
      <c r="AC32" s="4">
        <v>43994.559999999998</v>
      </c>
      <c r="AD32" s="4">
        <v>123255.96</v>
      </c>
      <c r="AE32" s="4">
        <v>38160.71</v>
      </c>
      <c r="AF32" s="4">
        <v>2733</v>
      </c>
      <c r="AG32" s="4">
        <v>95232.3</v>
      </c>
      <c r="AH32" s="4">
        <v>230636.38</v>
      </c>
      <c r="AI32" s="4">
        <v>18670.16</v>
      </c>
      <c r="AJ32" s="4">
        <v>5498.28</v>
      </c>
      <c r="AK32" s="4">
        <v>143147.37</v>
      </c>
      <c r="AL32" s="4">
        <v>146946.04999999999</v>
      </c>
      <c r="AM32" s="4">
        <v>134214.1</v>
      </c>
      <c r="AN32" s="4">
        <v>18970.07</v>
      </c>
      <c r="AO32" s="4">
        <v>79061.429999999993</v>
      </c>
      <c r="AP32" s="4">
        <v>58479.55</v>
      </c>
      <c r="AQ32" s="4">
        <v>71227.8</v>
      </c>
      <c r="AR32" s="4">
        <v>89632.52</v>
      </c>
      <c r="AS32" s="4">
        <v>87952.63</v>
      </c>
      <c r="AT32" s="4">
        <v>152171.45000000001</v>
      </c>
      <c r="AU32" s="4">
        <v>23204.25</v>
      </c>
      <c r="AV32" s="4">
        <v>200299.78</v>
      </c>
      <c r="AW32" s="4">
        <v>64946.78</v>
      </c>
      <c r="AX32" s="4">
        <v>7348.8</v>
      </c>
      <c r="AY32" s="4">
        <v>16514.060000000001</v>
      </c>
      <c r="AZ32" s="4">
        <v>317070.18</v>
      </c>
      <c r="BA32" s="4">
        <v>9109.76</v>
      </c>
      <c r="BB32" s="4">
        <v>91910.14</v>
      </c>
      <c r="BC32" s="4">
        <v>0</v>
      </c>
      <c r="BD32" s="4">
        <v>888941</v>
      </c>
      <c r="BE32" s="4">
        <v>49137.5</v>
      </c>
      <c r="BF32" s="4">
        <f t="shared" ref="BF32:BF37" si="17">SUM(E32:BE32)</f>
        <v>7398743.4199999981</v>
      </c>
      <c r="BG32" s="4">
        <f t="shared" ref="BG32:BG37" si="18">SUM(E32:W32)</f>
        <v>3981716.71</v>
      </c>
      <c r="BH32" s="4">
        <f t="shared" ref="BH32:BH37" si="19">SUM(X32:AJ32)</f>
        <v>766741.49000000011</v>
      </c>
      <c r="BI32" s="4">
        <f t="shared" ref="BI32:BI37" si="20">SUM(AK32:BE32)</f>
        <v>2650285.2200000002</v>
      </c>
    </row>
    <row r="33" spans="2:61" x14ac:dyDescent="0.3">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-148.15</v>
      </c>
      <c r="Z33" s="4">
        <v>0</v>
      </c>
      <c r="AA33" s="4">
        <v>0</v>
      </c>
      <c r="AB33" s="4">
        <v>0</v>
      </c>
      <c r="AC33" s="4">
        <v>0</v>
      </c>
      <c r="AD33" s="4">
        <v>0</v>
      </c>
      <c r="AE33" s="4">
        <v>0</v>
      </c>
      <c r="AF33" s="4">
        <v>0</v>
      </c>
      <c r="AG33" s="4">
        <v>0</v>
      </c>
      <c r="AH33" s="4">
        <v>100000</v>
      </c>
      <c r="AI33" s="4">
        <v>0</v>
      </c>
      <c r="AJ33" s="4">
        <v>0</v>
      </c>
      <c r="AK33" s="4">
        <v>0</v>
      </c>
      <c r="AL33" s="4">
        <v>582.85</v>
      </c>
      <c r="AM33" s="4">
        <v>0</v>
      </c>
      <c r="AN33" s="4">
        <v>0</v>
      </c>
      <c r="AO33" s="4">
        <v>0</v>
      </c>
      <c r="AP33" s="4">
        <v>0</v>
      </c>
      <c r="AQ33" s="4">
        <v>0</v>
      </c>
      <c r="AR33" s="4">
        <v>0</v>
      </c>
      <c r="AS33" s="4">
        <v>0</v>
      </c>
      <c r="AT33" s="4">
        <v>0</v>
      </c>
      <c r="AU33" s="4">
        <v>0</v>
      </c>
      <c r="AV33" s="4">
        <v>0</v>
      </c>
      <c r="AW33" s="4">
        <v>0</v>
      </c>
      <c r="AX33" s="4">
        <v>0</v>
      </c>
      <c r="AY33" s="4">
        <v>0</v>
      </c>
      <c r="AZ33" s="4">
        <v>0</v>
      </c>
      <c r="BA33" s="4">
        <v>3</v>
      </c>
      <c r="BB33" s="4">
        <v>0</v>
      </c>
      <c r="BC33" s="4">
        <v>0</v>
      </c>
      <c r="BD33" s="4">
        <v>0</v>
      </c>
      <c r="BE33" s="4">
        <v>0</v>
      </c>
      <c r="BF33" s="4">
        <f t="shared" si="17"/>
        <v>100437.70000000001</v>
      </c>
      <c r="BG33" s="4">
        <f t="shared" si="18"/>
        <v>0</v>
      </c>
      <c r="BH33" s="4">
        <f t="shared" si="19"/>
        <v>99851.85</v>
      </c>
      <c r="BI33" s="4">
        <f t="shared" si="20"/>
        <v>585.85</v>
      </c>
    </row>
    <row r="34" spans="2:61" x14ac:dyDescent="0.3">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0</v>
      </c>
      <c r="BG34" s="4">
        <f t="shared" si="18"/>
        <v>0</v>
      </c>
      <c r="BH34" s="4">
        <f t="shared" si="19"/>
        <v>0</v>
      </c>
      <c r="BI34" s="4">
        <f t="shared" si="20"/>
        <v>0</v>
      </c>
    </row>
    <row r="35" spans="2:61" x14ac:dyDescent="0.3">
      <c r="C35">
        <v>343</v>
      </c>
      <c r="D35" t="s">
        <v>105</v>
      </c>
      <c r="E35" s="4">
        <v>0</v>
      </c>
      <c r="F35" s="4">
        <v>18879.75</v>
      </c>
      <c r="G35" s="4">
        <v>46156.23</v>
      </c>
      <c r="H35" s="4">
        <v>16779.349999999999</v>
      </c>
      <c r="I35" s="4">
        <v>166165.95000000001</v>
      </c>
      <c r="J35" s="4">
        <v>32347.41</v>
      </c>
      <c r="K35" s="4">
        <v>57281.15</v>
      </c>
      <c r="L35" s="4">
        <v>194150.5</v>
      </c>
      <c r="M35" s="4">
        <v>10282.549999999999</v>
      </c>
      <c r="N35" s="4">
        <v>0</v>
      </c>
      <c r="O35" s="4">
        <v>58647.85</v>
      </c>
      <c r="P35" s="4">
        <v>10591.05</v>
      </c>
      <c r="Q35" s="4">
        <v>190</v>
      </c>
      <c r="R35" s="4">
        <v>7219.25</v>
      </c>
      <c r="S35" s="4">
        <v>861.2</v>
      </c>
      <c r="T35" s="4">
        <v>41584.1</v>
      </c>
      <c r="U35" s="4">
        <v>5524.57</v>
      </c>
      <c r="V35" s="4">
        <v>10139</v>
      </c>
      <c r="W35" s="4">
        <v>12231.25</v>
      </c>
      <c r="X35" s="4">
        <v>8867.9</v>
      </c>
      <c r="Y35" s="4">
        <v>0</v>
      </c>
      <c r="Z35" s="4">
        <v>37146.65</v>
      </c>
      <c r="AA35" s="4">
        <v>104.4</v>
      </c>
      <c r="AB35" s="4">
        <v>9155.9500000000007</v>
      </c>
      <c r="AC35" s="4">
        <v>6862.9</v>
      </c>
      <c r="AD35" s="4">
        <v>28826.35</v>
      </c>
      <c r="AE35" s="4">
        <v>0</v>
      </c>
      <c r="AF35" s="4">
        <v>50929.15</v>
      </c>
      <c r="AG35" s="4">
        <v>46999.6</v>
      </c>
      <c r="AH35" s="4">
        <v>22620.45</v>
      </c>
      <c r="AI35" s="4">
        <v>613.20000000000005</v>
      </c>
      <c r="AJ35" s="4">
        <v>38218.5</v>
      </c>
      <c r="AK35" s="4">
        <v>98515.8</v>
      </c>
      <c r="AL35" s="4">
        <v>34703.050000000003</v>
      </c>
      <c r="AM35" s="4">
        <v>29322.35</v>
      </c>
      <c r="AN35" s="4">
        <v>8715.85</v>
      </c>
      <c r="AO35" s="4">
        <v>180592.35</v>
      </c>
      <c r="AP35" s="4">
        <v>5723.4</v>
      </c>
      <c r="AQ35" s="4">
        <v>0</v>
      </c>
      <c r="AR35" s="4">
        <v>177046.39999999999</v>
      </c>
      <c r="AS35" s="4">
        <v>29857.35</v>
      </c>
      <c r="AT35" s="4">
        <v>28689</v>
      </c>
      <c r="AU35" s="4">
        <v>0</v>
      </c>
      <c r="AV35" s="4">
        <v>0</v>
      </c>
      <c r="AW35" s="4">
        <v>0</v>
      </c>
      <c r="AX35" s="4">
        <v>0</v>
      </c>
      <c r="AY35" s="4">
        <v>0</v>
      </c>
      <c r="AZ35" s="4">
        <v>13929</v>
      </c>
      <c r="BA35" s="4">
        <v>2439.35</v>
      </c>
      <c r="BB35" s="4">
        <v>21112.75</v>
      </c>
      <c r="BC35" s="4">
        <v>435.2</v>
      </c>
      <c r="BD35" s="4">
        <v>93576.89</v>
      </c>
      <c r="BE35" s="4">
        <v>18659.349999999999</v>
      </c>
      <c r="BF35" s="4">
        <f t="shared" si="17"/>
        <v>1682694.3000000003</v>
      </c>
      <c r="BG35" s="4">
        <f t="shared" si="18"/>
        <v>689031.16</v>
      </c>
      <c r="BH35" s="4">
        <f t="shared" si="19"/>
        <v>250345.05000000005</v>
      </c>
      <c r="BI35" s="4">
        <f t="shared" si="20"/>
        <v>743318.09</v>
      </c>
    </row>
    <row r="36" spans="2:61" x14ac:dyDescent="0.3">
      <c r="C36">
        <v>344</v>
      </c>
      <c r="D36" t="s">
        <v>106</v>
      </c>
      <c r="E36" s="4">
        <v>0</v>
      </c>
      <c r="F36" s="4">
        <v>0</v>
      </c>
      <c r="G36" s="4">
        <v>0</v>
      </c>
      <c r="H36" s="4">
        <v>0</v>
      </c>
      <c r="I36" s="4">
        <v>1580</v>
      </c>
      <c r="J36" s="4">
        <v>31600</v>
      </c>
      <c r="K36" s="4">
        <v>2471.9</v>
      </c>
      <c r="L36" s="4">
        <v>600</v>
      </c>
      <c r="M36" s="4">
        <v>0</v>
      </c>
      <c r="N36" s="4">
        <v>0</v>
      </c>
      <c r="O36" s="4">
        <v>4462.8999999999996</v>
      </c>
      <c r="P36" s="4">
        <v>0</v>
      </c>
      <c r="Q36" s="4">
        <v>40</v>
      </c>
      <c r="R36" s="4">
        <v>0</v>
      </c>
      <c r="S36" s="4">
        <v>4800</v>
      </c>
      <c r="T36" s="4">
        <v>12853.8</v>
      </c>
      <c r="U36" s="4">
        <v>0</v>
      </c>
      <c r="V36" s="4">
        <v>0</v>
      </c>
      <c r="W36" s="4">
        <v>0</v>
      </c>
      <c r="X36" s="4">
        <v>0</v>
      </c>
      <c r="Y36" s="4">
        <v>0</v>
      </c>
      <c r="Z36" s="4">
        <v>0</v>
      </c>
      <c r="AA36" s="4">
        <v>0</v>
      </c>
      <c r="AB36" s="4">
        <v>0</v>
      </c>
      <c r="AC36" s="4">
        <v>0</v>
      </c>
      <c r="AD36" s="4">
        <v>40</v>
      </c>
      <c r="AE36" s="4">
        <v>200</v>
      </c>
      <c r="AF36" s="4">
        <v>0</v>
      </c>
      <c r="AG36" s="4">
        <v>0</v>
      </c>
      <c r="AH36" s="4">
        <v>0</v>
      </c>
      <c r="AI36" s="4">
        <v>5130.8500000000004</v>
      </c>
      <c r="AJ36" s="4">
        <v>0</v>
      </c>
      <c r="AK36" s="4">
        <v>0</v>
      </c>
      <c r="AL36" s="4">
        <v>0</v>
      </c>
      <c r="AM36" s="4">
        <v>0</v>
      </c>
      <c r="AN36" s="4">
        <v>0</v>
      </c>
      <c r="AO36" s="4">
        <v>0</v>
      </c>
      <c r="AP36" s="4">
        <v>0</v>
      </c>
      <c r="AQ36" s="4">
        <v>0</v>
      </c>
      <c r="AR36" s="4">
        <v>0</v>
      </c>
      <c r="AS36" s="4">
        <v>22.15</v>
      </c>
      <c r="AT36" s="4">
        <v>0</v>
      </c>
      <c r="AU36" s="4">
        <v>0</v>
      </c>
      <c r="AV36" s="4">
        <v>4999</v>
      </c>
      <c r="AW36" s="4">
        <v>0</v>
      </c>
      <c r="AX36" s="4">
        <v>5300</v>
      </c>
      <c r="AY36" s="4">
        <v>0</v>
      </c>
      <c r="AZ36" s="4">
        <v>0</v>
      </c>
      <c r="BA36" s="4">
        <v>0</v>
      </c>
      <c r="BB36" s="4">
        <v>1080</v>
      </c>
      <c r="BC36" s="4">
        <v>15</v>
      </c>
      <c r="BD36" s="4">
        <v>0</v>
      </c>
      <c r="BE36" s="4">
        <v>0</v>
      </c>
      <c r="BF36" s="4">
        <f t="shared" si="17"/>
        <v>75195.600000000006</v>
      </c>
      <c r="BG36" s="4">
        <f t="shared" si="18"/>
        <v>58408.600000000006</v>
      </c>
      <c r="BH36" s="4">
        <f t="shared" si="19"/>
        <v>5370.85</v>
      </c>
      <c r="BI36" s="4">
        <f t="shared" si="20"/>
        <v>11416.15</v>
      </c>
    </row>
    <row r="37" spans="2:61" x14ac:dyDescent="0.3">
      <c r="C37">
        <v>349</v>
      </c>
      <c r="D37" t="s">
        <v>107</v>
      </c>
      <c r="E37" s="4">
        <v>0</v>
      </c>
      <c r="F37" s="4">
        <v>4.7</v>
      </c>
      <c r="G37" s="4">
        <v>0</v>
      </c>
      <c r="H37" s="4">
        <v>0</v>
      </c>
      <c r="I37" s="4">
        <v>0</v>
      </c>
      <c r="J37" s="4">
        <v>0</v>
      </c>
      <c r="K37" s="4">
        <v>0</v>
      </c>
      <c r="L37" s="4">
        <v>0</v>
      </c>
      <c r="M37" s="4">
        <v>35.97</v>
      </c>
      <c r="N37" s="4">
        <v>0</v>
      </c>
      <c r="O37" s="4">
        <v>0</v>
      </c>
      <c r="P37" s="4">
        <v>0</v>
      </c>
      <c r="Q37" s="4">
        <v>0</v>
      </c>
      <c r="R37" s="4">
        <v>0</v>
      </c>
      <c r="S37" s="4">
        <v>0</v>
      </c>
      <c r="T37" s="4">
        <v>0</v>
      </c>
      <c r="U37" s="4">
        <v>0</v>
      </c>
      <c r="V37" s="4">
        <v>0</v>
      </c>
      <c r="W37" s="4">
        <v>9</v>
      </c>
      <c r="X37" s="4">
        <v>2733.3</v>
      </c>
      <c r="Y37" s="4">
        <v>0</v>
      </c>
      <c r="Z37" s="4">
        <v>0</v>
      </c>
      <c r="AA37" s="4">
        <v>0</v>
      </c>
      <c r="AB37" s="4">
        <v>1981.34</v>
      </c>
      <c r="AC37" s="4">
        <v>0</v>
      </c>
      <c r="AD37" s="4">
        <v>0</v>
      </c>
      <c r="AE37" s="4">
        <v>0</v>
      </c>
      <c r="AF37" s="4">
        <v>0.6</v>
      </c>
      <c r="AG37" s="4">
        <v>10</v>
      </c>
      <c r="AH37" s="4">
        <v>0</v>
      </c>
      <c r="AI37" s="4">
        <v>407.6</v>
      </c>
      <c r="AJ37" s="4">
        <v>0</v>
      </c>
      <c r="AK37" s="4">
        <v>0</v>
      </c>
      <c r="AL37" s="4">
        <v>7897.15</v>
      </c>
      <c r="AM37" s="4">
        <v>232.35</v>
      </c>
      <c r="AN37" s="4">
        <v>960.2</v>
      </c>
      <c r="AO37" s="4">
        <v>0</v>
      </c>
      <c r="AP37" s="4">
        <v>2542.5500000000002</v>
      </c>
      <c r="AQ37" s="4">
        <v>0</v>
      </c>
      <c r="AR37" s="4">
        <v>0</v>
      </c>
      <c r="AS37" s="4">
        <v>0</v>
      </c>
      <c r="AT37" s="4">
        <v>0</v>
      </c>
      <c r="AU37" s="4">
        <v>0</v>
      </c>
      <c r="AV37" s="4">
        <v>0</v>
      </c>
      <c r="AW37" s="4">
        <v>1019.07</v>
      </c>
      <c r="AX37" s="4">
        <v>587.4</v>
      </c>
      <c r="AY37" s="4">
        <v>0</v>
      </c>
      <c r="AZ37" s="4">
        <v>0</v>
      </c>
      <c r="BA37" s="4">
        <v>0</v>
      </c>
      <c r="BB37" s="4">
        <v>0</v>
      </c>
      <c r="BC37" s="4">
        <v>0</v>
      </c>
      <c r="BD37" s="4">
        <v>0</v>
      </c>
      <c r="BE37" s="4">
        <v>2492.1</v>
      </c>
      <c r="BF37" s="4">
        <f t="shared" si="17"/>
        <v>20913.330000000002</v>
      </c>
      <c r="BG37" s="4">
        <f t="shared" si="18"/>
        <v>49.67</v>
      </c>
      <c r="BH37" s="4">
        <f t="shared" si="19"/>
        <v>5132.8400000000011</v>
      </c>
      <c r="BI37" s="4">
        <f t="shared" si="20"/>
        <v>15730.82</v>
      </c>
    </row>
    <row r="38" spans="2:61" x14ac:dyDescent="0.3">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3">
      <c r="B39" s="94">
        <v>35</v>
      </c>
      <c r="C39" s="94"/>
      <c r="D39" s="94" t="s">
        <v>109</v>
      </c>
      <c r="E39" s="95">
        <f>E40+E41</f>
        <v>21282.55</v>
      </c>
      <c r="F39" s="95">
        <f t="shared" ref="F39:BI39" si="21">F40+F41</f>
        <v>5654.61</v>
      </c>
      <c r="G39" s="95">
        <f t="shared" si="21"/>
        <v>1061.6300000000001</v>
      </c>
      <c r="H39" s="95">
        <f t="shared" si="21"/>
        <v>120781.35</v>
      </c>
      <c r="I39" s="95">
        <f t="shared" si="21"/>
        <v>19367.900000000001</v>
      </c>
      <c r="J39" s="95">
        <f t="shared" si="21"/>
        <v>8283.7999999999993</v>
      </c>
      <c r="K39" s="95">
        <f t="shared" si="21"/>
        <v>122829.97</v>
      </c>
      <c r="L39" s="95">
        <f t="shared" si="21"/>
        <v>0</v>
      </c>
      <c r="M39" s="95">
        <f t="shared" si="21"/>
        <v>117208.31</v>
      </c>
      <c r="N39" s="95">
        <f t="shared" si="21"/>
        <v>15373.15</v>
      </c>
      <c r="O39" s="95">
        <f t="shared" si="21"/>
        <v>657388.09</v>
      </c>
      <c r="P39" s="95">
        <f t="shared" si="21"/>
        <v>43166.75</v>
      </c>
      <c r="Q39" s="95">
        <f t="shared" si="21"/>
        <v>0</v>
      </c>
      <c r="R39" s="95">
        <f t="shared" si="21"/>
        <v>125</v>
      </c>
      <c r="S39" s="95">
        <f t="shared" si="21"/>
        <v>0</v>
      </c>
      <c r="T39" s="95">
        <f t="shared" si="21"/>
        <v>0</v>
      </c>
      <c r="U39" s="95">
        <f t="shared" si="21"/>
        <v>26815.05</v>
      </c>
      <c r="V39" s="95">
        <f t="shared" si="21"/>
        <v>1850.7</v>
      </c>
      <c r="W39" s="95">
        <f t="shared" si="21"/>
        <v>0</v>
      </c>
      <c r="X39" s="95">
        <f t="shared" si="21"/>
        <v>44369.7</v>
      </c>
      <c r="Y39" s="95">
        <f t="shared" si="21"/>
        <v>304.89999999999998</v>
      </c>
      <c r="Z39" s="95">
        <f t="shared" si="21"/>
        <v>15054.6</v>
      </c>
      <c r="AA39" s="95">
        <f t="shared" si="21"/>
        <v>7247.15</v>
      </c>
      <c r="AB39" s="95">
        <f t="shared" si="21"/>
        <v>7500</v>
      </c>
      <c r="AC39" s="95">
        <f t="shared" si="21"/>
        <v>978.98</v>
      </c>
      <c r="AD39" s="95">
        <f t="shared" si="21"/>
        <v>4605.6499999999996</v>
      </c>
      <c r="AE39" s="95">
        <f t="shared" si="21"/>
        <v>6363.23</v>
      </c>
      <c r="AF39" s="95">
        <f t="shared" si="21"/>
        <v>88954</v>
      </c>
      <c r="AG39" s="95">
        <f t="shared" si="21"/>
        <v>65396.3</v>
      </c>
      <c r="AH39" s="95">
        <f t="shared" si="21"/>
        <v>35174.75</v>
      </c>
      <c r="AI39" s="95">
        <f t="shared" si="21"/>
        <v>16158.54</v>
      </c>
      <c r="AJ39" s="95">
        <f t="shared" si="21"/>
        <v>3000</v>
      </c>
      <c r="AK39" s="95">
        <f t="shared" si="21"/>
        <v>114602.63</v>
      </c>
      <c r="AL39" s="95">
        <f t="shared" si="21"/>
        <v>86259.73</v>
      </c>
      <c r="AM39" s="95">
        <f t="shared" si="21"/>
        <v>0</v>
      </c>
      <c r="AN39" s="95">
        <f t="shared" si="21"/>
        <v>668.62</v>
      </c>
      <c r="AO39" s="95">
        <f t="shared" si="21"/>
        <v>747.6</v>
      </c>
      <c r="AP39" s="95">
        <f t="shared" si="21"/>
        <v>15096</v>
      </c>
      <c r="AQ39" s="95">
        <f t="shared" si="21"/>
        <v>12042.1</v>
      </c>
      <c r="AR39" s="95">
        <f t="shared" si="21"/>
        <v>88595.55</v>
      </c>
      <c r="AS39" s="95">
        <f t="shared" si="21"/>
        <v>107667.17</v>
      </c>
      <c r="AT39" s="95">
        <f t="shared" si="21"/>
        <v>56674.66</v>
      </c>
      <c r="AU39" s="95">
        <f t="shared" si="21"/>
        <v>86982.5</v>
      </c>
      <c r="AV39" s="95">
        <f t="shared" si="21"/>
        <v>12044.98</v>
      </c>
      <c r="AW39" s="95">
        <f t="shared" si="21"/>
        <v>15048</v>
      </c>
      <c r="AX39" s="95">
        <f t="shared" si="21"/>
        <v>117.04</v>
      </c>
      <c r="AY39" s="95">
        <f t="shared" si="21"/>
        <v>310</v>
      </c>
      <c r="AZ39" s="95">
        <f t="shared" si="21"/>
        <v>8658.2999999999993</v>
      </c>
      <c r="BA39" s="95">
        <f t="shared" si="21"/>
        <v>23493.55</v>
      </c>
      <c r="BB39" s="95">
        <f t="shared" si="21"/>
        <v>38678.46</v>
      </c>
      <c r="BC39" s="95">
        <f t="shared" si="21"/>
        <v>0</v>
      </c>
      <c r="BD39" s="95">
        <f t="shared" si="21"/>
        <v>6315</v>
      </c>
      <c r="BE39" s="95">
        <f t="shared" si="21"/>
        <v>12780.29</v>
      </c>
      <c r="BF39" s="95">
        <f t="shared" si="21"/>
        <v>2143078.8400000003</v>
      </c>
      <c r="BG39" s="95">
        <f t="shared" si="21"/>
        <v>1161188.8600000001</v>
      </c>
      <c r="BH39" s="95">
        <f t="shared" si="21"/>
        <v>295107.79999999993</v>
      </c>
      <c r="BI39" s="95">
        <f t="shared" si="21"/>
        <v>686782.18</v>
      </c>
    </row>
    <row r="40" spans="2:61" x14ac:dyDescent="0.3">
      <c r="C40">
        <v>350</v>
      </c>
      <c r="D40" t="s">
        <v>109</v>
      </c>
      <c r="E40" s="4">
        <v>0</v>
      </c>
      <c r="F40" s="4">
        <v>0</v>
      </c>
      <c r="G40" s="4">
        <v>0</v>
      </c>
      <c r="H40" s="4">
        <v>120781.35</v>
      </c>
      <c r="I40" s="4">
        <v>0</v>
      </c>
      <c r="J40" s="4">
        <v>0</v>
      </c>
      <c r="K40" s="4">
        <v>0</v>
      </c>
      <c r="L40" s="4">
        <v>0</v>
      </c>
      <c r="M40" s="4">
        <v>0</v>
      </c>
      <c r="N40" s="4">
        <v>8500</v>
      </c>
      <c r="O40" s="4">
        <v>0</v>
      </c>
      <c r="P40" s="4">
        <v>0</v>
      </c>
      <c r="Q40" s="4">
        <v>0</v>
      </c>
      <c r="R40" s="4">
        <v>0</v>
      </c>
      <c r="S40" s="4">
        <v>0</v>
      </c>
      <c r="T40" s="4">
        <v>0</v>
      </c>
      <c r="U40" s="4">
        <v>0</v>
      </c>
      <c r="V40" s="4">
        <v>0</v>
      </c>
      <c r="W40" s="4">
        <v>0</v>
      </c>
      <c r="X40" s="4">
        <v>0</v>
      </c>
      <c r="Y40" s="4">
        <v>0</v>
      </c>
      <c r="Z40" s="4">
        <v>0</v>
      </c>
      <c r="AA40" s="4">
        <v>7247.15</v>
      </c>
      <c r="AB40" s="4">
        <v>0</v>
      </c>
      <c r="AC40" s="4">
        <v>0</v>
      </c>
      <c r="AD40" s="4">
        <v>0</v>
      </c>
      <c r="AE40" s="4">
        <v>1918.77</v>
      </c>
      <c r="AF40" s="4">
        <v>0</v>
      </c>
      <c r="AG40" s="4">
        <v>0</v>
      </c>
      <c r="AH40" s="4">
        <v>0</v>
      </c>
      <c r="AI40" s="4">
        <v>5707.06</v>
      </c>
      <c r="AJ40" s="4">
        <v>0</v>
      </c>
      <c r="AK40" s="4">
        <v>0</v>
      </c>
      <c r="AL40" s="4">
        <v>0</v>
      </c>
      <c r="AM40" s="4">
        <v>0</v>
      </c>
      <c r="AN40" s="4">
        <v>0</v>
      </c>
      <c r="AO40" s="4">
        <v>0</v>
      </c>
      <c r="AP40" s="4">
        <v>0</v>
      </c>
      <c r="AQ40" s="4">
        <v>0</v>
      </c>
      <c r="AR40" s="4">
        <v>0</v>
      </c>
      <c r="AS40" s="4">
        <v>1.7</v>
      </c>
      <c r="AT40" s="4">
        <v>41.18</v>
      </c>
      <c r="AU40" s="4">
        <v>0</v>
      </c>
      <c r="AV40" s="4">
        <v>11695.48</v>
      </c>
      <c r="AW40" s="4">
        <v>0</v>
      </c>
      <c r="AX40" s="4">
        <v>0</v>
      </c>
      <c r="AY40" s="4">
        <v>0</v>
      </c>
      <c r="AZ40" s="4">
        <v>0</v>
      </c>
      <c r="BA40" s="4">
        <v>0</v>
      </c>
      <c r="BB40" s="4">
        <v>0</v>
      </c>
      <c r="BC40" s="4">
        <v>0</v>
      </c>
      <c r="BD40" s="4">
        <v>0</v>
      </c>
      <c r="BE40" s="4">
        <v>0</v>
      </c>
      <c r="BF40" s="4">
        <f t="shared" ref="BF40:BF41" si="22">SUM(E40:BE40)</f>
        <v>155892.69</v>
      </c>
      <c r="BG40" s="4">
        <f t="shared" ref="BG40:BG41" si="23">SUM(E40:W40)</f>
        <v>129281.35</v>
      </c>
      <c r="BH40" s="4">
        <f t="shared" ref="BH40:BH41" si="24">SUM(X40:AJ40)</f>
        <v>14872.98</v>
      </c>
      <c r="BI40" s="4">
        <f t="shared" ref="BI40:BI41" si="25">SUM(AK40:BE40)</f>
        <v>11738.359999999999</v>
      </c>
    </row>
    <row r="41" spans="2:61" x14ac:dyDescent="0.3">
      <c r="C41">
        <v>351</v>
      </c>
      <c r="D41" t="s">
        <v>108</v>
      </c>
      <c r="E41" s="4">
        <v>21282.55</v>
      </c>
      <c r="F41" s="4">
        <v>5654.61</v>
      </c>
      <c r="G41" s="4">
        <v>1061.6300000000001</v>
      </c>
      <c r="H41" s="4">
        <v>0</v>
      </c>
      <c r="I41" s="4">
        <v>19367.900000000001</v>
      </c>
      <c r="J41" s="4">
        <v>8283.7999999999993</v>
      </c>
      <c r="K41" s="4">
        <v>122829.97</v>
      </c>
      <c r="L41" s="4">
        <v>0</v>
      </c>
      <c r="M41" s="4">
        <v>117208.31</v>
      </c>
      <c r="N41" s="4">
        <v>6873.15</v>
      </c>
      <c r="O41" s="4">
        <v>657388.09</v>
      </c>
      <c r="P41" s="4">
        <v>43166.75</v>
      </c>
      <c r="Q41" s="4">
        <v>0</v>
      </c>
      <c r="R41" s="4">
        <v>125</v>
      </c>
      <c r="S41" s="4">
        <v>0</v>
      </c>
      <c r="T41" s="4">
        <v>0</v>
      </c>
      <c r="U41" s="4">
        <v>26815.05</v>
      </c>
      <c r="V41" s="4">
        <v>1850.7</v>
      </c>
      <c r="W41" s="4">
        <v>0</v>
      </c>
      <c r="X41" s="4">
        <v>44369.7</v>
      </c>
      <c r="Y41" s="4">
        <v>304.89999999999998</v>
      </c>
      <c r="Z41" s="4">
        <v>15054.6</v>
      </c>
      <c r="AA41" s="4">
        <v>0</v>
      </c>
      <c r="AB41" s="4">
        <v>7500</v>
      </c>
      <c r="AC41" s="4">
        <v>978.98</v>
      </c>
      <c r="AD41" s="4">
        <v>4605.6499999999996</v>
      </c>
      <c r="AE41" s="4">
        <v>4444.46</v>
      </c>
      <c r="AF41" s="4">
        <v>88954</v>
      </c>
      <c r="AG41" s="4">
        <v>65396.3</v>
      </c>
      <c r="AH41" s="4">
        <v>35174.75</v>
      </c>
      <c r="AI41" s="4">
        <v>10451.48</v>
      </c>
      <c r="AJ41" s="4">
        <v>3000</v>
      </c>
      <c r="AK41" s="4">
        <v>114602.63</v>
      </c>
      <c r="AL41" s="4">
        <v>86259.73</v>
      </c>
      <c r="AM41" s="4">
        <v>0</v>
      </c>
      <c r="AN41" s="4">
        <v>668.62</v>
      </c>
      <c r="AO41" s="4">
        <v>747.6</v>
      </c>
      <c r="AP41" s="4">
        <v>15096</v>
      </c>
      <c r="AQ41" s="4">
        <v>12042.1</v>
      </c>
      <c r="AR41" s="4">
        <v>88595.55</v>
      </c>
      <c r="AS41" s="4">
        <v>107665.47</v>
      </c>
      <c r="AT41" s="4">
        <v>56633.48</v>
      </c>
      <c r="AU41" s="4">
        <v>86982.5</v>
      </c>
      <c r="AV41" s="4">
        <v>349.5</v>
      </c>
      <c r="AW41" s="4">
        <v>15048</v>
      </c>
      <c r="AX41" s="4">
        <v>117.04</v>
      </c>
      <c r="AY41" s="4">
        <v>310</v>
      </c>
      <c r="AZ41" s="4">
        <v>8658.2999999999993</v>
      </c>
      <c r="BA41" s="4">
        <v>23493.55</v>
      </c>
      <c r="BB41" s="4">
        <v>38678.46</v>
      </c>
      <c r="BC41" s="4">
        <v>0</v>
      </c>
      <c r="BD41" s="4">
        <v>6315</v>
      </c>
      <c r="BE41" s="4">
        <v>12780.29</v>
      </c>
      <c r="BF41" s="4">
        <f t="shared" si="22"/>
        <v>1987186.1500000004</v>
      </c>
      <c r="BG41" s="4">
        <f t="shared" si="23"/>
        <v>1031907.51</v>
      </c>
      <c r="BH41" s="4">
        <f t="shared" si="24"/>
        <v>280234.81999999995</v>
      </c>
      <c r="BI41" s="4">
        <f t="shared" si="25"/>
        <v>675043.82000000007</v>
      </c>
    </row>
    <row r="42" spans="2:61" x14ac:dyDescent="0.3">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3">
      <c r="B43" s="94">
        <v>36</v>
      </c>
      <c r="C43" s="94"/>
      <c r="D43" s="94" t="s">
        <v>110</v>
      </c>
      <c r="E43" s="95">
        <f>E44+E45+E46+E47+E48+E49+E50+E51</f>
        <v>2101514.6799999997</v>
      </c>
      <c r="F43" s="95">
        <f t="shared" ref="F43:BI43" si="26">F44+F45+F46+F47+F48+F49+F50+F51</f>
        <v>589661.19999999995</v>
      </c>
      <c r="G43" s="95">
        <f t="shared" si="26"/>
        <v>1202802.73</v>
      </c>
      <c r="H43" s="95">
        <f t="shared" si="26"/>
        <v>907863.06</v>
      </c>
      <c r="I43" s="95">
        <f t="shared" si="26"/>
        <v>7034034.5</v>
      </c>
      <c r="J43" s="95">
        <f t="shared" si="26"/>
        <v>6605868.5800000001</v>
      </c>
      <c r="K43" s="95">
        <f t="shared" si="26"/>
        <v>6436830.1299999999</v>
      </c>
      <c r="L43" s="95">
        <f t="shared" si="26"/>
        <v>41767548.049999997</v>
      </c>
      <c r="M43" s="95">
        <f t="shared" si="26"/>
        <v>3627365.89</v>
      </c>
      <c r="N43" s="95">
        <f t="shared" si="26"/>
        <v>277501.05</v>
      </c>
      <c r="O43" s="95">
        <f t="shared" si="26"/>
        <v>16016770.960000001</v>
      </c>
      <c r="P43" s="95">
        <f t="shared" si="26"/>
        <v>1094747.1000000001</v>
      </c>
      <c r="Q43" s="95">
        <f t="shared" si="26"/>
        <v>239708.1</v>
      </c>
      <c r="R43" s="95">
        <f t="shared" si="26"/>
        <v>894037.54999999993</v>
      </c>
      <c r="S43" s="95">
        <f t="shared" si="26"/>
        <v>719129.39999999991</v>
      </c>
      <c r="T43" s="95">
        <f t="shared" si="26"/>
        <v>1451893.15</v>
      </c>
      <c r="U43" s="95">
        <f t="shared" si="26"/>
        <v>592241.94999999995</v>
      </c>
      <c r="V43" s="95">
        <f t="shared" si="26"/>
        <v>1233799.98</v>
      </c>
      <c r="W43" s="95">
        <f t="shared" si="26"/>
        <v>6100130.71</v>
      </c>
      <c r="X43" s="95">
        <f t="shared" si="26"/>
        <v>637066.69999999995</v>
      </c>
      <c r="Y43" s="95">
        <f t="shared" si="26"/>
        <v>2774101.5900000003</v>
      </c>
      <c r="Z43" s="95">
        <f t="shared" si="26"/>
        <v>5897174.9100000001</v>
      </c>
      <c r="AA43" s="95">
        <f t="shared" si="26"/>
        <v>199092.81</v>
      </c>
      <c r="AB43" s="95">
        <f t="shared" si="26"/>
        <v>342326.43000000005</v>
      </c>
      <c r="AC43" s="95">
        <f t="shared" si="26"/>
        <v>1402107.3800000001</v>
      </c>
      <c r="AD43" s="95">
        <f t="shared" si="26"/>
        <v>1597934.3</v>
      </c>
      <c r="AE43" s="95">
        <f t="shared" si="26"/>
        <v>1252974.6399999999</v>
      </c>
      <c r="AF43" s="95">
        <f t="shared" si="26"/>
        <v>1188304.51</v>
      </c>
      <c r="AG43" s="95">
        <f t="shared" si="26"/>
        <v>4915413.32</v>
      </c>
      <c r="AH43" s="95">
        <f t="shared" si="26"/>
        <v>5572120.9399999995</v>
      </c>
      <c r="AI43" s="95">
        <f t="shared" si="26"/>
        <v>508206.9</v>
      </c>
      <c r="AJ43" s="95">
        <f t="shared" si="26"/>
        <v>285052.52</v>
      </c>
      <c r="AK43" s="95">
        <f t="shared" si="26"/>
        <v>4782606.2799999993</v>
      </c>
      <c r="AL43" s="95">
        <f t="shared" si="26"/>
        <v>2724949.72</v>
      </c>
      <c r="AM43" s="95">
        <f t="shared" si="26"/>
        <v>2643058.25</v>
      </c>
      <c r="AN43" s="95">
        <f t="shared" si="26"/>
        <v>312725.97000000003</v>
      </c>
      <c r="AO43" s="95">
        <f t="shared" si="26"/>
        <v>4680237.54</v>
      </c>
      <c r="AP43" s="95">
        <f t="shared" si="26"/>
        <v>1927933.5899999999</v>
      </c>
      <c r="AQ43" s="95">
        <f t="shared" si="26"/>
        <v>1413255.7800000003</v>
      </c>
      <c r="AR43" s="95">
        <f t="shared" si="26"/>
        <v>3049796.3499999996</v>
      </c>
      <c r="AS43" s="95">
        <f t="shared" si="26"/>
        <v>1619302.9500000002</v>
      </c>
      <c r="AT43" s="95">
        <f t="shared" si="26"/>
        <v>2752121.2</v>
      </c>
      <c r="AU43" s="95">
        <f t="shared" si="26"/>
        <v>770045</v>
      </c>
      <c r="AV43" s="95">
        <f t="shared" si="26"/>
        <v>5457729.5300000003</v>
      </c>
      <c r="AW43" s="95">
        <f t="shared" si="26"/>
        <v>1728941.5999999999</v>
      </c>
      <c r="AX43" s="95">
        <f t="shared" si="26"/>
        <v>456009.37</v>
      </c>
      <c r="AY43" s="95">
        <f t="shared" si="26"/>
        <v>698464.7</v>
      </c>
      <c r="AZ43" s="95">
        <f t="shared" si="26"/>
        <v>3904784.57</v>
      </c>
      <c r="BA43" s="95">
        <f t="shared" si="26"/>
        <v>841600.11999999988</v>
      </c>
      <c r="BB43" s="95">
        <f t="shared" si="26"/>
        <v>2700481.75</v>
      </c>
      <c r="BC43" s="95">
        <f t="shared" si="26"/>
        <v>409932.67000000004</v>
      </c>
      <c r="BD43" s="95">
        <f t="shared" si="26"/>
        <v>18426457.140000001</v>
      </c>
      <c r="BE43" s="95">
        <f t="shared" si="26"/>
        <v>1455572.7</v>
      </c>
      <c r="BF43" s="95">
        <f t="shared" si="26"/>
        <v>188221332.50000003</v>
      </c>
      <c r="BG43" s="95">
        <f t="shared" si="26"/>
        <v>98893448.770000011</v>
      </c>
      <c r="BH43" s="95">
        <f t="shared" si="26"/>
        <v>26571876.949999999</v>
      </c>
      <c r="BI43" s="95">
        <f t="shared" si="26"/>
        <v>62756006.780000001</v>
      </c>
    </row>
    <row r="44" spans="2:61" x14ac:dyDescent="0.3">
      <c r="C44">
        <v>360</v>
      </c>
      <c r="D44" t="s">
        <v>111</v>
      </c>
      <c r="E44" s="4">
        <v>1410.1</v>
      </c>
      <c r="F44" s="4">
        <v>1400</v>
      </c>
      <c r="G44" s="4">
        <v>1413.5</v>
      </c>
      <c r="H44" s="4">
        <v>1040</v>
      </c>
      <c r="I44" s="4">
        <v>11662.5</v>
      </c>
      <c r="J44" s="4">
        <v>161013.04999999999</v>
      </c>
      <c r="K44" s="4">
        <v>4100</v>
      </c>
      <c r="L44" s="4">
        <v>19717.45</v>
      </c>
      <c r="M44" s="4">
        <v>2760</v>
      </c>
      <c r="N44" s="4">
        <v>0</v>
      </c>
      <c r="O44" s="4">
        <v>78285.350000000006</v>
      </c>
      <c r="P44" s="4">
        <v>1260</v>
      </c>
      <c r="Q44" s="4">
        <v>220</v>
      </c>
      <c r="R44" s="4">
        <v>1420</v>
      </c>
      <c r="S44" s="4">
        <v>1060</v>
      </c>
      <c r="T44" s="4">
        <v>5553</v>
      </c>
      <c r="U44" s="4">
        <v>840</v>
      </c>
      <c r="V44" s="4">
        <v>1320</v>
      </c>
      <c r="W44" s="4">
        <v>7220</v>
      </c>
      <c r="X44" s="4">
        <v>1891</v>
      </c>
      <c r="Y44" s="4">
        <v>6866.85</v>
      </c>
      <c r="Z44" s="4">
        <v>0</v>
      </c>
      <c r="AA44" s="4">
        <v>353.4</v>
      </c>
      <c r="AB44" s="4">
        <v>1257.4000000000001</v>
      </c>
      <c r="AC44" s="4">
        <v>12494.4</v>
      </c>
      <c r="AD44" s="4">
        <v>3770.4</v>
      </c>
      <c r="AE44" s="4">
        <v>3430.6</v>
      </c>
      <c r="AF44" s="4">
        <v>1349.9</v>
      </c>
      <c r="AG44" s="4">
        <v>10736.2</v>
      </c>
      <c r="AH44" s="4">
        <v>14195</v>
      </c>
      <c r="AI44" s="4">
        <v>1571</v>
      </c>
      <c r="AJ44" s="4">
        <v>2340.6</v>
      </c>
      <c r="AK44" s="4">
        <v>5164.8</v>
      </c>
      <c r="AL44" s="4">
        <v>4160</v>
      </c>
      <c r="AM44" s="4">
        <v>5126.3999999999996</v>
      </c>
      <c r="AN44" s="4">
        <v>620</v>
      </c>
      <c r="AO44" s="4">
        <v>762.6</v>
      </c>
      <c r="AP44" s="4">
        <v>186</v>
      </c>
      <c r="AQ44" s="4">
        <v>2140</v>
      </c>
      <c r="AR44" s="4">
        <v>4603.8</v>
      </c>
      <c r="AS44" s="4">
        <v>1824.6</v>
      </c>
      <c r="AT44" s="4">
        <v>3057.6</v>
      </c>
      <c r="AU44" s="4">
        <v>1400.4</v>
      </c>
      <c r="AV44" s="4">
        <v>1599.6</v>
      </c>
      <c r="AW44" s="4">
        <v>1560</v>
      </c>
      <c r="AX44" s="4">
        <v>0</v>
      </c>
      <c r="AY44" s="4">
        <v>1723.2</v>
      </c>
      <c r="AZ44" s="4">
        <v>4218.8</v>
      </c>
      <c r="BA44" s="4">
        <v>2129.6</v>
      </c>
      <c r="BB44" s="4">
        <v>5654</v>
      </c>
      <c r="BC44" s="4">
        <v>0</v>
      </c>
      <c r="BD44" s="4">
        <v>15407.8</v>
      </c>
      <c r="BE44" s="4">
        <v>2450</v>
      </c>
      <c r="BF44" s="4">
        <f t="shared" ref="BF44:BF51" si="27">SUM(E44:BE44)</f>
        <v>425740.89999999997</v>
      </c>
      <c r="BG44" s="4">
        <f t="shared" ref="BG44:BG51" si="28">SUM(E44:W44)</f>
        <v>301694.95</v>
      </c>
      <c r="BH44" s="4">
        <f t="shared" ref="BH44:BH51" si="29">SUM(X44:AJ44)</f>
        <v>60256.75</v>
      </c>
      <c r="BI44" s="4">
        <f t="shared" ref="BI44:BI51" si="30">SUM(AK44:BE44)</f>
        <v>63789.2</v>
      </c>
    </row>
    <row r="45" spans="2:61" x14ac:dyDescent="0.3">
      <c r="C45">
        <v>361</v>
      </c>
      <c r="D45" t="s">
        <v>112</v>
      </c>
      <c r="E45" s="4">
        <v>1617649.88</v>
      </c>
      <c r="F45" s="4">
        <v>415740.25</v>
      </c>
      <c r="G45" s="4">
        <v>908649.38</v>
      </c>
      <c r="H45" s="4">
        <v>659241.76</v>
      </c>
      <c r="I45" s="4">
        <v>4522563.7</v>
      </c>
      <c r="J45" s="4">
        <v>4188846.43</v>
      </c>
      <c r="K45" s="4">
        <v>4764292.92</v>
      </c>
      <c r="L45" s="4">
        <v>17681550.859999999</v>
      </c>
      <c r="M45" s="4">
        <v>2502956.42</v>
      </c>
      <c r="N45" s="4">
        <v>148016.25</v>
      </c>
      <c r="O45" s="4">
        <v>11257898.91</v>
      </c>
      <c r="P45" s="4">
        <v>844860.75</v>
      </c>
      <c r="Q45" s="4">
        <v>181627.6</v>
      </c>
      <c r="R45" s="4">
        <v>709137.45</v>
      </c>
      <c r="S45" s="4">
        <v>527245.1</v>
      </c>
      <c r="T45" s="4">
        <v>1098222.3999999999</v>
      </c>
      <c r="U45" s="4">
        <v>420570.85</v>
      </c>
      <c r="V45" s="4">
        <v>787625.26</v>
      </c>
      <c r="W45" s="4">
        <v>4387628.09</v>
      </c>
      <c r="X45" s="4">
        <v>442632.5</v>
      </c>
      <c r="Y45" s="4">
        <v>2024753.08</v>
      </c>
      <c r="Z45" s="4">
        <v>2315391.06</v>
      </c>
      <c r="AA45" s="4">
        <v>154256.60999999999</v>
      </c>
      <c r="AB45" s="4">
        <v>261305.68</v>
      </c>
      <c r="AC45" s="4">
        <v>988083.39</v>
      </c>
      <c r="AD45" s="4">
        <v>1142533.8</v>
      </c>
      <c r="AE45" s="4">
        <v>868244.94</v>
      </c>
      <c r="AF45" s="4">
        <v>960094.21</v>
      </c>
      <c r="AG45" s="4">
        <v>3194972.79</v>
      </c>
      <c r="AH45" s="4">
        <v>3222646.05</v>
      </c>
      <c r="AI45" s="4">
        <v>388301.2</v>
      </c>
      <c r="AJ45" s="4">
        <v>202260.6</v>
      </c>
      <c r="AK45" s="4">
        <v>3775707.8</v>
      </c>
      <c r="AL45" s="4">
        <v>2018588.32</v>
      </c>
      <c r="AM45" s="4">
        <v>1852338.3</v>
      </c>
      <c r="AN45" s="4">
        <v>202117.7</v>
      </c>
      <c r="AO45" s="4">
        <v>1515674.15</v>
      </c>
      <c r="AP45" s="4">
        <v>1330011.2</v>
      </c>
      <c r="AQ45" s="4">
        <v>1040232.08</v>
      </c>
      <c r="AR45" s="4">
        <v>2137503.25</v>
      </c>
      <c r="AS45" s="4">
        <v>1174981.79</v>
      </c>
      <c r="AT45" s="4">
        <v>2042313.9</v>
      </c>
      <c r="AU45" s="4">
        <v>505162.15</v>
      </c>
      <c r="AV45" s="4">
        <v>3893362.83</v>
      </c>
      <c r="AW45" s="4">
        <v>1319510.55</v>
      </c>
      <c r="AX45" s="4">
        <v>306296.84999999998</v>
      </c>
      <c r="AY45" s="4">
        <v>519829.25</v>
      </c>
      <c r="AZ45" s="4">
        <v>2946848.27</v>
      </c>
      <c r="BA45" s="4">
        <v>651682.81999999995</v>
      </c>
      <c r="BB45" s="4">
        <v>1917031.65</v>
      </c>
      <c r="BC45" s="4">
        <v>292269.64</v>
      </c>
      <c r="BD45" s="4">
        <v>8803216.3499999996</v>
      </c>
      <c r="BE45" s="4">
        <v>1036457.25</v>
      </c>
      <c r="BF45" s="4">
        <f t="shared" si="27"/>
        <v>113070936.27</v>
      </c>
      <c r="BG45" s="4">
        <f t="shared" si="28"/>
        <v>57624324.260000005</v>
      </c>
      <c r="BH45" s="4">
        <f t="shared" si="29"/>
        <v>16165475.909999998</v>
      </c>
      <c r="BI45" s="4">
        <f t="shared" si="30"/>
        <v>39281136.100000001</v>
      </c>
    </row>
    <row r="46" spans="2:61" x14ac:dyDescent="0.3">
      <c r="C46">
        <v>362</v>
      </c>
      <c r="D46" t="s">
        <v>113</v>
      </c>
      <c r="E46" s="4">
        <v>0</v>
      </c>
      <c r="F46" s="4">
        <v>6500</v>
      </c>
      <c r="G46" s="4">
        <v>0</v>
      </c>
      <c r="H46" s="4">
        <v>0</v>
      </c>
      <c r="I46" s="4">
        <v>144368</v>
      </c>
      <c r="J46" s="4">
        <v>137171</v>
      </c>
      <c r="K46" s="4">
        <v>182436</v>
      </c>
      <c r="L46" s="4">
        <v>920430.5</v>
      </c>
      <c r="M46" s="4">
        <v>56291</v>
      </c>
      <c r="N46" s="4">
        <v>42332.1</v>
      </c>
      <c r="O46" s="4">
        <v>230163</v>
      </c>
      <c r="P46" s="4">
        <v>0</v>
      </c>
      <c r="Q46" s="4">
        <v>3539</v>
      </c>
      <c r="R46" s="4">
        <v>0</v>
      </c>
      <c r="S46" s="4">
        <v>0</v>
      </c>
      <c r="T46" s="4">
        <v>49133.95</v>
      </c>
      <c r="U46" s="4">
        <v>4300</v>
      </c>
      <c r="V46" s="4">
        <v>18015</v>
      </c>
      <c r="W46" s="4">
        <v>0</v>
      </c>
      <c r="X46" s="4">
        <v>0</v>
      </c>
      <c r="Y46" s="4">
        <v>0</v>
      </c>
      <c r="Z46" s="4">
        <v>2537577</v>
      </c>
      <c r="AA46" s="4">
        <v>0</v>
      </c>
      <c r="AB46" s="4">
        <v>0</v>
      </c>
      <c r="AC46" s="4">
        <v>31717</v>
      </c>
      <c r="AD46" s="4">
        <v>0</v>
      </c>
      <c r="AE46" s="4">
        <v>0</v>
      </c>
      <c r="AF46" s="4">
        <v>0</v>
      </c>
      <c r="AG46" s="4">
        <v>375788</v>
      </c>
      <c r="AH46" s="4">
        <v>0</v>
      </c>
      <c r="AI46" s="4">
        <v>0</v>
      </c>
      <c r="AJ46" s="4">
        <v>0</v>
      </c>
      <c r="AK46" s="4">
        <v>0</v>
      </c>
      <c r="AL46" s="4">
        <v>35713</v>
      </c>
      <c r="AM46" s="4">
        <v>0</v>
      </c>
      <c r="AN46" s="4">
        <v>0</v>
      </c>
      <c r="AO46" s="4">
        <v>1752363</v>
      </c>
      <c r="AP46" s="4">
        <v>6367</v>
      </c>
      <c r="AQ46" s="4">
        <v>13147</v>
      </c>
      <c r="AR46" s="4">
        <v>0</v>
      </c>
      <c r="AS46" s="4">
        <v>0</v>
      </c>
      <c r="AT46" s="4">
        <v>0</v>
      </c>
      <c r="AU46" s="4">
        <v>115158</v>
      </c>
      <c r="AV46" s="4">
        <v>125359</v>
      </c>
      <c r="AW46" s="4">
        <v>15262</v>
      </c>
      <c r="AX46" s="4">
        <v>0</v>
      </c>
      <c r="AY46" s="4">
        <v>0</v>
      </c>
      <c r="AZ46" s="4">
        <v>33596</v>
      </c>
      <c r="BA46" s="4">
        <v>3776</v>
      </c>
      <c r="BB46" s="4">
        <v>52605</v>
      </c>
      <c r="BC46" s="4">
        <v>0</v>
      </c>
      <c r="BD46" s="4">
        <v>272347</v>
      </c>
      <c r="BE46" s="4">
        <v>0</v>
      </c>
      <c r="BF46" s="4">
        <f t="shared" si="27"/>
        <v>7165454.5499999998</v>
      </c>
      <c r="BG46" s="4">
        <f t="shared" si="28"/>
        <v>1794679.55</v>
      </c>
      <c r="BH46" s="4">
        <f t="shared" si="29"/>
        <v>2945082</v>
      </c>
      <c r="BI46" s="4">
        <f t="shared" si="30"/>
        <v>2425693</v>
      </c>
    </row>
    <row r="47" spans="2:61" x14ac:dyDescent="0.3">
      <c r="C47">
        <v>363</v>
      </c>
      <c r="D47" t="s">
        <v>114</v>
      </c>
      <c r="E47" s="4">
        <v>474228.7</v>
      </c>
      <c r="F47" s="4">
        <v>164166.95000000001</v>
      </c>
      <c r="G47" s="4">
        <v>292739.84999999998</v>
      </c>
      <c r="H47" s="4">
        <v>247581.3</v>
      </c>
      <c r="I47" s="4">
        <v>2355440.2999999998</v>
      </c>
      <c r="J47" s="4">
        <v>2089732.1</v>
      </c>
      <c r="K47" s="4">
        <v>1486001.21</v>
      </c>
      <c r="L47" s="4">
        <v>19014344.16</v>
      </c>
      <c r="M47" s="4">
        <v>858100.35</v>
      </c>
      <c r="N47" s="4">
        <v>85840.7</v>
      </c>
      <c r="O47" s="4">
        <v>4417542.4000000004</v>
      </c>
      <c r="P47" s="4">
        <v>248626.35</v>
      </c>
      <c r="Q47" s="4">
        <v>54321.5</v>
      </c>
      <c r="R47" s="4">
        <v>179718.1</v>
      </c>
      <c r="S47" s="4">
        <v>190824.3</v>
      </c>
      <c r="T47" s="4">
        <v>298983.8</v>
      </c>
      <c r="U47" s="4">
        <v>156325.1</v>
      </c>
      <c r="V47" s="4">
        <v>423356.72</v>
      </c>
      <c r="W47" s="4">
        <v>1705282.62</v>
      </c>
      <c r="X47" s="4">
        <v>192543.2</v>
      </c>
      <c r="Y47" s="4">
        <v>734831.66</v>
      </c>
      <c r="Z47" s="4">
        <v>1031192.85</v>
      </c>
      <c r="AA47" s="4">
        <v>44482.8</v>
      </c>
      <c r="AB47" s="4">
        <v>79763.350000000006</v>
      </c>
      <c r="AC47" s="4">
        <v>369812.59</v>
      </c>
      <c r="AD47" s="4">
        <v>427125</v>
      </c>
      <c r="AE47" s="4">
        <v>377411.1</v>
      </c>
      <c r="AF47" s="4">
        <v>219262.9</v>
      </c>
      <c r="AG47" s="4">
        <v>1319138.33</v>
      </c>
      <c r="AH47" s="4">
        <v>2313652.89</v>
      </c>
      <c r="AI47" s="4">
        <v>117227.7</v>
      </c>
      <c r="AJ47" s="4">
        <v>80451.320000000007</v>
      </c>
      <c r="AK47" s="4">
        <v>1001733.68</v>
      </c>
      <c r="AL47" s="4">
        <v>666488.4</v>
      </c>
      <c r="AM47" s="4">
        <v>783703.55</v>
      </c>
      <c r="AN47" s="4">
        <v>108839.77</v>
      </c>
      <c r="AO47" s="4">
        <v>1411437.79</v>
      </c>
      <c r="AP47" s="4">
        <v>591369.39</v>
      </c>
      <c r="AQ47" s="4">
        <v>351717.35</v>
      </c>
      <c r="AR47" s="4">
        <v>900885.3</v>
      </c>
      <c r="AS47" s="4">
        <v>436286.56</v>
      </c>
      <c r="AT47" s="4">
        <v>706749.7</v>
      </c>
      <c r="AU47" s="4">
        <v>148294.45000000001</v>
      </c>
      <c r="AV47" s="4">
        <v>1416357.1</v>
      </c>
      <c r="AW47" s="4">
        <v>386299.85</v>
      </c>
      <c r="AX47" s="4">
        <v>148191.51999999999</v>
      </c>
      <c r="AY47" s="4">
        <v>173933.25</v>
      </c>
      <c r="AZ47" s="4">
        <v>905073.5</v>
      </c>
      <c r="BA47" s="4">
        <v>184011.7</v>
      </c>
      <c r="BB47" s="4">
        <v>725191.1</v>
      </c>
      <c r="BC47" s="4">
        <v>116079.03</v>
      </c>
      <c r="BD47" s="4">
        <v>9335485.9900000002</v>
      </c>
      <c r="BE47" s="4">
        <v>411697.45</v>
      </c>
      <c r="BF47" s="4">
        <f t="shared" si="27"/>
        <v>62959878.630000032</v>
      </c>
      <c r="BG47" s="4">
        <f t="shared" si="28"/>
        <v>34743156.510000005</v>
      </c>
      <c r="BH47" s="4">
        <f t="shared" si="29"/>
        <v>7306895.6900000004</v>
      </c>
      <c r="BI47" s="4">
        <f t="shared" si="30"/>
        <v>20909826.429999996</v>
      </c>
    </row>
    <row r="48" spans="2:61" x14ac:dyDescent="0.3">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4968</v>
      </c>
      <c r="BF48" s="4">
        <f t="shared" si="27"/>
        <v>4968</v>
      </c>
      <c r="BG48" s="4">
        <f t="shared" si="28"/>
        <v>0</v>
      </c>
      <c r="BH48" s="4">
        <f t="shared" si="29"/>
        <v>0</v>
      </c>
      <c r="BI48" s="4">
        <f t="shared" si="30"/>
        <v>4968</v>
      </c>
    </row>
    <row r="49" spans="2:61" x14ac:dyDescent="0.3">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8100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27"/>
        <v>8100</v>
      </c>
      <c r="BG49" s="4">
        <f t="shared" si="28"/>
        <v>8100</v>
      </c>
      <c r="BH49" s="4">
        <f t="shared" si="29"/>
        <v>0</v>
      </c>
      <c r="BI49" s="4">
        <f t="shared" si="30"/>
        <v>0</v>
      </c>
    </row>
    <row r="50" spans="2:61" x14ac:dyDescent="0.3">
      <c r="C50">
        <v>366</v>
      </c>
      <c r="D50" t="s">
        <v>117</v>
      </c>
      <c r="E50" s="4">
        <v>0</v>
      </c>
      <c r="F50" s="4">
        <v>0</v>
      </c>
      <c r="G50" s="4">
        <v>0</v>
      </c>
      <c r="H50" s="4">
        <v>0</v>
      </c>
      <c r="I50" s="4">
        <v>0</v>
      </c>
      <c r="J50" s="4">
        <v>0</v>
      </c>
      <c r="K50" s="4">
        <v>0</v>
      </c>
      <c r="L50" s="4">
        <v>0</v>
      </c>
      <c r="M50" s="4">
        <v>0</v>
      </c>
      <c r="N50" s="4">
        <v>0</v>
      </c>
      <c r="O50" s="4">
        <v>15247.55</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15247.55</v>
      </c>
      <c r="BG50" s="4">
        <f t="shared" si="28"/>
        <v>15247.55</v>
      </c>
      <c r="BH50" s="4">
        <f t="shared" si="29"/>
        <v>0</v>
      </c>
      <c r="BI50" s="4">
        <f t="shared" si="30"/>
        <v>0</v>
      </c>
    </row>
    <row r="51" spans="2:61" x14ac:dyDescent="0.3">
      <c r="C51">
        <v>369</v>
      </c>
      <c r="D51" t="s">
        <v>118</v>
      </c>
      <c r="E51" s="4">
        <v>8226</v>
      </c>
      <c r="F51" s="4">
        <v>1854</v>
      </c>
      <c r="G51" s="4">
        <v>0</v>
      </c>
      <c r="H51" s="4">
        <v>0</v>
      </c>
      <c r="I51" s="4">
        <v>0</v>
      </c>
      <c r="J51" s="4">
        <v>29106</v>
      </c>
      <c r="K51" s="4">
        <v>0</v>
      </c>
      <c r="L51" s="4">
        <v>4131505.08</v>
      </c>
      <c r="M51" s="4">
        <v>207258.12</v>
      </c>
      <c r="N51" s="4">
        <v>1312</v>
      </c>
      <c r="O51" s="4">
        <v>17633.75</v>
      </c>
      <c r="P51" s="4">
        <v>0</v>
      </c>
      <c r="Q51" s="4">
        <v>0</v>
      </c>
      <c r="R51" s="4">
        <v>3762</v>
      </c>
      <c r="S51" s="4">
        <v>0</v>
      </c>
      <c r="T51" s="4">
        <v>0</v>
      </c>
      <c r="U51" s="4">
        <v>2106</v>
      </c>
      <c r="V51" s="4">
        <v>3483</v>
      </c>
      <c r="W51" s="4">
        <v>0</v>
      </c>
      <c r="X51" s="4">
        <v>0</v>
      </c>
      <c r="Y51" s="4">
        <v>7650</v>
      </c>
      <c r="Z51" s="4">
        <v>13014</v>
      </c>
      <c r="AA51" s="4">
        <v>0</v>
      </c>
      <c r="AB51" s="4">
        <v>0</v>
      </c>
      <c r="AC51" s="4">
        <v>0</v>
      </c>
      <c r="AD51" s="4">
        <v>24505.1</v>
      </c>
      <c r="AE51" s="4">
        <v>3888</v>
      </c>
      <c r="AF51" s="4">
        <v>7597.5</v>
      </c>
      <c r="AG51" s="4">
        <v>14778</v>
      </c>
      <c r="AH51" s="4">
        <v>21627</v>
      </c>
      <c r="AI51" s="4">
        <v>1107</v>
      </c>
      <c r="AJ51" s="4">
        <v>0</v>
      </c>
      <c r="AK51" s="4">
        <v>0</v>
      </c>
      <c r="AL51" s="4">
        <v>0</v>
      </c>
      <c r="AM51" s="4">
        <v>1890</v>
      </c>
      <c r="AN51" s="4">
        <v>1148.5</v>
      </c>
      <c r="AO51" s="4">
        <v>0</v>
      </c>
      <c r="AP51" s="4">
        <v>0</v>
      </c>
      <c r="AQ51" s="4">
        <v>6019.35</v>
      </c>
      <c r="AR51" s="4">
        <v>6804</v>
      </c>
      <c r="AS51" s="4">
        <v>6210</v>
      </c>
      <c r="AT51" s="4">
        <v>0</v>
      </c>
      <c r="AU51" s="4">
        <v>30</v>
      </c>
      <c r="AV51" s="4">
        <v>21051</v>
      </c>
      <c r="AW51" s="4">
        <v>6309.2</v>
      </c>
      <c r="AX51" s="4">
        <v>1521</v>
      </c>
      <c r="AY51" s="4">
        <v>2979</v>
      </c>
      <c r="AZ51" s="4">
        <v>15048</v>
      </c>
      <c r="BA51" s="4">
        <v>0</v>
      </c>
      <c r="BB51" s="4">
        <v>0</v>
      </c>
      <c r="BC51" s="4">
        <v>1584</v>
      </c>
      <c r="BD51" s="4">
        <v>0</v>
      </c>
      <c r="BE51" s="4">
        <v>0</v>
      </c>
      <c r="BF51" s="4">
        <f t="shared" si="27"/>
        <v>4571006.5999999996</v>
      </c>
      <c r="BG51" s="4">
        <f t="shared" si="28"/>
        <v>4406245.95</v>
      </c>
      <c r="BH51" s="4">
        <f t="shared" si="29"/>
        <v>94166.6</v>
      </c>
      <c r="BI51" s="4">
        <f t="shared" si="30"/>
        <v>70594.049999999988</v>
      </c>
    </row>
    <row r="52" spans="2:61" x14ac:dyDescent="0.3">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3">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1665</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436150.35</v>
      </c>
      <c r="Y53" s="95">
        <f t="shared" si="31"/>
        <v>0</v>
      </c>
      <c r="Z53" s="95">
        <f t="shared" si="31"/>
        <v>428675.8</v>
      </c>
      <c r="AA53" s="95">
        <f t="shared" si="31"/>
        <v>144190.65</v>
      </c>
      <c r="AB53" s="95">
        <f t="shared" si="31"/>
        <v>177102.6</v>
      </c>
      <c r="AC53" s="95">
        <f t="shared" si="31"/>
        <v>155601.20000000001</v>
      </c>
      <c r="AD53" s="95">
        <f t="shared" si="31"/>
        <v>0</v>
      </c>
      <c r="AE53" s="95">
        <f t="shared" si="31"/>
        <v>0</v>
      </c>
      <c r="AF53" s="95">
        <f t="shared" si="31"/>
        <v>570898.30000000005</v>
      </c>
      <c r="AG53" s="95">
        <f t="shared" si="31"/>
        <v>419239.4</v>
      </c>
      <c r="AH53" s="95">
        <f t="shared" si="31"/>
        <v>0</v>
      </c>
      <c r="AI53" s="95">
        <f t="shared" si="31"/>
        <v>4988.8999999999996</v>
      </c>
      <c r="AJ53" s="95">
        <f t="shared" si="31"/>
        <v>0</v>
      </c>
      <c r="AK53" s="95">
        <f t="shared" si="31"/>
        <v>0</v>
      </c>
      <c r="AL53" s="95">
        <f t="shared" si="31"/>
        <v>0</v>
      </c>
      <c r="AM53" s="95">
        <f t="shared" si="31"/>
        <v>26868.7</v>
      </c>
      <c r="AN53" s="95">
        <f t="shared" si="31"/>
        <v>0</v>
      </c>
      <c r="AO53" s="95">
        <f t="shared" si="31"/>
        <v>0</v>
      </c>
      <c r="AP53" s="95">
        <f t="shared" si="31"/>
        <v>1228.3</v>
      </c>
      <c r="AQ53" s="95">
        <f t="shared" si="31"/>
        <v>0</v>
      </c>
      <c r="AR53" s="95">
        <f t="shared" si="31"/>
        <v>57050</v>
      </c>
      <c r="AS53" s="95">
        <f t="shared" si="31"/>
        <v>0</v>
      </c>
      <c r="AT53" s="95">
        <f t="shared" si="31"/>
        <v>0</v>
      </c>
      <c r="AU53" s="95">
        <f t="shared" si="31"/>
        <v>0</v>
      </c>
      <c r="AV53" s="95">
        <f t="shared" si="31"/>
        <v>42255.65</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2475574.8499999996</v>
      </c>
      <c r="BG53" s="95">
        <f t="shared" si="31"/>
        <v>1665</v>
      </c>
      <c r="BH53" s="95">
        <f t="shared" si="31"/>
        <v>2336847.1999999997</v>
      </c>
      <c r="BI53" s="95">
        <f t="shared" si="31"/>
        <v>137062.65</v>
      </c>
    </row>
    <row r="54" spans="2:61" x14ac:dyDescent="0.3">
      <c r="C54">
        <v>370</v>
      </c>
      <c r="D54" t="s">
        <v>120</v>
      </c>
      <c r="E54" s="4">
        <v>0</v>
      </c>
      <c r="F54" s="4">
        <v>0</v>
      </c>
      <c r="G54" s="4">
        <v>0</v>
      </c>
      <c r="H54" s="4">
        <v>0</v>
      </c>
      <c r="I54" s="4">
        <v>0</v>
      </c>
      <c r="J54" s="4">
        <v>0</v>
      </c>
      <c r="K54" s="4">
        <v>0</v>
      </c>
      <c r="L54" s="4">
        <v>0</v>
      </c>
      <c r="M54" s="4">
        <v>1665</v>
      </c>
      <c r="N54" s="4">
        <v>0</v>
      </c>
      <c r="O54" s="4">
        <v>0</v>
      </c>
      <c r="P54" s="4">
        <v>0</v>
      </c>
      <c r="Q54" s="4">
        <v>0</v>
      </c>
      <c r="R54" s="4">
        <v>0</v>
      </c>
      <c r="S54" s="4">
        <v>0</v>
      </c>
      <c r="T54" s="4">
        <v>0</v>
      </c>
      <c r="U54" s="4">
        <v>0</v>
      </c>
      <c r="V54" s="4">
        <v>0</v>
      </c>
      <c r="W54" s="4">
        <v>0</v>
      </c>
      <c r="X54" s="4">
        <v>436150.35</v>
      </c>
      <c r="Y54" s="4">
        <v>0</v>
      </c>
      <c r="Z54" s="4">
        <v>428675.8</v>
      </c>
      <c r="AA54" s="4">
        <v>144190.65</v>
      </c>
      <c r="AB54" s="4">
        <v>177102.6</v>
      </c>
      <c r="AC54" s="4">
        <v>155601.20000000001</v>
      </c>
      <c r="AD54" s="4">
        <v>0</v>
      </c>
      <c r="AE54" s="4">
        <v>0</v>
      </c>
      <c r="AF54" s="4">
        <v>570898.30000000005</v>
      </c>
      <c r="AG54" s="4">
        <v>419239.4</v>
      </c>
      <c r="AH54" s="4">
        <v>0</v>
      </c>
      <c r="AI54" s="4">
        <v>4988.8999999999996</v>
      </c>
      <c r="AJ54" s="4">
        <v>0</v>
      </c>
      <c r="AK54" s="4">
        <v>0</v>
      </c>
      <c r="AL54" s="4">
        <v>0</v>
      </c>
      <c r="AM54" s="4">
        <v>26868.7</v>
      </c>
      <c r="AN54" s="4">
        <v>0</v>
      </c>
      <c r="AO54" s="4">
        <v>0</v>
      </c>
      <c r="AP54" s="4">
        <v>1228.3</v>
      </c>
      <c r="AQ54" s="4">
        <v>0</v>
      </c>
      <c r="AR54" s="4">
        <v>57050</v>
      </c>
      <c r="AS54" s="4">
        <v>0</v>
      </c>
      <c r="AT54" s="4">
        <v>0</v>
      </c>
      <c r="AU54" s="4">
        <v>0</v>
      </c>
      <c r="AV54" s="4">
        <v>42255.65</v>
      </c>
      <c r="AW54" s="4">
        <v>9660</v>
      </c>
      <c r="AX54" s="4">
        <v>0</v>
      </c>
      <c r="AY54" s="4">
        <v>0</v>
      </c>
      <c r="AZ54" s="4">
        <v>0</v>
      </c>
      <c r="BA54" s="4">
        <v>0</v>
      </c>
      <c r="BB54" s="4">
        <v>0</v>
      </c>
      <c r="BC54" s="4">
        <v>0</v>
      </c>
      <c r="BD54" s="4">
        <v>0</v>
      </c>
      <c r="BE54" s="4">
        <v>0</v>
      </c>
      <c r="BF54" s="4">
        <f t="shared" ref="BF54" si="32">SUM(E54:BE54)</f>
        <v>2475574.8499999996</v>
      </c>
      <c r="BG54" s="4">
        <f t="shared" ref="BG54" si="33">SUM(E54:W54)</f>
        <v>1665</v>
      </c>
      <c r="BH54" s="4">
        <f t="shared" ref="BH54" si="34">SUM(X54:AJ54)</f>
        <v>2336847.1999999997</v>
      </c>
      <c r="BI54" s="4">
        <f t="shared" ref="BI54" si="35">SUM(AK54:BE54)</f>
        <v>137062.65</v>
      </c>
    </row>
    <row r="55" spans="2:61" x14ac:dyDescent="0.3">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3">
      <c r="B56" s="94">
        <v>38</v>
      </c>
      <c r="C56" s="94"/>
      <c r="D56" s="94" t="s">
        <v>121</v>
      </c>
      <c r="E56" s="95">
        <f>E57+E58+E59+E60+E61+E62</f>
        <v>320000</v>
      </c>
      <c r="F56" s="95">
        <f t="shared" ref="F56:BI56" si="36">F57+F58+F59+F60+F61+F62</f>
        <v>0</v>
      </c>
      <c r="G56" s="95">
        <f t="shared" si="36"/>
        <v>0</v>
      </c>
      <c r="H56" s="95">
        <f t="shared" si="36"/>
        <v>541.19000000000005</v>
      </c>
      <c r="I56" s="95">
        <f t="shared" si="36"/>
        <v>105.77</v>
      </c>
      <c r="J56" s="95">
        <f t="shared" si="36"/>
        <v>400000</v>
      </c>
      <c r="K56" s="95">
        <f t="shared" si="36"/>
        <v>0</v>
      </c>
      <c r="L56" s="95">
        <f t="shared" si="36"/>
        <v>0</v>
      </c>
      <c r="M56" s="95">
        <f t="shared" si="36"/>
        <v>0</v>
      </c>
      <c r="N56" s="95">
        <f t="shared" si="36"/>
        <v>0</v>
      </c>
      <c r="O56" s="95">
        <f t="shared" si="36"/>
        <v>8838.0499999999993</v>
      </c>
      <c r="P56" s="95">
        <f t="shared" si="36"/>
        <v>8327.56</v>
      </c>
      <c r="Q56" s="95">
        <f t="shared" si="36"/>
        <v>0</v>
      </c>
      <c r="R56" s="95">
        <f t="shared" si="36"/>
        <v>0</v>
      </c>
      <c r="S56" s="95">
        <f t="shared" si="36"/>
        <v>0</v>
      </c>
      <c r="T56" s="95">
        <f t="shared" si="36"/>
        <v>0.1</v>
      </c>
      <c r="U56" s="95">
        <f t="shared" si="36"/>
        <v>0</v>
      </c>
      <c r="V56" s="95">
        <f t="shared" si="36"/>
        <v>0</v>
      </c>
      <c r="W56" s="95">
        <f t="shared" si="36"/>
        <v>250000</v>
      </c>
      <c r="X56" s="95">
        <f t="shared" si="36"/>
        <v>70000</v>
      </c>
      <c r="Y56" s="95">
        <f t="shared" si="36"/>
        <v>0</v>
      </c>
      <c r="Z56" s="95">
        <f t="shared" si="36"/>
        <v>0</v>
      </c>
      <c r="AA56" s="95">
        <f t="shared" si="36"/>
        <v>0</v>
      </c>
      <c r="AB56" s="95">
        <f t="shared" si="36"/>
        <v>0</v>
      </c>
      <c r="AC56" s="95">
        <f t="shared" si="36"/>
        <v>2430</v>
      </c>
      <c r="AD56" s="95">
        <f t="shared" si="36"/>
        <v>0</v>
      </c>
      <c r="AE56" s="95">
        <f t="shared" si="36"/>
        <v>0</v>
      </c>
      <c r="AF56" s="95">
        <f t="shared" si="36"/>
        <v>400000</v>
      </c>
      <c r="AG56" s="95">
        <f t="shared" si="36"/>
        <v>0</v>
      </c>
      <c r="AH56" s="95">
        <f t="shared" si="36"/>
        <v>150000</v>
      </c>
      <c r="AI56" s="95">
        <f t="shared" si="36"/>
        <v>140000</v>
      </c>
      <c r="AJ56" s="95">
        <f t="shared" si="36"/>
        <v>0</v>
      </c>
      <c r="AK56" s="95">
        <f t="shared" si="36"/>
        <v>240000</v>
      </c>
      <c r="AL56" s="95">
        <f t="shared" si="36"/>
        <v>208871.4</v>
      </c>
      <c r="AM56" s="95">
        <f t="shared" si="36"/>
        <v>0</v>
      </c>
      <c r="AN56" s="95">
        <f t="shared" si="36"/>
        <v>492.17</v>
      </c>
      <c r="AO56" s="95">
        <f t="shared" si="36"/>
        <v>0</v>
      </c>
      <c r="AP56" s="95">
        <f t="shared" si="36"/>
        <v>300000</v>
      </c>
      <c r="AQ56" s="95">
        <f t="shared" si="36"/>
        <v>100000</v>
      </c>
      <c r="AR56" s="95">
        <f t="shared" si="36"/>
        <v>545000</v>
      </c>
      <c r="AS56" s="95">
        <f t="shared" si="36"/>
        <v>0</v>
      </c>
      <c r="AT56" s="95">
        <f t="shared" si="36"/>
        <v>0</v>
      </c>
      <c r="AU56" s="95">
        <f t="shared" si="36"/>
        <v>826972.2</v>
      </c>
      <c r="AV56" s="95">
        <f t="shared" si="36"/>
        <v>0</v>
      </c>
      <c r="AW56" s="95">
        <f t="shared" si="36"/>
        <v>0</v>
      </c>
      <c r="AX56" s="95">
        <f t="shared" si="36"/>
        <v>3985</v>
      </c>
      <c r="AY56" s="95">
        <f t="shared" si="36"/>
        <v>58000</v>
      </c>
      <c r="AZ56" s="95">
        <f t="shared" si="36"/>
        <v>150000</v>
      </c>
      <c r="BA56" s="95">
        <f t="shared" si="36"/>
        <v>200000</v>
      </c>
      <c r="BB56" s="95">
        <f t="shared" si="36"/>
        <v>100000</v>
      </c>
      <c r="BC56" s="95">
        <f t="shared" si="36"/>
        <v>0</v>
      </c>
      <c r="BD56" s="95">
        <f t="shared" si="36"/>
        <v>809104</v>
      </c>
      <c r="BE56" s="95">
        <f t="shared" si="36"/>
        <v>0</v>
      </c>
      <c r="BF56" s="95">
        <f t="shared" si="36"/>
        <v>5292667.4400000004</v>
      </c>
      <c r="BG56" s="95">
        <f t="shared" si="36"/>
        <v>987812.67</v>
      </c>
      <c r="BH56" s="95">
        <f t="shared" si="36"/>
        <v>762430</v>
      </c>
      <c r="BI56" s="95">
        <f t="shared" si="36"/>
        <v>3542424.7700000005</v>
      </c>
    </row>
    <row r="57" spans="2:61" x14ac:dyDescent="0.3">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581.4</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581.4</v>
      </c>
      <c r="BG57" s="4">
        <f t="shared" ref="BG57:BG62" si="38">SUM(E57:W57)</f>
        <v>0</v>
      </c>
      <c r="BH57" s="4">
        <f t="shared" ref="BH57:BH62" si="39">SUM(X57:AJ57)</f>
        <v>0</v>
      </c>
      <c r="BI57" s="4">
        <f t="shared" ref="BI57:BI62" si="40">SUM(AK57:BE57)</f>
        <v>581.4</v>
      </c>
    </row>
    <row r="58" spans="2:61" x14ac:dyDescent="0.3">
      <c r="C58">
        <v>381</v>
      </c>
      <c r="D58" t="s">
        <v>123</v>
      </c>
      <c r="E58" s="4">
        <v>0</v>
      </c>
      <c r="F58" s="4">
        <v>0</v>
      </c>
      <c r="G58" s="4">
        <v>0</v>
      </c>
      <c r="H58" s="4">
        <v>339.5</v>
      </c>
      <c r="I58" s="4">
        <v>0</v>
      </c>
      <c r="J58" s="4">
        <v>0</v>
      </c>
      <c r="K58" s="4">
        <v>0</v>
      </c>
      <c r="L58" s="4">
        <v>0</v>
      </c>
      <c r="M58" s="4">
        <v>0</v>
      </c>
      <c r="N58" s="4">
        <v>0</v>
      </c>
      <c r="O58" s="4">
        <v>8838.0499999999993</v>
      </c>
      <c r="P58" s="4">
        <v>0</v>
      </c>
      <c r="Q58" s="4">
        <v>0</v>
      </c>
      <c r="R58" s="4">
        <v>0</v>
      </c>
      <c r="S58" s="4">
        <v>0</v>
      </c>
      <c r="T58" s="4">
        <v>0.1</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37"/>
        <v>9177.65</v>
      </c>
      <c r="BG58" s="4">
        <f t="shared" si="38"/>
        <v>9177.65</v>
      </c>
      <c r="BH58" s="4">
        <f t="shared" si="39"/>
        <v>0</v>
      </c>
      <c r="BI58" s="4">
        <f t="shared" si="40"/>
        <v>0</v>
      </c>
    </row>
    <row r="59" spans="2:61" x14ac:dyDescent="0.3">
      <c r="C59">
        <v>384</v>
      </c>
      <c r="D59" t="s">
        <v>124</v>
      </c>
      <c r="E59" s="4">
        <v>0</v>
      </c>
      <c r="F59" s="4">
        <v>0</v>
      </c>
      <c r="G59" s="4">
        <v>0</v>
      </c>
      <c r="H59" s="4">
        <v>0</v>
      </c>
      <c r="I59" s="4">
        <v>105.77</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2430</v>
      </c>
      <c r="AD59" s="4">
        <v>0</v>
      </c>
      <c r="AE59" s="4">
        <v>0</v>
      </c>
      <c r="AF59" s="4">
        <v>0</v>
      </c>
      <c r="AG59" s="4">
        <v>0</v>
      </c>
      <c r="AH59" s="4">
        <v>0</v>
      </c>
      <c r="AI59" s="4">
        <v>0</v>
      </c>
      <c r="AJ59" s="4">
        <v>0</v>
      </c>
      <c r="AK59" s="4">
        <v>0</v>
      </c>
      <c r="AL59" s="4">
        <v>0</v>
      </c>
      <c r="AM59" s="4">
        <v>0</v>
      </c>
      <c r="AN59" s="4">
        <v>458.05</v>
      </c>
      <c r="AO59" s="4">
        <v>0</v>
      </c>
      <c r="AP59" s="4">
        <v>0</v>
      </c>
      <c r="AQ59" s="4">
        <v>0</v>
      </c>
      <c r="AR59" s="4">
        <v>0</v>
      </c>
      <c r="AS59" s="4">
        <v>0</v>
      </c>
      <c r="AT59" s="4">
        <v>0</v>
      </c>
      <c r="AU59" s="4">
        <v>0</v>
      </c>
      <c r="AV59" s="4">
        <v>0</v>
      </c>
      <c r="AW59" s="4">
        <v>0</v>
      </c>
      <c r="AX59" s="4">
        <v>0</v>
      </c>
      <c r="AY59" s="4">
        <v>0</v>
      </c>
      <c r="AZ59" s="4">
        <v>0</v>
      </c>
      <c r="BA59" s="4">
        <v>0</v>
      </c>
      <c r="BB59" s="4">
        <v>0</v>
      </c>
      <c r="BC59" s="4">
        <v>0</v>
      </c>
      <c r="BD59" s="4">
        <v>9104</v>
      </c>
      <c r="BE59" s="4">
        <v>0</v>
      </c>
      <c r="BF59" s="4">
        <f t="shared" si="37"/>
        <v>12097.82</v>
      </c>
      <c r="BG59" s="4">
        <f t="shared" si="38"/>
        <v>105.77</v>
      </c>
      <c r="BH59" s="4">
        <f t="shared" si="39"/>
        <v>2430</v>
      </c>
      <c r="BI59" s="4">
        <f t="shared" si="40"/>
        <v>9562.0499999999993</v>
      </c>
    </row>
    <row r="60" spans="2:61" x14ac:dyDescent="0.3">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25000</v>
      </c>
      <c r="AS60" s="4">
        <v>0</v>
      </c>
      <c r="AT60" s="4">
        <v>0</v>
      </c>
      <c r="AU60" s="4">
        <v>0</v>
      </c>
      <c r="AV60" s="4">
        <v>0</v>
      </c>
      <c r="AW60" s="4">
        <v>0</v>
      </c>
      <c r="AX60" s="4">
        <v>0</v>
      </c>
      <c r="AY60" s="4">
        <v>0</v>
      </c>
      <c r="AZ60" s="4">
        <v>0</v>
      </c>
      <c r="BA60" s="4">
        <v>0</v>
      </c>
      <c r="BB60" s="4">
        <v>0</v>
      </c>
      <c r="BC60" s="4">
        <v>0</v>
      </c>
      <c r="BD60" s="4">
        <v>0</v>
      </c>
      <c r="BE60" s="4">
        <v>0</v>
      </c>
      <c r="BF60" s="4">
        <f t="shared" si="37"/>
        <v>25000</v>
      </c>
      <c r="BG60" s="4">
        <f t="shared" si="38"/>
        <v>0</v>
      </c>
      <c r="BH60" s="4">
        <f t="shared" si="39"/>
        <v>0</v>
      </c>
      <c r="BI60" s="4">
        <f t="shared" si="40"/>
        <v>25000</v>
      </c>
    </row>
    <row r="61" spans="2:61" x14ac:dyDescent="0.3">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0</v>
      </c>
      <c r="BG61" s="4">
        <f t="shared" si="38"/>
        <v>0</v>
      </c>
      <c r="BH61" s="4">
        <f t="shared" si="39"/>
        <v>0</v>
      </c>
      <c r="BI61" s="4">
        <f t="shared" si="40"/>
        <v>0</v>
      </c>
    </row>
    <row r="62" spans="2:61" x14ac:dyDescent="0.3">
      <c r="C62">
        <v>389</v>
      </c>
      <c r="D62" t="s">
        <v>297</v>
      </c>
      <c r="E62" s="4">
        <v>320000</v>
      </c>
      <c r="F62" s="4">
        <v>0</v>
      </c>
      <c r="G62" s="4">
        <v>0</v>
      </c>
      <c r="H62" s="4">
        <v>201.69</v>
      </c>
      <c r="I62" s="4">
        <v>0</v>
      </c>
      <c r="J62" s="4">
        <v>400000</v>
      </c>
      <c r="K62" s="4">
        <v>0</v>
      </c>
      <c r="L62" s="4">
        <v>0</v>
      </c>
      <c r="M62" s="4">
        <v>0</v>
      </c>
      <c r="N62" s="4">
        <v>0</v>
      </c>
      <c r="O62" s="4">
        <v>0</v>
      </c>
      <c r="P62" s="4">
        <v>8327.56</v>
      </c>
      <c r="Q62" s="4">
        <v>0</v>
      </c>
      <c r="R62" s="4">
        <v>0</v>
      </c>
      <c r="S62" s="4">
        <v>0</v>
      </c>
      <c r="T62" s="4">
        <v>0</v>
      </c>
      <c r="U62" s="4">
        <v>0</v>
      </c>
      <c r="V62" s="4">
        <v>0</v>
      </c>
      <c r="W62" s="4">
        <v>250000</v>
      </c>
      <c r="X62" s="4">
        <v>70000</v>
      </c>
      <c r="Y62" s="4">
        <v>0</v>
      </c>
      <c r="Z62" s="4">
        <v>0</v>
      </c>
      <c r="AA62" s="4">
        <v>0</v>
      </c>
      <c r="AB62" s="4">
        <v>0</v>
      </c>
      <c r="AC62" s="4">
        <v>0</v>
      </c>
      <c r="AD62" s="4">
        <v>0</v>
      </c>
      <c r="AE62" s="4">
        <v>0</v>
      </c>
      <c r="AF62" s="4">
        <v>400000</v>
      </c>
      <c r="AG62" s="4">
        <v>0</v>
      </c>
      <c r="AH62" s="4">
        <v>150000</v>
      </c>
      <c r="AI62" s="4">
        <v>140000</v>
      </c>
      <c r="AJ62" s="4">
        <v>0</v>
      </c>
      <c r="AK62" s="4">
        <v>240000</v>
      </c>
      <c r="AL62" s="4">
        <v>208290</v>
      </c>
      <c r="AM62" s="4">
        <v>0</v>
      </c>
      <c r="AN62" s="4">
        <v>34.119999999999997</v>
      </c>
      <c r="AO62" s="4">
        <v>0</v>
      </c>
      <c r="AP62" s="4">
        <v>300000</v>
      </c>
      <c r="AQ62" s="4">
        <v>100000</v>
      </c>
      <c r="AR62" s="4">
        <v>520000</v>
      </c>
      <c r="AS62" s="4">
        <v>0</v>
      </c>
      <c r="AT62" s="4">
        <v>0</v>
      </c>
      <c r="AU62" s="4">
        <v>826972.2</v>
      </c>
      <c r="AV62" s="4">
        <v>0</v>
      </c>
      <c r="AW62" s="4">
        <v>0</v>
      </c>
      <c r="AX62" s="4">
        <v>3985</v>
      </c>
      <c r="AY62" s="4">
        <v>58000</v>
      </c>
      <c r="AZ62" s="4">
        <v>150000</v>
      </c>
      <c r="BA62" s="4">
        <v>200000</v>
      </c>
      <c r="BB62" s="4">
        <v>100000</v>
      </c>
      <c r="BC62" s="4">
        <v>0</v>
      </c>
      <c r="BD62" s="4">
        <v>800000</v>
      </c>
      <c r="BE62" s="4">
        <v>0</v>
      </c>
      <c r="BF62" s="4">
        <f t="shared" si="37"/>
        <v>5245810.57</v>
      </c>
      <c r="BG62" s="4">
        <f t="shared" si="38"/>
        <v>978529.25</v>
      </c>
      <c r="BH62" s="4">
        <f t="shared" si="39"/>
        <v>760000</v>
      </c>
      <c r="BI62" s="4">
        <f t="shared" si="40"/>
        <v>3507281.3200000003</v>
      </c>
    </row>
    <row r="63" spans="2:61" x14ac:dyDescent="0.3">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3">
      <c r="B64" s="94">
        <v>39</v>
      </c>
      <c r="C64" s="94"/>
      <c r="D64" s="94" t="s">
        <v>128</v>
      </c>
      <c r="E64" s="95">
        <f>E65+E66+E67+E68+E69+E70+E71+E72</f>
        <v>48926</v>
      </c>
      <c r="F64" s="95">
        <f t="shared" ref="F64:BI64" si="41">F65+F66+F67+F68+F69+F70+F71+F72</f>
        <v>31349.989999999998</v>
      </c>
      <c r="G64" s="95">
        <f t="shared" si="41"/>
        <v>2814.4</v>
      </c>
      <c r="H64" s="95">
        <f t="shared" si="41"/>
        <v>14456</v>
      </c>
      <c r="I64" s="95">
        <f t="shared" si="41"/>
        <v>314700</v>
      </c>
      <c r="J64" s="95">
        <f t="shared" si="41"/>
        <v>59158</v>
      </c>
      <c r="K64" s="95">
        <f t="shared" si="41"/>
        <v>182613.1</v>
      </c>
      <c r="L64" s="95">
        <f t="shared" si="41"/>
        <v>6414678.3300000001</v>
      </c>
      <c r="M64" s="95">
        <f t="shared" si="41"/>
        <v>99719.41</v>
      </c>
      <c r="N64" s="95">
        <f t="shared" si="41"/>
        <v>0</v>
      </c>
      <c r="O64" s="95">
        <f t="shared" si="41"/>
        <v>63120</v>
      </c>
      <c r="P64" s="95">
        <f t="shared" si="41"/>
        <v>35947.949999999997</v>
      </c>
      <c r="Q64" s="95">
        <f t="shared" si="41"/>
        <v>0</v>
      </c>
      <c r="R64" s="95">
        <f t="shared" si="41"/>
        <v>12236</v>
      </c>
      <c r="S64" s="95">
        <f t="shared" si="41"/>
        <v>0</v>
      </c>
      <c r="T64" s="95">
        <f t="shared" si="41"/>
        <v>1926.85</v>
      </c>
      <c r="U64" s="95">
        <f t="shared" si="41"/>
        <v>0</v>
      </c>
      <c r="V64" s="95">
        <f t="shared" si="41"/>
        <v>59207.25</v>
      </c>
      <c r="W64" s="95">
        <f t="shared" si="41"/>
        <v>286000.15000000002</v>
      </c>
      <c r="X64" s="95">
        <f t="shared" si="41"/>
        <v>17.510000000000002</v>
      </c>
      <c r="Y64" s="95">
        <f t="shared" si="41"/>
        <v>0</v>
      </c>
      <c r="Z64" s="95">
        <f t="shared" si="41"/>
        <v>0</v>
      </c>
      <c r="AA64" s="95">
        <f t="shared" si="41"/>
        <v>18600</v>
      </c>
      <c r="AB64" s="95">
        <f t="shared" si="41"/>
        <v>0</v>
      </c>
      <c r="AC64" s="95">
        <f t="shared" si="41"/>
        <v>0</v>
      </c>
      <c r="AD64" s="95">
        <f t="shared" si="41"/>
        <v>120062.5</v>
      </c>
      <c r="AE64" s="95">
        <f t="shared" si="41"/>
        <v>87142.85</v>
      </c>
      <c r="AF64" s="95">
        <f t="shared" si="41"/>
        <v>85736.2</v>
      </c>
      <c r="AG64" s="95">
        <f t="shared" si="41"/>
        <v>5506.7</v>
      </c>
      <c r="AH64" s="95">
        <f t="shared" si="41"/>
        <v>28100</v>
      </c>
      <c r="AI64" s="95">
        <f t="shared" si="41"/>
        <v>0</v>
      </c>
      <c r="AJ64" s="95">
        <f t="shared" si="41"/>
        <v>1051.1500000000001</v>
      </c>
      <c r="AK64" s="95">
        <f t="shared" si="41"/>
        <v>146275.59</v>
      </c>
      <c r="AL64" s="95">
        <f t="shared" si="41"/>
        <v>59318.75</v>
      </c>
      <c r="AM64" s="95">
        <f t="shared" si="41"/>
        <v>3700</v>
      </c>
      <c r="AN64" s="95">
        <f t="shared" si="41"/>
        <v>800</v>
      </c>
      <c r="AO64" s="95">
        <f t="shared" si="41"/>
        <v>41758.800000000003</v>
      </c>
      <c r="AP64" s="95">
        <f t="shared" si="41"/>
        <v>93043.1</v>
      </c>
      <c r="AQ64" s="95">
        <f t="shared" si="41"/>
        <v>0</v>
      </c>
      <c r="AR64" s="95">
        <f t="shared" si="41"/>
        <v>0</v>
      </c>
      <c r="AS64" s="95">
        <f t="shared" si="41"/>
        <v>59170.8</v>
      </c>
      <c r="AT64" s="95">
        <f t="shared" si="41"/>
        <v>0</v>
      </c>
      <c r="AU64" s="95">
        <f t="shared" si="41"/>
        <v>12338.5</v>
      </c>
      <c r="AV64" s="95">
        <f t="shared" si="41"/>
        <v>31722</v>
      </c>
      <c r="AW64" s="95">
        <f t="shared" si="41"/>
        <v>0</v>
      </c>
      <c r="AX64" s="95">
        <f t="shared" si="41"/>
        <v>7348.8</v>
      </c>
      <c r="AY64" s="95">
        <f t="shared" si="41"/>
        <v>0</v>
      </c>
      <c r="AZ64" s="95">
        <f t="shared" si="41"/>
        <v>152452.6</v>
      </c>
      <c r="BA64" s="95">
        <f t="shared" si="41"/>
        <v>0</v>
      </c>
      <c r="BB64" s="95">
        <f t="shared" si="41"/>
        <v>46154.879999999997</v>
      </c>
      <c r="BC64" s="95">
        <f t="shared" si="41"/>
        <v>2684</v>
      </c>
      <c r="BD64" s="95">
        <f t="shared" si="41"/>
        <v>0</v>
      </c>
      <c r="BE64" s="95">
        <f t="shared" si="41"/>
        <v>15500</v>
      </c>
      <c r="BF64" s="95">
        <f t="shared" si="41"/>
        <v>8645338.1600000001</v>
      </c>
      <c r="BG64" s="95">
        <f t="shared" si="41"/>
        <v>7626853.4299999997</v>
      </c>
      <c r="BH64" s="95">
        <f t="shared" si="41"/>
        <v>346216.91000000003</v>
      </c>
      <c r="BI64" s="95">
        <f t="shared" si="41"/>
        <v>672267.82000000007</v>
      </c>
    </row>
    <row r="65" spans="1:61" x14ac:dyDescent="0.3">
      <c r="C65">
        <v>390</v>
      </c>
      <c r="D65" t="s">
        <v>129</v>
      </c>
      <c r="E65" s="4">
        <v>0</v>
      </c>
      <c r="F65" s="4">
        <v>200</v>
      </c>
      <c r="G65" s="4">
        <v>0</v>
      </c>
      <c r="H65" s="4">
        <v>0</v>
      </c>
      <c r="I65" s="4">
        <v>0</v>
      </c>
      <c r="J65" s="4">
        <v>0</v>
      </c>
      <c r="K65" s="4">
        <v>0</v>
      </c>
      <c r="L65" s="4">
        <v>30000</v>
      </c>
      <c r="M65" s="4">
        <v>1200</v>
      </c>
      <c r="N65" s="4">
        <v>0</v>
      </c>
      <c r="O65" s="4">
        <v>0</v>
      </c>
      <c r="P65" s="4">
        <v>0</v>
      </c>
      <c r="Q65" s="4">
        <v>0</v>
      </c>
      <c r="R65" s="4">
        <v>0</v>
      </c>
      <c r="S65" s="4">
        <v>0</v>
      </c>
      <c r="T65" s="4">
        <v>1926.85</v>
      </c>
      <c r="U65" s="4">
        <v>0</v>
      </c>
      <c r="V65" s="4">
        <v>0</v>
      </c>
      <c r="W65" s="4">
        <v>13000</v>
      </c>
      <c r="X65" s="4">
        <v>0</v>
      </c>
      <c r="Y65" s="4">
        <v>0</v>
      </c>
      <c r="Z65" s="4">
        <v>0</v>
      </c>
      <c r="AA65" s="4">
        <v>0</v>
      </c>
      <c r="AB65" s="4">
        <v>0</v>
      </c>
      <c r="AC65" s="4">
        <v>0</v>
      </c>
      <c r="AD65" s="4">
        <v>200</v>
      </c>
      <c r="AE65" s="4">
        <v>0</v>
      </c>
      <c r="AF65" s="4">
        <v>0</v>
      </c>
      <c r="AG65" s="4">
        <v>3468.15</v>
      </c>
      <c r="AH65" s="4">
        <v>0</v>
      </c>
      <c r="AI65" s="4">
        <v>0</v>
      </c>
      <c r="AJ65" s="4">
        <v>0</v>
      </c>
      <c r="AK65" s="4">
        <v>0</v>
      </c>
      <c r="AL65" s="4">
        <v>0</v>
      </c>
      <c r="AM65" s="4">
        <v>0</v>
      </c>
      <c r="AN65" s="4">
        <v>0</v>
      </c>
      <c r="AO65" s="4">
        <v>0</v>
      </c>
      <c r="AP65" s="4">
        <v>800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50795</v>
      </c>
      <c r="BG65" s="4">
        <f t="shared" ref="BG65:BG72" si="43">SUM(E65:W65)</f>
        <v>46326.85</v>
      </c>
      <c r="BH65" s="4">
        <f t="shared" ref="BH65:BH72" si="44">SUM(X65:AJ65)</f>
        <v>3668.15</v>
      </c>
      <c r="BI65" s="4">
        <f t="shared" ref="BI65:BI72" si="45">SUM(AK65:BE65)</f>
        <v>800</v>
      </c>
    </row>
    <row r="66" spans="1:61" x14ac:dyDescent="0.3">
      <c r="C66">
        <v>391</v>
      </c>
      <c r="D66" t="s">
        <v>130</v>
      </c>
      <c r="E66" s="4">
        <v>48926</v>
      </c>
      <c r="F66" s="4">
        <v>6201.55</v>
      </c>
      <c r="G66" s="4">
        <v>0</v>
      </c>
      <c r="H66" s="4">
        <v>14100</v>
      </c>
      <c r="I66" s="4">
        <v>21400</v>
      </c>
      <c r="J66" s="4">
        <v>59158</v>
      </c>
      <c r="K66" s="4">
        <v>182613.1</v>
      </c>
      <c r="L66" s="4">
        <v>1164503.75</v>
      </c>
      <c r="M66" s="4">
        <v>55922.400000000001</v>
      </c>
      <c r="N66" s="4">
        <v>0</v>
      </c>
      <c r="O66" s="4">
        <v>0</v>
      </c>
      <c r="P66" s="4">
        <v>35947.949999999997</v>
      </c>
      <c r="Q66" s="4">
        <v>0</v>
      </c>
      <c r="R66" s="4">
        <v>12236</v>
      </c>
      <c r="S66" s="4">
        <v>0</v>
      </c>
      <c r="T66" s="4">
        <v>0</v>
      </c>
      <c r="U66" s="4">
        <v>0</v>
      </c>
      <c r="V66" s="4">
        <v>59207.25</v>
      </c>
      <c r="W66" s="4">
        <v>88799</v>
      </c>
      <c r="X66" s="4">
        <v>0</v>
      </c>
      <c r="Y66" s="4">
        <v>0</v>
      </c>
      <c r="Z66" s="4">
        <v>0</v>
      </c>
      <c r="AA66" s="4">
        <v>18600</v>
      </c>
      <c r="AB66" s="4">
        <v>0</v>
      </c>
      <c r="AC66" s="4">
        <v>0</v>
      </c>
      <c r="AD66" s="4">
        <v>79700.149999999994</v>
      </c>
      <c r="AE66" s="4">
        <v>87127.35</v>
      </c>
      <c r="AF66" s="4">
        <v>85736.2</v>
      </c>
      <c r="AG66" s="4">
        <v>2038.55</v>
      </c>
      <c r="AH66" s="4">
        <v>28100</v>
      </c>
      <c r="AI66" s="4">
        <v>0</v>
      </c>
      <c r="AJ66" s="4">
        <v>0</v>
      </c>
      <c r="AK66" s="4">
        <v>146275.59</v>
      </c>
      <c r="AL66" s="4">
        <v>0</v>
      </c>
      <c r="AM66" s="4">
        <v>3700</v>
      </c>
      <c r="AN66" s="4">
        <v>800</v>
      </c>
      <c r="AO66" s="4">
        <v>41758.800000000003</v>
      </c>
      <c r="AP66" s="4">
        <v>55208.95</v>
      </c>
      <c r="AQ66" s="4">
        <v>0</v>
      </c>
      <c r="AR66" s="4">
        <v>0</v>
      </c>
      <c r="AS66" s="4">
        <v>48767.8</v>
      </c>
      <c r="AT66" s="4">
        <v>0</v>
      </c>
      <c r="AU66" s="4">
        <v>12338.5</v>
      </c>
      <c r="AV66" s="4">
        <v>31722</v>
      </c>
      <c r="AW66" s="4">
        <v>0</v>
      </c>
      <c r="AX66" s="4">
        <v>0</v>
      </c>
      <c r="AY66" s="4">
        <v>0</v>
      </c>
      <c r="AZ66" s="4">
        <v>148952.6</v>
      </c>
      <c r="BA66" s="4">
        <v>0</v>
      </c>
      <c r="BB66" s="4">
        <v>46154.879999999997</v>
      </c>
      <c r="BC66" s="4">
        <v>0</v>
      </c>
      <c r="BD66" s="4">
        <v>0</v>
      </c>
      <c r="BE66" s="4">
        <v>15500</v>
      </c>
      <c r="BF66" s="4">
        <f t="shared" si="42"/>
        <v>2601496.3699999996</v>
      </c>
      <c r="BG66" s="4">
        <f t="shared" si="43"/>
        <v>1749014.9999999998</v>
      </c>
      <c r="BH66" s="4">
        <f t="shared" si="44"/>
        <v>301302.25</v>
      </c>
      <c r="BI66" s="4">
        <f t="shared" si="45"/>
        <v>551179.12</v>
      </c>
    </row>
    <row r="67" spans="1:61" x14ac:dyDescent="0.3">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110000</v>
      </c>
      <c r="BG67" s="4">
        <f t="shared" si="43"/>
        <v>110000</v>
      </c>
      <c r="BH67" s="4">
        <f t="shared" si="44"/>
        <v>0</v>
      </c>
      <c r="BI67" s="4">
        <f t="shared" si="45"/>
        <v>0</v>
      </c>
    </row>
    <row r="68" spans="1:61" x14ac:dyDescent="0.3">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4000</v>
      </c>
      <c r="X68" s="4">
        <v>0</v>
      </c>
      <c r="Y68" s="4">
        <v>0</v>
      </c>
      <c r="Z68" s="4">
        <v>0</v>
      </c>
      <c r="AA68" s="4">
        <v>0</v>
      </c>
      <c r="AB68" s="4">
        <v>0</v>
      </c>
      <c r="AC68" s="4">
        <v>0</v>
      </c>
      <c r="AD68" s="4">
        <v>2550</v>
      </c>
      <c r="AE68" s="4">
        <v>0</v>
      </c>
      <c r="AF68" s="4">
        <v>0</v>
      </c>
      <c r="AG68" s="4">
        <v>0</v>
      </c>
      <c r="AH68" s="4">
        <v>0</v>
      </c>
      <c r="AI68" s="4">
        <v>0</v>
      </c>
      <c r="AJ68" s="4">
        <v>0</v>
      </c>
      <c r="AK68" s="4">
        <v>0</v>
      </c>
      <c r="AL68" s="4">
        <v>0</v>
      </c>
      <c r="AM68" s="4">
        <v>0</v>
      </c>
      <c r="AN68" s="4">
        <v>0</v>
      </c>
      <c r="AO68" s="4">
        <v>0</v>
      </c>
      <c r="AP68" s="4">
        <v>0</v>
      </c>
      <c r="AQ68" s="4">
        <v>0</v>
      </c>
      <c r="AR68" s="4">
        <v>0</v>
      </c>
      <c r="AS68" s="4">
        <v>2619.4</v>
      </c>
      <c r="AT68" s="4">
        <v>0</v>
      </c>
      <c r="AU68" s="4">
        <v>0</v>
      </c>
      <c r="AV68" s="4">
        <v>0</v>
      </c>
      <c r="AW68" s="4">
        <v>0</v>
      </c>
      <c r="AX68" s="4">
        <v>0</v>
      </c>
      <c r="AY68" s="4">
        <v>0</v>
      </c>
      <c r="AZ68" s="4">
        <v>0</v>
      </c>
      <c r="BA68" s="4">
        <v>0</v>
      </c>
      <c r="BB68" s="4">
        <v>0</v>
      </c>
      <c r="BC68" s="4">
        <v>0</v>
      </c>
      <c r="BD68" s="4">
        <v>0</v>
      </c>
      <c r="BE68" s="4">
        <v>0</v>
      </c>
      <c r="BF68" s="4">
        <f t="shared" si="42"/>
        <v>9169.4</v>
      </c>
      <c r="BG68" s="4">
        <f t="shared" si="43"/>
        <v>4000</v>
      </c>
      <c r="BH68" s="4">
        <f t="shared" si="44"/>
        <v>2550</v>
      </c>
      <c r="BI68" s="4">
        <f t="shared" si="45"/>
        <v>2619.4</v>
      </c>
    </row>
    <row r="69" spans="1:61" x14ac:dyDescent="0.3">
      <c r="C69">
        <v>394</v>
      </c>
      <c r="D69" t="s">
        <v>133</v>
      </c>
      <c r="E69" s="4">
        <v>0</v>
      </c>
      <c r="F69" s="4">
        <v>24948.44</v>
      </c>
      <c r="G69" s="4">
        <v>2814.4</v>
      </c>
      <c r="H69" s="4">
        <v>0</v>
      </c>
      <c r="I69" s="4">
        <v>293300</v>
      </c>
      <c r="J69" s="4">
        <v>0</v>
      </c>
      <c r="K69" s="4">
        <v>0</v>
      </c>
      <c r="L69" s="4">
        <v>692394</v>
      </c>
      <c r="M69" s="4">
        <v>42597.01</v>
      </c>
      <c r="N69" s="4">
        <v>0</v>
      </c>
      <c r="O69" s="4">
        <v>63120</v>
      </c>
      <c r="P69" s="4">
        <v>0</v>
      </c>
      <c r="Q69" s="4">
        <v>0</v>
      </c>
      <c r="R69" s="4">
        <v>0</v>
      </c>
      <c r="S69" s="4">
        <v>0</v>
      </c>
      <c r="T69" s="4">
        <v>0</v>
      </c>
      <c r="U69" s="4">
        <v>0</v>
      </c>
      <c r="V69" s="4">
        <v>0</v>
      </c>
      <c r="W69" s="4">
        <v>174801.15</v>
      </c>
      <c r="X69" s="4">
        <v>17.510000000000002</v>
      </c>
      <c r="Y69" s="4">
        <v>0</v>
      </c>
      <c r="Z69" s="4">
        <v>0</v>
      </c>
      <c r="AA69" s="4">
        <v>0</v>
      </c>
      <c r="AB69" s="4">
        <v>0</v>
      </c>
      <c r="AC69" s="4">
        <v>0</v>
      </c>
      <c r="AD69" s="4">
        <v>37612.35</v>
      </c>
      <c r="AE69" s="4">
        <v>15.5</v>
      </c>
      <c r="AF69" s="4">
        <v>0</v>
      </c>
      <c r="AG69" s="4">
        <v>0</v>
      </c>
      <c r="AH69" s="4">
        <v>0</v>
      </c>
      <c r="AI69" s="4">
        <v>0</v>
      </c>
      <c r="AJ69" s="4">
        <v>1051.1500000000001</v>
      </c>
      <c r="AK69" s="4">
        <v>0</v>
      </c>
      <c r="AL69" s="4">
        <v>59318.75</v>
      </c>
      <c r="AM69" s="4">
        <v>0</v>
      </c>
      <c r="AN69" s="4">
        <v>0</v>
      </c>
      <c r="AO69" s="4">
        <v>0</v>
      </c>
      <c r="AP69" s="4">
        <v>37034.15</v>
      </c>
      <c r="AQ69" s="4">
        <v>0</v>
      </c>
      <c r="AR69" s="4">
        <v>0</v>
      </c>
      <c r="AS69" s="4">
        <v>7783.6</v>
      </c>
      <c r="AT69" s="4">
        <v>0</v>
      </c>
      <c r="AU69" s="4">
        <v>0</v>
      </c>
      <c r="AV69" s="4">
        <v>0</v>
      </c>
      <c r="AW69" s="4">
        <v>0</v>
      </c>
      <c r="AX69" s="4">
        <v>7348.8</v>
      </c>
      <c r="AY69" s="4">
        <v>0</v>
      </c>
      <c r="AZ69" s="4">
        <v>0</v>
      </c>
      <c r="BA69" s="4">
        <v>0</v>
      </c>
      <c r="BB69" s="4">
        <v>0</v>
      </c>
      <c r="BC69" s="4">
        <v>2684</v>
      </c>
      <c r="BD69" s="4">
        <v>0</v>
      </c>
      <c r="BE69" s="4">
        <v>0</v>
      </c>
      <c r="BF69" s="4">
        <f t="shared" si="42"/>
        <v>1446840.81</v>
      </c>
      <c r="BG69" s="4">
        <f t="shared" si="43"/>
        <v>1293975</v>
      </c>
      <c r="BH69" s="4">
        <f t="shared" si="44"/>
        <v>38696.51</v>
      </c>
      <c r="BI69" s="4">
        <f t="shared" si="45"/>
        <v>114169.3</v>
      </c>
    </row>
    <row r="70" spans="1:61" x14ac:dyDescent="0.3">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3">
      <c r="C71">
        <v>398</v>
      </c>
      <c r="D71" t="s">
        <v>135</v>
      </c>
      <c r="E71" s="4">
        <v>0</v>
      </c>
      <c r="F71" s="4">
        <v>0</v>
      </c>
      <c r="G71" s="4">
        <v>0</v>
      </c>
      <c r="H71" s="4">
        <v>0</v>
      </c>
      <c r="I71" s="4">
        <v>0</v>
      </c>
      <c r="J71" s="4">
        <v>0</v>
      </c>
      <c r="K71" s="4">
        <v>0</v>
      </c>
      <c r="L71" s="4">
        <v>2465786.8199999998</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2465786.8199999998</v>
      </c>
      <c r="BG71" s="4">
        <f t="shared" si="43"/>
        <v>2465786.8199999998</v>
      </c>
      <c r="BH71" s="4">
        <f t="shared" si="44"/>
        <v>0</v>
      </c>
      <c r="BI71" s="4">
        <f t="shared" si="45"/>
        <v>0</v>
      </c>
    </row>
    <row r="72" spans="1:61" x14ac:dyDescent="0.3">
      <c r="C72">
        <v>399</v>
      </c>
      <c r="D72" t="s">
        <v>136</v>
      </c>
      <c r="E72" s="4">
        <v>0</v>
      </c>
      <c r="F72" s="4">
        <v>0</v>
      </c>
      <c r="G72" s="4">
        <v>0</v>
      </c>
      <c r="H72" s="4">
        <v>0</v>
      </c>
      <c r="I72" s="4">
        <v>0</v>
      </c>
      <c r="J72" s="4">
        <v>0</v>
      </c>
      <c r="K72" s="4">
        <v>0</v>
      </c>
      <c r="L72" s="4">
        <v>1951993.76</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3500</v>
      </c>
      <c r="BA72" s="4">
        <v>0</v>
      </c>
      <c r="BB72" s="4">
        <v>0</v>
      </c>
      <c r="BC72" s="4">
        <v>0</v>
      </c>
      <c r="BD72" s="4">
        <v>0</v>
      </c>
      <c r="BE72" s="4">
        <v>0</v>
      </c>
      <c r="BF72" s="4">
        <f t="shared" si="42"/>
        <v>1960893.76</v>
      </c>
      <c r="BG72" s="4">
        <f t="shared" si="43"/>
        <v>1957393.76</v>
      </c>
      <c r="BH72" s="4">
        <f t="shared" si="44"/>
        <v>0</v>
      </c>
      <c r="BI72" s="4">
        <f t="shared" si="45"/>
        <v>3500</v>
      </c>
    </row>
    <row r="73" spans="1:61" x14ac:dyDescent="0.3">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3">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4">
      <c r="A75" s="98">
        <v>4</v>
      </c>
      <c r="B75" s="98"/>
      <c r="C75" s="98"/>
      <c r="D75" s="98" t="s">
        <v>137</v>
      </c>
      <c r="E75" s="97">
        <f>E76+E82+E88+E99+E105+E117+E121+E128+E131+E140</f>
        <v>4361735.78</v>
      </c>
      <c r="F75" s="97">
        <f t="shared" ref="F75:BI75" si="46">F76+F82+F88+F99+F105+F117+F121+F128+F131+F140</f>
        <v>1207844.1200000001</v>
      </c>
      <c r="G75" s="97">
        <f t="shared" si="46"/>
        <v>1711332.94</v>
      </c>
      <c r="H75" s="97">
        <f t="shared" si="46"/>
        <v>1760161.37</v>
      </c>
      <c r="I75" s="97">
        <f t="shared" si="46"/>
        <v>14538705.140000001</v>
      </c>
      <c r="J75" s="97">
        <f t="shared" si="46"/>
        <v>14408137.58</v>
      </c>
      <c r="K75" s="97">
        <f t="shared" si="46"/>
        <v>10452694.92</v>
      </c>
      <c r="L75" s="97">
        <f t="shared" si="46"/>
        <v>101210223.20999999</v>
      </c>
      <c r="M75" s="97">
        <f t="shared" si="46"/>
        <v>7171287.8000000007</v>
      </c>
      <c r="N75" s="97">
        <f t="shared" si="46"/>
        <v>401271.81999999995</v>
      </c>
      <c r="O75" s="97">
        <f t="shared" si="46"/>
        <v>24396966.48</v>
      </c>
      <c r="P75" s="97">
        <f t="shared" si="46"/>
        <v>1930657.32</v>
      </c>
      <c r="Q75" s="97">
        <f t="shared" si="46"/>
        <v>369154.47000000003</v>
      </c>
      <c r="R75" s="97">
        <f t="shared" si="46"/>
        <v>1520982.8</v>
      </c>
      <c r="S75" s="97">
        <f t="shared" si="46"/>
        <v>1343281.0499999998</v>
      </c>
      <c r="T75" s="97">
        <f t="shared" si="46"/>
        <v>2878976.99</v>
      </c>
      <c r="U75" s="97">
        <f t="shared" si="46"/>
        <v>1013666.7599999999</v>
      </c>
      <c r="V75" s="97">
        <f t="shared" si="46"/>
        <v>2267810.1199999996</v>
      </c>
      <c r="W75" s="97">
        <f t="shared" si="46"/>
        <v>12122055.15</v>
      </c>
      <c r="X75" s="97">
        <f t="shared" si="46"/>
        <v>1873485.9100000001</v>
      </c>
      <c r="Y75" s="97">
        <f t="shared" si="46"/>
        <v>5841729.9299999997</v>
      </c>
      <c r="Z75" s="97">
        <f t="shared" si="46"/>
        <v>14354254.820000004</v>
      </c>
      <c r="AA75" s="97">
        <f t="shared" si="46"/>
        <v>633362.93000000005</v>
      </c>
      <c r="AB75" s="97">
        <f t="shared" si="46"/>
        <v>869413.35</v>
      </c>
      <c r="AC75" s="97">
        <f t="shared" si="46"/>
        <v>2610311.7899999996</v>
      </c>
      <c r="AD75" s="97">
        <f t="shared" si="46"/>
        <v>3324946.129999999</v>
      </c>
      <c r="AE75" s="97">
        <f t="shared" si="46"/>
        <v>2489032.4700000002</v>
      </c>
      <c r="AF75" s="97">
        <f t="shared" si="46"/>
        <v>3836973.3200000003</v>
      </c>
      <c r="AG75" s="97">
        <f t="shared" si="46"/>
        <v>9929146.0700000022</v>
      </c>
      <c r="AH75" s="97">
        <f t="shared" si="46"/>
        <v>11828639.829999998</v>
      </c>
      <c r="AI75" s="97">
        <f t="shared" si="46"/>
        <v>1143843.8399999999</v>
      </c>
      <c r="AJ75" s="97">
        <f t="shared" si="46"/>
        <v>664822.05000000005</v>
      </c>
      <c r="AK75" s="97">
        <f t="shared" si="46"/>
        <v>8151911.8300000001</v>
      </c>
      <c r="AL75" s="97">
        <f t="shared" si="46"/>
        <v>5723935.5299999993</v>
      </c>
      <c r="AM75" s="97">
        <f t="shared" si="46"/>
        <v>4607006.0999999996</v>
      </c>
      <c r="AN75" s="97">
        <f t="shared" si="46"/>
        <v>577834.23999999999</v>
      </c>
      <c r="AO75" s="97">
        <f t="shared" si="46"/>
        <v>8690705.1799999997</v>
      </c>
      <c r="AP75" s="97">
        <f t="shared" si="46"/>
        <v>3975611.9200000004</v>
      </c>
      <c r="AQ75" s="97">
        <f t="shared" si="46"/>
        <v>2524179.38</v>
      </c>
      <c r="AR75" s="97">
        <f t="shared" si="46"/>
        <v>7246551.25</v>
      </c>
      <c r="AS75" s="97">
        <f t="shared" si="46"/>
        <v>3060427.08</v>
      </c>
      <c r="AT75" s="97">
        <f t="shared" si="46"/>
        <v>4391621.2600000007</v>
      </c>
      <c r="AU75" s="97">
        <f t="shared" si="46"/>
        <v>2770249.5999999996</v>
      </c>
      <c r="AV75" s="97">
        <f t="shared" si="46"/>
        <v>8668513.6099999994</v>
      </c>
      <c r="AW75" s="97">
        <f t="shared" si="46"/>
        <v>2941524.5300000003</v>
      </c>
      <c r="AX75" s="97">
        <f t="shared" si="46"/>
        <v>771065.8</v>
      </c>
      <c r="AY75" s="97">
        <f t="shared" si="46"/>
        <v>1561153.8499999999</v>
      </c>
      <c r="AZ75" s="97">
        <f t="shared" si="46"/>
        <v>7102958.8299999991</v>
      </c>
      <c r="BA75" s="97">
        <f t="shared" si="46"/>
        <v>1899981.13</v>
      </c>
      <c r="BB75" s="97">
        <f t="shared" si="46"/>
        <v>5863435.4199999999</v>
      </c>
      <c r="BC75" s="97">
        <f t="shared" si="46"/>
        <v>621441.6</v>
      </c>
      <c r="BD75" s="97">
        <f t="shared" si="46"/>
        <v>41724841.979999997</v>
      </c>
      <c r="BE75" s="97">
        <f t="shared" si="46"/>
        <v>2444835.3400000003</v>
      </c>
      <c r="BF75" s="97">
        <f t="shared" si="46"/>
        <v>389786693.71999997</v>
      </c>
      <c r="BG75" s="97">
        <f t="shared" si="46"/>
        <v>205066945.81999999</v>
      </c>
      <c r="BH75" s="97">
        <f t="shared" si="46"/>
        <v>59399962.440000005</v>
      </c>
      <c r="BI75" s="97">
        <f t="shared" si="46"/>
        <v>125319785.45999999</v>
      </c>
    </row>
    <row r="76" spans="1:61" x14ac:dyDescent="0.3">
      <c r="A76" s="7"/>
      <c r="B76" s="96">
        <v>40</v>
      </c>
      <c r="C76" s="96"/>
      <c r="D76" s="96" t="s">
        <v>79</v>
      </c>
      <c r="E76" s="91">
        <f>E77+E78+E79+E80</f>
        <v>3330906.65</v>
      </c>
      <c r="F76" s="91">
        <f t="shared" ref="F76:BI76" si="47">F77+F78+F79+F80</f>
        <v>679306.05</v>
      </c>
      <c r="G76" s="91">
        <f t="shared" si="47"/>
        <v>1158191.25</v>
      </c>
      <c r="H76" s="91">
        <f t="shared" si="47"/>
        <v>1080025.8</v>
      </c>
      <c r="I76" s="91">
        <f t="shared" si="47"/>
        <v>8115298.7000000002</v>
      </c>
      <c r="J76" s="91">
        <f t="shared" si="47"/>
        <v>9445275.5500000007</v>
      </c>
      <c r="K76" s="91">
        <f t="shared" si="47"/>
        <v>7112250.3600000003</v>
      </c>
      <c r="L76" s="91">
        <f t="shared" si="47"/>
        <v>39079842.800000004</v>
      </c>
      <c r="M76" s="91">
        <f t="shared" si="47"/>
        <v>3500855.94</v>
      </c>
      <c r="N76" s="91">
        <f t="shared" si="47"/>
        <v>203641.17</v>
      </c>
      <c r="O76" s="91">
        <f t="shared" si="47"/>
        <v>16522242</v>
      </c>
      <c r="P76" s="91">
        <f t="shared" si="47"/>
        <v>1259404.95</v>
      </c>
      <c r="Q76" s="91">
        <f t="shared" si="47"/>
        <v>207655.7</v>
      </c>
      <c r="R76" s="91">
        <f t="shared" si="47"/>
        <v>1011482.65</v>
      </c>
      <c r="S76" s="91">
        <f t="shared" si="47"/>
        <v>722909.14999999991</v>
      </c>
      <c r="T76" s="91">
        <f t="shared" si="47"/>
        <v>2005442.1</v>
      </c>
      <c r="U76" s="91">
        <f t="shared" si="47"/>
        <v>596548.79999999993</v>
      </c>
      <c r="V76" s="91">
        <f t="shared" si="47"/>
        <v>1366723.3</v>
      </c>
      <c r="W76" s="91">
        <f t="shared" si="47"/>
        <v>7697736.75</v>
      </c>
      <c r="X76" s="91">
        <f t="shared" si="47"/>
        <v>848811.35</v>
      </c>
      <c r="Y76" s="91">
        <f t="shared" si="47"/>
        <v>3758598.17</v>
      </c>
      <c r="Z76" s="91">
        <f t="shared" si="47"/>
        <v>9945240.5000000019</v>
      </c>
      <c r="AA76" s="91">
        <f t="shared" si="47"/>
        <v>235146.95</v>
      </c>
      <c r="AB76" s="91">
        <f t="shared" si="47"/>
        <v>312610.3</v>
      </c>
      <c r="AC76" s="91">
        <f t="shared" si="47"/>
        <v>1246815.8500000001</v>
      </c>
      <c r="AD76" s="91">
        <f t="shared" si="47"/>
        <v>1439744.5499999998</v>
      </c>
      <c r="AE76" s="91">
        <f t="shared" si="47"/>
        <v>1317292.5999999999</v>
      </c>
      <c r="AF76" s="91">
        <f t="shared" si="47"/>
        <v>1892861.9000000001</v>
      </c>
      <c r="AG76" s="91">
        <f t="shared" si="47"/>
        <v>6935242.8500000006</v>
      </c>
      <c r="AH76" s="91">
        <f t="shared" si="47"/>
        <v>7704002.4500000002</v>
      </c>
      <c r="AI76" s="91">
        <f t="shared" si="47"/>
        <v>522916.35</v>
      </c>
      <c r="AJ76" s="91">
        <f t="shared" si="47"/>
        <v>382904.89999999997</v>
      </c>
      <c r="AK76" s="91">
        <f t="shared" si="47"/>
        <v>5443392.8999999994</v>
      </c>
      <c r="AL76" s="91">
        <f t="shared" si="47"/>
        <v>2461310.48</v>
      </c>
      <c r="AM76" s="91">
        <f t="shared" si="47"/>
        <v>2964717.4</v>
      </c>
      <c r="AN76" s="91">
        <f t="shared" si="47"/>
        <v>334540.34999999998</v>
      </c>
      <c r="AO76" s="91">
        <f t="shared" si="47"/>
        <v>6870594.75</v>
      </c>
      <c r="AP76" s="91">
        <f t="shared" si="47"/>
        <v>2057078.08</v>
      </c>
      <c r="AQ76" s="91">
        <f t="shared" si="47"/>
        <v>1951760.24</v>
      </c>
      <c r="AR76" s="91">
        <f t="shared" si="47"/>
        <v>3448745.2499999995</v>
      </c>
      <c r="AS76" s="91">
        <f t="shared" si="47"/>
        <v>1748640.0500000003</v>
      </c>
      <c r="AT76" s="91">
        <f t="shared" si="47"/>
        <v>2441707.9500000002</v>
      </c>
      <c r="AU76" s="91">
        <f t="shared" si="47"/>
        <v>2265017.35</v>
      </c>
      <c r="AV76" s="91">
        <f t="shared" si="47"/>
        <v>6073809.8299999991</v>
      </c>
      <c r="AW76" s="91">
        <f t="shared" si="47"/>
        <v>2202056.9</v>
      </c>
      <c r="AX76" s="91">
        <f t="shared" si="47"/>
        <v>406157.7</v>
      </c>
      <c r="AY76" s="91">
        <f t="shared" si="47"/>
        <v>902646.45</v>
      </c>
      <c r="AZ76" s="91">
        <f t="shared" si="47"/>
        <v>5041155.3499999996</v>
      </c>
      <c r="BA76" s="91">
        <f t="shared" si="47"/>
        <v>984706.9</v>
      </c>
      <c r="BB76" s="91">
        <f t="shared" si="47"/>
        <v>3659638.5900000003</v>
      </c>
      <c r="BC76" s="91">
        <f t="shared" si="47"/>
        <v>341684.35</v>
      </c>
      <c r="BD76" s="91">
        <f t="shared" si="47"/>
        <v>24686130.600000001</v>
      </c>
      <c r="BE76" s="91">
        <f t="shared" si="47"/>
        <v>1392268.4000000001</v>
      </c>
      <c r="BF76" s="91">
        <f t="shared" si="47"/>
        <v>219315688.26000002</v>
      </c>
      <c r="BG76" s="91">
        <f t="shared" si="47"/>
        <v>105095739.66999999</v>
      </c>
      <c r="BH76" s="91">
        <f t="shared" si="47"/>
        <v>36542188.720000006</v>
      </c>
      <c r="BI76" s="91">
        <f t="shared" si="47"/>
        <v>77677759.870000005</v>
      </c>
    </row>
    <row r="77" spans="1:61" x14ac:dyDescent="0.3">
      <c r="C77">
        <v>400</v>
      </c>
      <c r="D77" t="s">
        <v>138</v>
      </c>
      <c r="E77" s="4">
        <v>2399050.6</v>
      </c>
      <c r="F77" s="4">
        <v>470355.45</v>
      </c>
      <c r="G77" s="4">
        <v>955512.5</v>
      </c>
      <c r="H77" s="4">
        <v>877308.4</v>
      </c>
      <c r="I77" s="4">
        <v>6506300</v>
      </c>
      <c r="J77" s="4">
        <v>7933663.8499999996</v>
      </c>
      <c r="K77" s="4">
        <v>5544167.2999999998</v>
      </c>
      <c r="L77" s="4">
        <v>28553161.5</v>
      </c>
      <c r="M77" s="4">
        <v>2748752.09</v>
      </c>
      <c r="N77" s="4">
        <v>181518.4</v>
      </c>
      <c r="O77" s="4">
        <v>13756608</v>
      </c>
      <c r="P77" s="4">
        <v>1011339.5</v>
      </c>
      <c r="Q77" s="4">
        <v>180720.2</v>
      </c>
      <c r="R77" s="4">
        <v>854184.35</v>
      </c>
      <c r="S77" s="4">
        <v>602762.5</v>
      </c>
      <c r="T77" s="4">
        <v>1797303.6</v>
      </c>
      <c r="U77" s="4">
        <v>494316.95</v>
      </c>
      <c r="V77" s="4">
        <v>1157764.6499999999</v>
      </c>
      <c r="W77" s="4">
        <v>6519291.7999999998</v>
      </c>
      <c r="X77" s="4">
        <v>722638.15</v>
      </c>
      <c r="Y77" s="4">
        <v>3318239.37</v>
      </c>
      <c r="Z77" s="4">
        <v>2784771.7</v>
      </c>
      <c r="AA77" s="4">
        <v>166231.25</v>
      </c>
      <c r="AB77" s="4">
        <v>246851.8</v>
      </c>
      <c r="AC77" s="4">
        <v>1347499.1</v>
      </c>
      <c r="AD77" s="4">
        <v>1163704.6499999999</v>
      </c>
      <c r="AE77" s="4">
        <v>1089524.5</v>
      </c>
      <c r="AF77" s="4">
        <v>980100.75</v>
      </c>
      <c r="AG77" s="4">
        <v>4420675.25</v>
      </c>
      <c r="AH77" s="4">
        <v>6191256.5</v>
      </c>
      <c r="AI77" s="4">
        <v>457685.35</v>
      </c>
      <c r="AJ77" s="4">
        <v>243519.25</v>
      </c>
      <c r="AK77" s="4">
        <v>4302044.3</v>
      </c>
      <c r="AL77" s="4">
        <v>2118729.04</v>
      </c>
      <c r="AM77" s="4">
        <v>2498137.9500000002</v>
      </c>
      <c r="AN77" s="4">
        <v>261580.65</v>
      </c>
      <c r="AO77" s="4">
        <v>3827633.75</v>
      </c>
      <c r="AP77" s="4">
        <v>1314195.3</v>
      </c>
      <c r="AQ77" s="4">
        <v>1533277.09</v>
      </c>
      <c r="AR77" s="4">
        <v>2280940.4</v>
      </c>
      <c r="AS77" s="4">
        <v>1444177.6</v>
      </c>
      <c r="AT77" s="4">
        <v>2102457.75</v>
      </c>
      <c r="AU77" s="4">
        <v>2205801.5499999998</v>
      </c>
      <c r="AV77" s="4">
        <v>5082414.08</v>
      </c>
      <c r="AW77" s="4">
        <v>1664323.5</v>
      </c>
      <c r="AX77" s="4">
        <v>335760.2</v>
      </c>
      <c r="AY77" s="4">
        <v>756659.25</v>
      </c>
      <c r="AZ77" s="4">
        <v>4231081.0999999996</v>
      </c>
      <c r="BA77" s="4">
        <v>807108.35</v>
      </c>
      <c r="BB77" s="4">
        <v>2596328.9500000002</v>
      </c>
      <c r="BC77" s="4">
        <v>306282.3</v>
      </c>
      <c r="BD77" s="4">
        <v>19029351.100000001</v>
      </c>
      <c r="BE77" s="4">
        <v>1073776.3500000001</v>
      </c>
      <c r="BF77" s="4">
        <f t="shared" ref="BF77:BF80" si="48">SUM(E77:BE77)</f>
        <v>165448839.81999999</v>
      </c>
      <c r="BG77" s="4">
        <f t="shared" ref="BG77:BG80" si="49">SUM(E77:W77)</f>
        <v>82544081.640000001</v>
      </c>
      <c r="BH77" s="4">
        <f t="shared" ref="BH77:BH80" si="50">SUM(X77:AJ77)</f>
        <v>23132697.620000005</v>
      </c>
      <c r="BI77" s="4">
        <f t="shared" ref="BI77:BI80" si="51">SUM(AK77:BE77)</f>
        <v>59772060.560000002</v>
      </c>
    </row>
    <row r="78" spans="1:61" x14ac:dyDescent="0.3">
      <c r="C78">
        <v>401</v>
      </c>
      <c r="D78" t="s">
        <v>139</v>
      </c>
      <c r="E78" s="4">
        <v>186863.75</v>
      </c>
      <c r="F78" s="4">
        <v>10969.3</v>
      </c>
      <c r="G78" s="4">
        <v>72576.7</v>
      </c>
      <c r="H78" s="4">
        <v>82257.149999999994</v>
      </c>
      <c r="I78" s="4">
        <v>402269.8</v>
      </c>
      <c r="J78" s="4">
        <v>637302.1</v>
      </c>
      <c r="K78" s="4">
        <v>948116.15</v>
      </c>
      <c r="L78" s="4">
        <v>5630325.2000000002</v>
      </c>
      <c r="M78" s="4">
        <v>440551.95</v>
      </c>
      <c r="N78" s="4">
        <v>3668.35</v>
      </c>
      <c r="O78" s="4">
        <v>648784.6</v>
      </c>
      <c r="P78" s="4">
        <v>43209.25</v>
      </c>
      <c r="Q78" s="4">
        <v>-2994.7</v>
      </c>
      <c r="R78" s="4">
        <v>11294.05</v>
      </c>
      <c r="S78" s="4">
        <v>-4335.8</v>
      </c>
      <c r="T78" s="4">
        <v>39931.449999999997</v>
      </c>
      <c r="U78" s="4">
        <v>21951.7</v>
      </c>
      <c r="V78" s="4">
        <v>91657.95</v>
      </c>
      <c r="W78" s="4">
        <v>154646.65</v>
      </c>
      <c r="X78" s="4">
        <v>5100.25</v>
      </c>
      <c r="Y78" s="4">
        <v>115383.25</v>
      </c>
      <c r="Z78" s="4">
        <v>6765508.1500000004</v>
      </c>
      <c r="AA78" s="4">
        <v>927.2</v>
      </c>
      <c r="AB78" s="4">
        <v>8935.7999999999993</v>
      </c>
      <c r="AC78" s="4">
        <v>-224747.75</v>
      </c>
      <c r="AD78" s="4">
        <v>70136.850000000006</v>
      </c>
      <c r="AE78" s="4">
        <v>33283.550000000003</v>
      </c>
      <c r="AF78" s="4">
        <v>728213.45</v>
      </c>
      <c r="AG78" s="4">
        <v>1712675.4</v>
      </c>
      <c r="AH78" s="4">
        <v>682151.5</v>
      </c>
      <c r="AI78" s="4">
        <v>7264.65</v>
      </c>
      <c r="AJ78" s="4">
        <v>7036.8</v>
      </c>
      <c r="AK78" s="4">
        <v>543718.55000000005</v>
      </c>
      <c r="AL78" s="4">
        <v>-87224.51</v>
      </c>
      <c r="AM78" s="4">
        <v>44564.75</v>
      </c>
      <c r="AN78" s="4">
        <v>1227.2</v>
      </c>
      <c r="AO78" s="4">
        <v>2557137.35</v>
      </c>
      <c r="AP78" s="4">
        <v>504468</v>
      </c>
      <c r="AQ78" s="4">
        <v>144303.25</v>
      </c>
      <c r="AR78" s="4">
        <v>234509.05</v>
      </c>
      <c r="AS78" s="4">
        <v>17997.349999999999</v>
      </c>
      <c r="AT78" s="4">
        <v>5799</v>
      </c>
      <c r="AU78" s="4">
        <v>-66532.05</v>
      </c>
      <c r="AV78" s="4">
        <v>121676.35</v>
      </c>
      <c r="AW78" s="4">
        <v>271631.65000000002</v>
      </c>
      <c r="AX78" s="4">
        <v>10577.2</v>
      </c>
      <c r="AY78" s="4">
        <v>20567.45</v>
      </c>
      <c r="AZ78" s="4">
        <v>333389.45</v>
      </c>
      <c r="BA78" s="4">
        <v>13071.35</v>
      </c>
      <c r="BB78" s="4">
        <v>590684</v>
      </c>
      <c r="BC78" s="4">
        <v>1833.95</v>
      </c>
      <c r="BD78" s="4">
        <v>3114215.25</v>
      </c>
      <c r="BE78" s="4">
        <v>54685.45</v>
      </c>
      <c r="BF78" s="4">
        <f t="shared" si="48"/>
        <v>27763214.739999995</v>
      </c>
      <c r="BG78" s="4">
        <f t="shared" si="49"/>
        <v>9419045.5999999978</v>
      </c>
      <c r="BH78" s="4">
        <f t="shared" si="50"/>
        <v>9911869.1000000015</v>
      </c>
      <c r="BI78" s="4">
        <f t="shared" si="51"/>
        <v>8432300.040000001</v>
      </c>
    </row>
    <row r="79" spans="1:61" x14ac:dyDescent="0.3">
      <c r="C79">
        <v>402</v>
      </c>
      <c r="D79" t="s">
        <v>140</v>
      </c>
      <c r="E79" s="4">
        <v>731404.75</v>
      </c>
      <c r="F79" s="4">
        <v>193083.3</v>
      </c>
      <c r="G79" s="4">
        <v>125370.05</v>
      </c>
      <c r="H79" s="4">
        <v>117300.25</v>
      </c>
      <c r="I79" s="4">
        <v>1155162.8500000001</v>
      </c>
      <c r="J79" s="4">
        <v>858889.8</v>
      </c>
      <c r="K79" s="4">
        <v>603788.86</v>
      </c>
      <c r="L79" s="4">
        <v>4805039.6500000004</v>
      </c>
      <c r="M79" s="4">
        <v>306027</v>
      </c>
      <c r="N79" s="4">
        <v>3577.35</v>
      </c>
      <c r="O79" s="4">
        <v>2065244.6</v>
      </c>
      <c r="P79" s="4">
        <v>201596.2</v>
      </c>
      <c r="Q79" s="4">
        <v>25861.599999999999</v>
      </c>
      <c r="R79" s="4">
        <v>129743.5</v>
      </c>
      <c r="S79" s="4">
        <v>112995.25</v>
      </c>
      <c r="T79" s="4">
        <v>165077.04999999999</v>
      </c>
      <c r="U79" s="4">
        <v>68771.95</v>
      </c>
      <c r="V79" s="4">
        <v>108644.1</v>
      </c>
      <c r="W79" s="4">
        <v>981292.05</v>
      </c>
      <c r="X79" s="4">
        <v>88712.95</v>
      </c>
      <c r="Y79" s="4">
        <v>309706.15000000002</v>
      </c>
      <c r="Z79" s="4">
        <v>384754.9</v>
      </c>
      <c r="AA79" s="4">
        <v>57724.800000000003</v>
      </c>
      <c r="AB79" s="4">
        <v>53504.7</v>
      </c>
      <c r="AC79" s="4">
        <v>115397.1</v>
      </c>
      <c r="AD79" s="4">
        <v>189921.65</v>
      </c>
      <c r="AE79" s="4">
        <v>163073.15</v>
      </c>
      <c r="AF79" s="4">
        <v>175788.1</v>
      </c>
      <c r="AG79" s="4">
        <v>779451.25</v>
      </c>
      <c r="AH79" s="4">
        <v>747954.45</v>
      </c>
      <c r="AI79" s="4">
        <v>49796.55</v>
      </c>
      <c r="AJ79" s="4">
        <v>90667.65</v>
      </c>
      <c r="AK79" s="4">
        <v>588045.05000000005</v>
      </c>
      <c r="AL79" s="4">
        <v>379495.95</v>
      </c>
      <c r="AM79" s="4">
        <v>399385.15</v>
      </c>
      <c r="AN79" s="4">
        <v>67149.3</v>
      </c>
      <c r="AO79" s="4">
        <v>483487.25</v>
      </c>
      <c r="AP79" s="4">
        <v>226397.98</v>
      </c>
      <c r="AQ79" s="4">
        <v>266250.5</v>
      </c>
      <c r="AR79" s="4">
        <v>815220.25</v>
      </c>
      <c r="AS79" s="4">
        <v>279977.3</v>
      </c>
      <c r="AT79" s="4">
        <v>325815.2</v>
      </c>
      <c r="AU79" s="4">
        <v>121529.85</v>
      </c>
      <c r="AV79" s="4">
        <v>863280.8</v>
      </c>
      <c r="AW79" s="4">
        <v>262032.55</v>
      </c>
      <c r="AX79" s="4">
        <v>59010</v>
      </c>
      <c r="AY79" s="4">
        <v>118839.75</v>
      </c>
      <c r="AZ79" s="4">
        <v>453599.75</v>
      </c>
      <c r="BA79" s="4">
        <v>150432.65</v>
      </c>
      <c r="BB79" s="4">
        <v>412332.79</v>
      </c>
      <c r="BC79" s="4">
        <v>31918.1</v>
      </c>
      <c r="BD79" s="4">
        <v>2493852.5499999998</v>
      </c>
      <c r="BE79" s="4">
        <v>257679.8</v>
      </c>
      <c r="BF79" s="4">
        <f t="shared" si="48"/>
        <v>25021056.080000002</v>
      </c>
      <c r="BG79" s="4">
        <f t="shared" si="49"/>
        <v>12758870.159999998</v>
      </c>
      <c r="BH79" s="4">
        <f t="shared" si="50"/>
        <v>3206453.4</v>
      </c>
      <c r="BI79" s="4">
        <f t="shared" si="51"/>
        <v>9055732.5199999996</v>
      </c>
    </row>
    <row r="80" spans="1:61" x14ac:dyDescent="0.3">
      <c r="C80">
        <v>403</v>
      </c>
      <c r="D80" t="s">
        <v>141</v>
      </c>
      <c r="E80" s="4">
        <v>13587.55</v>
      </c>
      <c r="F80" s="4">
        <v>4898</v>
      </c>
      <c r="G80" s="4">
        <v>4732</v>
      </c>
      <c r="H80" s="4">
        <v>3160</v>
      </c>
      <c r="I80" s="4">
        <v>51566.05</v>
      </c>
      <c r="J80" s="4">
        <v>15419.8</v>
      </c>
      <c r="K80" s="4">
        <v>16178.05</v>
      </c>
      <c r="L80" s="4">
        <v>91316.45</v>
      </c>
      <c r="M80" s="4">
        <v>5524.9</v>
      </c>
      <c r="N80" s="4">
        <v>14877.07</v>
      </c>
      <c r="O80" s="4">
        <v>51604.800000000003</v>
      </c>
      <c r="P80" s="4">
        <v>3260</v>
      </c>
      <c r="Q80" s="4">
        <v>4068.6</v>
      </c>
      <c r="R80" s="4">
        <v>16260.75</v>
      </c>
      <c r="S80" s="4">
        <v>11487.2</v>
      </c>
      <c r="T80" s="4">
        <v>3130</v>
      </c>
      <c r="U80" s="4">
        <v>11508.2</v>
      </c>
      <c r="V80" s="4">
        <v>8656.6</v>
      </c>
      <c r="W80" s="4">
        <v>42506.25</v>
      </c>
      <c r="X80" s="4">
        <v>32360</v>
      </c>
      <c r="Y80" s="4">
        <v>15269.4</v>
      </c>
      <c r="Z80" s="4">
        <v>10205.75</v>
      </c>
      <c r="AA80" s="4">
        <v>10263.700000000001</v>
      </c>
      <c r="AB80" s="4">
        <v>3318</v>
      </c>
      <c r="AC80" s="4">
        <v>8667.4</v>
      </c>
      <c r="AD80" s="4">
        <v>15981.4</v>
      </c>
      <c r="AE80" s="4">
        <v>31411.4</v>
      </c>
      <c r="AF80" s="4">
        <v>8759.6</v>
      </c>
      <c r="AG80" s="4">
        <v>22440.95</v>
      </c>
      <c r="AH80" s="4">
        <v>82640</v>
      </c>
      <c r="AI80" s="4">
        <v>8169.8</v>
      </c>
      <c r="AJ80" s="4">
        <v>41681.199999999997</v>
      </c>
      <c r="AK80" s="4">
        <v>9585</v>
      </c>
      <c r="AL80" s="4">
        <v>50310</v>
      </c>
      <c r="AM80" s="4">
        <v>22629.55</v>
      </c>
      <c r="AN80" s="4">
        <v>4583.2</v>
      </c>
      <c r="AO80" s="4">
        <v>2336.4</v>
      </c>
      <c r="AP80" s="4">
        <v>12016.8</v>
      </c>
      <c r="AQ80" s="4">
        <v>7929.4</v>
      </c>
      <c r="AR80" s="4">
        <v>118075.55</v>
      </c>
      <c r="AS80" s="4">
        <v>6487.8</v>
      </c>
      <c r="AT80" s="4">
        <v>7636</v>
      </c>
      <c r="AU80" s="4">
        <v>4218</v>
      </c>
      <c r="AV80" s="4">
        <v>6438.6</v>
      </c>
      <c r="AW80" s="4">
        <v>4069.2</v>
      </c>
      <c r="AX80" s="4">
        <v>810.3</v>
      </c>
      <c r="AY80" s="4">
        <v>6580</v>
      </c>
      <c r="AZ80" s="4">
        <v>23085.05</v>
      </c>
      <c r="BA80" s="4">
        <v>14094.55</v>
      </c>
      <c r="BB80" s="4">
        <v>60292.85</v>
      </c>
      <c r="BC80" s="4">
        <v>1650</v>
      </c>
      <c r="BD80" s="4">
        <v>48711.7</v>
      </c>
      <c r="BE80" s="4">
        <v>6126.8</v>
      </c>
      <c r="BF80" s="4">
        <f t="shared" si="48"/>
        <v>1082577.6200000003</v>
      </c>
      <c r="BG80" s="4">
        <f t="shared" si="49"/>
        <v>373742.27</v>
      </c>
      <c r="BH80" s="4">
        <f t="shared" si="50"/>
        <v>291168.59999999998</v>
      </c>
      <c r="BI80" s="4">
        <f t="shared" si="51"/>
        <v>417666.74999999994</v>
      </c>
    </row>
    <row r="81" spans="2:61" x14ac:dyDescent="0.3">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3">
      <c r="B82" s="96">
        <v>41</v>
      </c>
      <c r="C82" s="96"/>
      <c r="D82" s="96" t="s">
        <v>142</v>
      </c>
      <c r="E82" s="91">
        <f>E83+E84+E85+E86</f>
        <v>0</v>
      </c>
      <c r="F82" s="91">
        <f t="shared" ref="F82:BI82" si="52">F83+F84+F85+F86</f>
        <v>11528.7</v>
      </c>
      <c r="G82" s="91">
        <f t="shared" si="52"/>
        <v>0</v>
      </c>
      <c r="H82" s="91">
        <f t="shared" si="52"/>
        <v>0</v>
      </c>
      <c r="I82" s="91">
        <f t="shared" si="52"/>
        <v>636.75</v>
      </c>
      <c r="J82" s="91">
        <f t="shared" si="52"/>
        <v>0</v>
      </c>
      <c r="K82" s="91">
        <f t="shared" si="52"/>
        <v>0</v>
      </c>
      <c r="L82" s="91">
        <f t="shared" si="52"/>
        <v>0</v>
      </c>
      <c r="M82" s="91">
        <f t="shared" si="52"/>
        <v>46976.2</v>
      </c>
      <c r="N82" s="91">
        <f t="shared" si="52"/>
        <v>0</v>
      </c>
      <c r="O82" s="91">
        <f t="shared" si="52"/>
        <v>47138.7</v>
      </c>
      <c r="P82" s="91">
        <f t="shared" si="52"/>
        <v>10735</v>
      </c>
      <c r="Q82" s="91">
        <f t="shared" si="52"/>
        <v>0</v>
      </c>
      <c r="R82" s="91">
        <f t="shared" si="52"/>
        <v>0</v>
      </c>
      <c r="S82" s="91">
        <f t="shared" si="52"/>
        <v>0</v>
      </c>
      <c r="T82" s="91">
        <f t="shared" si="52"/>
        <v>0</v>
      </c>
      <c r="U82" s="91">
        <f t="shared" si="52"/>
        <v>0</v>
      </c>
      <c r="V82" s="91">
        <f t="shared" si="52"/>
        <v>0</v>
      </c>
      <c r="W82" s="91">
        <f t="shared" si="52"/>
        <v>7233</v>
      </c>
      <c r="X82" s="91">
        <f t="shared" si="52"/>
        <v>242</v>
      </c>
      <c r="Y82" s="91">
        <f t="shared" si="52"/>
        <v>0</v>
      </c>
      <c r="Z82" s="91">
        <f t="shared" si="52"/>
        <v>245833.5</v>
      </c>
      <c r="AA82" s="91">
        <f t="shared" si="52"/>
        <v>4083.3</v>
      </c>
      <c r="AB82" s="91">
        <f t="shared" si="52"/>
        <v>292</v>
      </c>
      <c r="AC82" s="91">
        <f t="shared" si="52"/>
        <v>0</v>
      </c>
      <c r="AD82" s="91">
        <f t="shared" si="52"/>
        <v>0</v>
      </c>
      <c r="AE82" s="91">
        <f t="shared" si="52"/>
        <v>0</v>
      </c>
      <c r="AF82" s="91">
        <f t="shared" si="52"/>
        <v>16727</v>
      </c>
      <c r="AG82" s="91">
        <f t="shared" si="52"/>
        <v>3000</v>
      </c>
      <c r="AH82" s="91">
        <f t="shared" si="52"/>
        <v>690</v>
      </c>
      <c r="AI82" s="91">
        <f t="shared" si="52"/>
        <v>32507.75</v>
      </c>
      <c r="AJ82" s="91">
        <f t="shared" si="52"/>
        <v>5400</v>
      </c>
      <c r="AK82" s="91">
        <f t="shared" si="52"/>
        <v>75969.52</v>
      </c>
      <c r="AL82" s="91">
        <f t="shared" si="52"/>
        <v>0</v>
      </c>
      <c r="AM82" s="91">
        <f t="shared" si="52"/>
        <v>0</v>
      </c>
      <c r="AN82" s="91">
        <f t="shared" si="52"/>
        <v>0</v>
      </c>
      <c r="AO82" s="91">
        <f t="shared" si="52"/>
        <v>0</v>
      </c>
      <c r="AP82" s="91">
        <f t="shared" si="52"/>
        <v>0</v>
      </c>
      <c r="AQ82" s="91">
        <f t="shared" si="52"/>
        <v>0</v>
      </c>
      <c r="AR82" s="91">
        <f t="shared" si="52"/>
        <v>19774</v>
      </c>
      <c r="AS82" s="91">
        <f t="shared" si="52"/>
        <v>352</v>
      </c>
      <c r="AT82" s="91">
        <f t="shared" si="52"/>
        <v>75870.45</v>
      </c>
      <c r="AU82" s="91">
        <f t="shared" si="52"/>
        <v>0</v>
      </c>
      <c r="AV82" s="91">
        <f t="shared" si="52"/>
        <v>8500</v>
      </c>
      <c r="AW82" s="91">
        <f t="shared" si="52"/>
        <v>0</v>
      </c>
      <c r="AX82" s="91">
        <f t="shared" si="52"/>
        <v>8070</v>
      </c>
      <c r="AY82" s="91">
        <f t="shared" si="52"/>
        <v>0</v>
      </c>
      <c r="AZ82" s="91">
        <f t="shared" si="52"/>
        <v>3278.4</v>
      </c>
      <c r="BA82" s="91">
        <f t="shared" si="52"/>
        <v>0</v>
      </c>
      <c r="BB82" s="91">
        <f t="shared" si="52"/>
        <v>84391.4</v>
      </c>
      <c r="BC82" s="91">
        <f t="shared" si="52"/>
        <v>0</v>
      </c>
      <c r="BD82" s="91">
        <f t="shared" si="52"/>
        <v>305623</v>
      </c>
      <c r="BE82" s="91">
        <f t="shared" si="52"/>
        <v>0</v>
      </c>
      <c r="BF82" s="91">
        <f t="shared" si="52"/>
        <v>1014852.6699999999</v>
      </c>
      <c r="BG82" s="91">
        <f t="shared" si="52"/>
        <v>124248.34999999999</v>
      </c>
      <c r="BH82" s="91">
        <f t="shared" si="52"/>
        <v>308775.55</v>
      </c>
      <c r="BI82" s="91">
        <f t="shared" si="52"/>
        <v>581828.77</v>
      </c>
    </row>
    <row r="83" spans="2:61" x14ac:dyDescent="0.3">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3">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3">
      <c r="C85">
        <v>412</v>
      </c>
      <c r="D85" t="s">
        <v>145</v>
      </c>
      <c r="E85" s="4">
        <v>0</v>
      </c>
      <c r="F85" s="4">
        <v>11528.7</v>
      </c>
      <c r="G85" s="4">
        <v>0</v>
      </c>
      <c r="H85" s="4">
        <v>0</v>
      </c>
      <c r="I85" s="4">
        <v>636.75</v>
      </c>
      <c r="J85" s="4">
        <v>0</v>
      </c>
      <c r="K85" s="4">
        <v>0</v>
      </c>
      <c r="L85" s="4">
        <v>0</v>
      </c>
      <c r="M85" s="4">
        <v>46976.2</v>
      </c>
      <c r="N85" s="4">
        <v>0</v>
      </c>
      <c r="O85" s="4">
        <v>47138.7</v>
      </c>
      <c r="P85" s="4">
        <v>10735</v>
      </c>
      <c r="Q85" s="4">
        <v>0</v>
      </c>
      <c r="R85" s="4">
        <v>0</v>
      </c>
      <c r="S85" s="4">
        <v>0</v>
      </c>
      <c r="T85" s="4">
        <v>0</v>
      </c>
      <c r="U85" s="4">
        <v>0</v>
      </c>
      <c r="V85" s="4">
        <v>0</v>
      </c>
      <c r="W85" s="4">
        <v>7233</v>
      </c>
      <c r="X85" s="4">
        <v>242</v>
      </c>
      <c r="Y85" s="4">
        <v>0</v>
      </c>
      <c r="Z85" s="4">
        <v>245833.5</v>
      </c>
      <c r="AA85" s="4">
        <v>4083.3</v>
      </c>
      <c r="AB85" s="4">
        <v>292</v>
      </c>
      <c r="AC85" s="4">
        <v>0</v>
      </c>
      <c r="AD85" s="4">
        <v>0</v>
      </c>
      <c r="AE85" s="4">
        <v>0</v>
      </c>
      <c r="AF85" s="4">
        <v>16727</v>
      </c>
      <c r="AG85" s="4">
        <v>3000</v>
      </c>
      <c r="AH85" s="4">
        <v>690</v>
      </c>
      <c r="AI85" s="4">
        <v>32507.75</v>
      </c>
      <c r="AJ85" s="4">
        <v>5400</v>
      </c>
      <c r="AK85" s="4">
        <v>75969.52</v>
      </c>
      <c r="AL85" s="4">
        <v>0</v>
      </c>
      <c r="AM85" s="4">
        <v>0</v>
      </c>
      <c r="AN85" s="4">
        <v>0</v>
      </c>
      <c r="AO85" s="4">
        <v>0</v>
      </c>
      <c r="AP85" s="4">
        <v>0</v>
      </c>
      <c r="AQ85" s="4">
        <v>0</v>
      </c>
      <c r="AR85" s="4">
        <v>19774</v>
      </c>
      <c r="AS85" s="4">
        <v>352</v>
      </c>
      <c r="AT85" s="4">
        <v>75870.45</v>
      </c>
      <c r="AU85" s="4">
        <v>0</v>
      </c>
      <c r="AV85" s="4">
        <v>8500</v>
      </c>
      <c r="AW85" s="4">
        <v>0</v>
      </c>
      <c r="AX85" s="4">
        <v>8070</v>
      </c>
      <c r="AY85" s="4">
        <v>0</v>
      </c>
      <c r="AZ85" s="4">
        <v>3278.4</v>
      </c>
      <c r="BA85" s="4">
        <v>0</v>
      </c>
      <c r="BB85" s="4">
        <v>84391.4</v>
      </c>
      <c r="BC85" s="4">
        <v>0</v>
      </c>
      <c r="BD85" s="4">
        <v>305623</v>
      </c>
      <c r="BE85" s="4">
        <v>0</v>
      </c>
      <c r="BF85" s="4">
        <f t="shared" si="53"/>
        <v>1014852.6699999999</v>
      </c>
      <c r="BG85" s="4">
        <f t="shared" si="54"/>
        <v>124248.34999999999</v>
      </c>
      <c r="BH85" s="4">
        <f t="shared" si="55"/>
        <v>308775.55</v>
      </c>
      <c r="BI85" s="4">
        <f t="shared" si="56"/>
        <v>581828.77</v>
      </c>
    </row>
    <row r="86" spans="2:61" x14ac:dyDescent="0.3">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3">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3">
      <c r="B88" s="96">
        <v>42</v>
      </c>
      <c r="C88" s="96"/>
      <c r="D88" s="96" t="s">
        <v>147</v>
      </c>
      <c r="E88" s="91">
        <f>E89+E90+E91+E92+E93+E94+E95+E96+E97</f>
        <v>643920.7300000001</v>
      </c>
      <c r="F88" s="91">
        <f t="shared" ref="F88:BI88" si="57">F89+F90+F91+F92+F93+F94+F95+F96+F97</f>
        <v>210150.25</v>
      </c>
      <c r="G88" s="91">
        <f t="shared" si="57"/>
        <v>179660.35</v>
      </c>
      <c r="H88" s="91">
        <f t="shared" si="57"/>
        <v>194525.8</v>
      </c>
      <c r="I88" s="91">
        <f t="shared" si="57"/>
        <v>3219220.6899999995</v>
      </c>
      <c r="J88" s="91">
        <f t="shared" si="57"/>
        <v>2633199.91</v>
      </c>
      <c r="K88" s="91">
        <f t="shared" si="57"/>
        <v>1989720.58</v>
      </c>
      <c r="L88" s="91">
        <f t="shared" si="57"/>
        <v>27309855.420000002</v>
      </c>
      <c r="M88" s="91">
        <f t="shared" si="57"/>
        <v>2122949.6799999997</v>
      </c>
      <c r="N88" s="91">
        <f t="shared" si="57"/>
        <v>42041.549999999996</v>
      </c>
      <c r="O88" s="91">
        <f t="shared" si="57"/>
        <v>4069066.0599999996</v>
      </c>
      <c r="P88" s="91">
        <f t="shared" si="57"/>
        <v>207568.41999999998</v>
      </c>
      <c r="Q88" s="91">
        <f t="shared" si="57"/>
        <v>47879.95</v>
      </c>
      <c r="R88" s="91">
        <f t="shared" si="57"/>
        <v>255612.28</v>
      </c>
      <c r="S88" s="91">
        <f t="shared" si="57"/>
        <v>329494.60000000003</v>
      </c>
      <c r="T88" s="91">
        <f t="shared" si="57"/>
        <v>745643.19000000006</v>
      </c>
      <c r="U88" s="91">
        <f t="shared" si="57"/>
        <v>203067.60999999996</v>
      </c>
      <c r="V88" s="91">
        <f t="shared" si="57"/>
        <v>250500.88999999998</v>
      </c>
      <c r="W88" s="91">
        <f t="shared" si="57"/>
        <v>1568564.23</v>
      </c>
      <c r="X88" s="91">
        <f t="shared" si="57"/>
        <v>386642.25</v>
      </c>
      <c r="Y88" s="91">
        <f t="shared" si="57"/>
        <v>1022124.7</v>
      </c>
      <c r="Z88" s="91">
        <f t="shared" si="57"/>
        <v>1774692.73</v>
      </c>
      <c r="AA88" s="91">
        <f t="shared" si="57"/>
        <v>75957.600000000006</v>
      </c>
      <c r="AB88" s="91">
        <f t="shared" si="57"/>
        <v>185752.85000000003</v>
      </c>
      <c r="AC88" s="91">
        <f t="shared" si="57"/>
        <v>637460.79999999993</v>
      </c>
      <c r="AD88" s="91">
        <f t="shared" si="57"/>
        <v>680213.42999999993</v>
      </c>
      <c r="AE88" s="91">
        <f t="shared" si="57"/>
        <v>543537.69000000006</v>
      </c>
      <c r="AF88" s="91">
        <f t="shared" si="57"/>
        <v>700074.59000000008</v>
      </c>
      <c r="AG88" s="91">
        <f t="shared" si="57"/>
        <v>1454457.96</v>
      </c>
      <c r="AH88" s="91">
        <f t="shared" si="57"/>
        <v>2309308.9099999997</v>
      </c>
      <c r="AI88" s="91">
        <f t="shared" si="57"/>
        <v>275930.5</v>
      </c>
      <c r="AJ88" s="91">
        <f t="shared" si="57"/>
        <v>125488.20000000001</v>
      </c>
      <c r="AK88" s="91">
        <f t="shared" si="57"/>
        <v>1246864.6099999999</v>
      </c>
      <c r="AL88" s="91">
        <f t="shared" si="57"/>
        <v>1042734.08</v>
      </c>
      <c r="AM88" s="91">
        <f t="shared" si="57"/>
        <v>622359.74999999988</v>
      </c>
      <c r="AN88" s="91">
        <f t="shared" si="57"/>
        <v>128197.38</v>
      </c>
      <c r="AO88" s="91">
        <f t="shared" si="57"/>
        <v>1116226.3400000001</v>
      </c>
      <c r="AP88" s="91">
        <f t="shared" si="57"/>
        <v>788935.25</v>
      </c>
      <c r="AQ88" s="91">
        <f t="shared" si="57"/>
        <v>374163.95</v>
      </c>
      <c r="AR88" s="91">
        <f t="shared" si="57"/>
        <v>852155.3</v>
      </c>
      <c r="AS88" s="91">
        <f t="shared" si="57"/>
        <v>609374.97</v>
      </c>
      <c r="AT88" s="91">
        <f t="shared" si="57"/>
        <v>673646.35000000009</v>
      </c>
      <c r="AU88" s="91">
        <f t="shared" si="57"/>
        <v>299020.25</v>
      </c>
      <c r="AV88" s="91">
        <f t="shared" si="57"/>
        <v>1244153.0999999999</v>
      </c>
      <c r="AW88" s="91">
        <f t="shared" si="57"/>
        <v>480500.91000000003</v>
      </c>
      <c r="AX88" s="91">
        <f t="shared" si="57"/>
        <v>154039.88</v>
      </c>
      <c r="AY88" s="91">
        <f t="shared" si="57"/>
        <v>231811.59999999998</v>
      </c>
      <c r="AZ88" s="91">
        <f t="shared" si="57"/>
        <v>860796.66999999993</v>
      </c>
      <c r="BA88" s="91">
        <f t="shared" si="57"/>
        <v>321768</v>
      </c>
      <c r="BB88" s="91">
        <f t="shared" si="57"/>
        <v>930689.87000000011</v>
      </c>
      <c r="BC88" s="91">
        <f t="shared" si="57"/>
        <v>144048.80000000002</v>
      </c>
      <c r="BD88" s="91">
        <f t="shared" si="57"/>
        <v>5589929.2699999996</v>
      </c>
      <c r="BE88" s="91">
        <f t="shared" si="57"/>
        <v>469995.5</v>
      </c>
      <c r="BF88" s="91">
        <f t="shared" si="57"/>
        <v>74575696.230000019</v>
      </c>
      <c r="BG88" s="91">
        <f t="shared" si="57"/>
        <v>46222642.189999998</v>
      </c>
      <c r="BH88" s="91">
        <f t="shared" si="57"/>
        <v>10171642.210000001</v>
      </c>
      <c r="BI88" s="91">
        <f t="shared" si="57"/>
        <v>18181411.829999998</v>
      </c>
    </row>
    <row r="89" spans="2:61" x14ac:dyDescent="0.3">
      <c r="C89">
        <v>420</v>
      </c>
      <c r="D89" t="s">
        <v>148</v>
      </c>
      <c r="E89" s="4">
        <v>36109.75</v>
      </c>
      <c r="F89" s="4">
        <v>8261.65</v>
      </c>
      <c r="G89" s="4">
        <v>21451.35</v>
      </c>
      <c r="H89" s="4">
        <v>15262.8</v>
      </c>
      <c r="I89" s="4">
        <v>158088.75</v>
      </c>
      <c r="J89" s="4">
        <v>154651.48000000001</v>
      </c>
      <c r="K89" s="4">
        <v>136765.45000000001</v>
      </c>
      <c r="L89" s="4">
        <v>539040.53</v>
      </c>
      <c r="M89" s="4">
        <v>56180.45</v>
      </c>
      <c r="N89" s="4">
        <v>1195.2</v>
      </c>
      <c r="O89" s="4">
        <v>284879.84999999998</v>
      </c>
      <c r="P89" s="4">
        <v>19035.45</v>
      </c>
      <c r="Q89" s="4">
        <v>2352.4499999999998</v>
      </c>
      <c r="R89" s="4">
        <v>16950.099999999999</v>
      </c>
      <c r="S89" s="4">
        <v>10357.1</v>
      </c>
      <c r="T89" s="4">
        <v>35412.699999999997</v>
      </c>
      <c r="U89" s="4">
        <v>12327.05</v>
      </c>
      <c r="V89" s="4">
        <v>19761.25</v>
      </c>
      <c r="W89" s="4">
        <v>113300.6</v>
      </c>
      <c r="X89" s="4">
        <v>7221.3</v>
      </c>
      <c r="Y89" s="4">
        <v>56342.95</v>
      </c>
      <c r="Z89" s="4">
        <v>63251.45</v>
      </c>
      <c r="AA89" s="4">
        <v>1766.55</v>
      </c>
      <c r="AB89" s="4">
        <v>3276.4</v>
      </c>
      <c r="AC89" s="4">
        <v>15965.8</v>
      </c>
      <c r="AD89" s="4">
        <v>42841.7</v>
      </c>
      <c r="AE89" s="4">
        <v>24656.65</v>
      </c>
      <c r="AF89" s="4">
        <v>12013.15</v>
      </c>
      <c r="AG89" s="4">
        <v>90718.65</v>
      </c>
      <c r="AH89" s="4">
        <v>112526.9</v>
      </c>
      <c r="AI89" s="4">
        <v>6235.25</v>
      </c>
      <c r="AJ89" s="4">
        <v>3025.75</v>
      </c>
      <c r="AK89" s="4">
        <v>72718.75</v>
      </c>
      <c r="AL89" s="4">
        <v>23870.400000000001</v>
      </c>
      <c r="AM89" s="4">
        <v>25214.55</v>
      </c>
      <c r="AN89" s="4">
        <v>3663.65</v>
      </c>
      <c r="AO89" s="4">
        <v>35627.199999999997</v>
      </c>
      <c r="AP89" s="4">
        <v>14415.95</v>
      </c>
      <c r="AQ89" s="4">
        <v>18640.05</v>
      </c>
      <c r="AR89" s="4">
        <v>32366.65</v>
      </c>
      <c r="AS89" s="4">
        <v>30256</v>
      </c>
      <c r="AT89" s="4">
        <v>43615.5</v>
      </c>
      <c r="AU89" s="4">
        <v>9006.9500000000007</v>
      </c>
      <c r="AV89" s="4">
        <v>0</v>
      </c>
      <c r="AW89" s="4">
        <v>20255.349999999999</v>
      </c>
      <c r="AX89" s="4">
        <v>5707.55</v>
      </c>
      <c r="AY89" s="4">
        <v>7683.05</v>
      </c>
      <c r="AZ89" s="4">
        <v>55693.75</v>
      </c>
      <c r="BA89" s="4">
        <v>7979.7</v>
      </c>
      <c r="BB89" s="4">
        <v>27161.05</v>
      </c>
      <c r="BC89" s="4">
        <v>5103.55</v>
      </c>
      <c r="BD89" s="4">
        <v>229361.65</v>
      </c>
      <c r="BE89" s="4">
        <v>13147.5</v>
      </c>
      <c r="BF89" s="4">
        <f t="shared" ref="BF89:BF97" si="58">SUM(E89:BE89)</f>
        <v>2762715.2599999988</v>
      </c>
      <c r="BG89" s="4">
        <f t="shared" ref="BG89:BG97" si="59">SUM(E89:W89)</f>
        <v>1641383.96</v>
      </c>
      <c r="BH89" s="4">
        <f t="shared" ref="BH89:BH97" si="60">SUM(X89:AJ89)</f>
        <v>439842.5</v>
      </c>
      <c r="BI89" s="4">
        <f t="shared" ref="BI89:BI97" si="61">SUM(AK89:BE89)</f>
        <v>681488.79999999993</v>
      </c>
    </row>
    <row r="90" spans="2:61" x14ac:dyDescent="0.3">
      <c r="C90">
        <v>421</v>
      </c>
      <c r="D90" t="s">
        <v>149</v>
      </c>
      <c r="E90" s="4">
        <v>11893.75</v>
      </c>
      <c r="F90" s="4">
        <v>4675.25</v>
      </c>
      <c r="G90" s="4">
        <v>2925.5</v>
      </c>
      <c r="H90" s="4">
        <v>7180.8</v>
      </c>
      <c r="I90" s="4">
        <v>81586.36</v>
      </c>
      <c r="J90" s="4">
        <v>35181.050000000003</v>
      </c>
      <c r="K90" s="4">
        <v>32579.88</v>
      </c>
      <c r="L90" s="4">
        <v>1059550.73</v>
      </c>
      <c r="M90" s="4">
        <v>13959.75</v>
      </c>
      <c r="N90" s="4">
        <v>-166</v>
      </c>
      <c r="O90" s="4">
        <v>159066.54999999999</v>
      </c>
      <c r="P90" s="4">
        <v>12977.6</v>
      </c>
      <c r="Q90" s="4">
        <v>4100.3999999999996</v>
      </c>
      <c r="R90" s="4">
        <v>27350.75</v>
      </c>
      <c r="S90" s="4">
        <v>6664.9</v>
      </c>
      <c r="T90" s="4">
        <v>6021.05</v>
      </c>
      <c r="U90" s="4">
        <v>2590</v>
      </c>
      <c r="V90" s="4">
        <v>8139.25</v>
      </c>
      <c r="W90" s="4">
        <v>40907.199999999997</v>
      </c>
      <c r="X90" s="4">
        <v>4015.25</v>
      </c>
      <c r="Y90" s="4">
        <v>13821.5</v>
      </c>
      <c r="Z90" s="4">
        <v>13272.53</v>
      </c>
      <c r="AA90" s="4">
        <v>0</v>
      </c>
      <c r="AB90" s="4">
        <v>1050</v>
      </c>
      <c r="AC90" s="4">
        <v>71400</v>
      </c>
      <c r="AD90" s="4">
        <v>64334.2</v>
      </c>
      <c r="AE90" s="4">
        <v>7618.8</v>
      </c>
      <c r="AF90" s="4">
        <v>9542.5</v>
      </c>
      <c r="AG90" s="4">
        <v>22085.85</v>
      </c>
      <c r="AH90" s="4">
        <v>23329.25</v>
      </c>
      <c r="AI90" s="4">
        <v>1280.05</v>
      </c>
      <c r="AJ90" s="4">
        <v>1241.75</v>
      </c>
      <c r="AK90" s="4">
        <v>56489.45</v>
      </c>
      <c r="AL90" s="4">
        <v>10187.6</v>
      </c>
      <c r="AM90" s="4">
        <v>10436.25</v>
      </c>
      <c r="AN90" s="4">
        <v>3328.2</v>
      </c>
      <c r="AO90" s="4">
        <v>16483.759999999998</v>
      </c>
      <c r="AP90" s="4">
        <v>8007.85</v>
      </c>
      <c r="AQ90" s="4">
        <v>6955.6</v>
      </c>
      <c r="AR90" s="4">
        <v>19403.900000000001</v>
      </c>
      <c r="AS90" s="4">
        <v>3582.35</v>
      </c>
      <c r="AT90" s="4">
        <v>9053.5</v>
      </c>
      <c r="AU90" s="4">
        <v>4065.6</v>
      </c>
      <c r="AV90" s="4">
        <v>35743.15</v>
      </c>
      <c r="AW90" s="4">
        <v>12367.36</v>
      </c>
      <c r="AX90" s="4">
        <v>5076.8</v>
      </c>
      <c r="AY90" s="4">
        <v>1001.25</v>
      </c>
      <c r="AZ90" s="4">
        <v>23381.27</v>
      </c>
      <c r="BA90" s="4">
        <v>8626.0499999999993</v>
      </c>
      <c r="BB90" s="4">
        <v>16007.91</v>
      </c>
      <c r="BC90" s="4">
        <v>-1602.45</v>
      </c>
      <c r="BD90" s="4">
        <v>339774.65</v>
      </c>
      <c r="BE90" s="4">
        <v>17011.7</v>
      </c>
      <c r="BF90" s="4">
        <f t="shared" si="58"/>
        <v>2355558.2000000007</v>
      </c>
      <c r="BG90" s="4">
        <f t="shared" si="59"/>
        <v>1517184.77</v>
      </c>
      <c r="BH90" s="4">
        <f t="shared" si="60"/>
        <v>232991.67999999996</v>
      </c>
      <c r="BI90" s="4">
        <f t="shared" si="61"/>
        <v>605381.75</v>
      </c>
    </row>
    <row r="91" spans="2:61" x14ac:dyDescent="0.3">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3">
      <c r="C92">
        <v>423</v>
      </c>
      <c r="D92" t="s">
        <v>151</v>
      </c>
      <c r="E92" s="4">
        <v>4080</v>
      </c>
      <c r="F92" s="4">
        <v>0</v>
      </c>
      <c r="G92" s="4">
        <v>0</v>
      </c>
      <c r="H92" s="4">
        <v>0</v>
      </c>
      <c r="I92" s="4">
        <v>10015</v>
      </c>
      <c r="J92" s="4">
        <v>0</v>
      </c>
      <c r="K92" s="4">
        <v>0</v>
      </c>
      <c r="L92" s="4">
        <v>37448.9</v>
      </c>
      <c r="M92" s="4">
        <v>0</v>
      </c>
      <c r="N92" s="4">
        <v>0</v>
      </c>
      <c r="O92" s="4">
        <v>0</v>
      </c>
      <c r="P92" s="4">
        <v>0</v>
      </c>
      <c r="Q92" s="4">
        <v>0</v>
      </c>
      <c r="R92" s="4">
        <v>0</v>
      </c>
      <c r="S92" s="4">
        <v>0</v>
      </c>
      <c r="T92" s="4">
        <v>0</v>
      </c>
      <c r="U92" s="4">
        <v>0</v>
      </c>
      <c r="V92" s="4">
        <v>7900</v>
      </c>
      <c r="W92" s="4">
        <v>9000</v>
      </c>
      <c r="X92" s="4">
        <v>36692.949999999997</v>
      </c>
      <c r="Y92" s="4">
        <v>0</v>
      </c>
      <c r="Z92" s="4">
        <v>341249.25</v>
      </c>
      <c r="AA92" s="4">
        <v>0</v>
      </c>
      <c r="AB92" s="4">
        <v>0</v>
      </c>
      <c r="AC92" s="4">
        <v>0</v>
      </c>
      <c r="AD92" s="4">
        <v>0</v>
      </c>
      <c r="AE92" s="4">
        <v>0</v>
      </c>
      <c r="AF92" s="4">
        <v>0</v>
      </c>
      <c r="AG92" s="4">
        <v>0</v>
      </c>
      <c r="AH92" s="4">
        <v>68081.25</v>
      </c>
      <c r="AI92" s="4">
        <v>0</v>
      </c>
      <c r="AJ92" s="4">
        <v>0</v>
      </c>
      <c r="AK92" s="4">
        <v>0</v>
      </c>
      <c r="AL92" s="4">
        <v>0</v>
      </c>
      <c r="AM92" s="4">
        <v>5340.55</v>
      </c>
      <c r="AN92" s="4">
        <v>0</v>
      </c>
      <c r="AO92" s="4">
        <v>0</v>
      </c>
      <c r="AP92" s="4">
        <v>0</v>
      </c>
      <c r="AQ92" s="4">
        <v>0</v>
      </c>
      <c r="AR92" s="4">
        <v>3598</v>
      </c>
      <c r="AS92" s="4">
        <v>58988.6</v>
      </c>
      <c r="AT92" s="4">
        <v>0</v>
      </c>
      <c r="AU92" s="4">
        <v>0</v>
      </c>
      <c r="AV92" s="4">
        <v>0</v>
      </c>
      <c r="AW92" s="4">
        <v>0</v>
      </c>
      <c r="AX92" s="4">
        <v>0</v>
      </c>
      <c r="AY92" s="4">
        <v>0</v>
      </c>
      <c r="AZ92" s="4">
        <v>0</v>
      </c>
      <c r="BA92" s="4">
        <v>7063.1</v>
      </c>
      <c r="BB92" s="4">
        <v>11935.95</v>
      </c>
      <c r="BC92" s="4">
        <v>0</v>
      </c>
      <c r="BD92" s="4">
        <v>79000</v>
      </c>
      <c r="BE92" s="4">
        <v>0</v>
      </c>
      <c r="BF92" s="4">
        <f t="shared" si="58"/>
        <v>680393.54999999993</v>
      </c>
      <c r="BG92" s="4">
        <f t="shared" si="59"/>
        <v>68443.899999999994</v>
      </c>
      <c r="BH92" s="4">
        <f t="shared" si="60"/>
        <v>446023.45</v>
      </c>
      <c r="BI92" s="4">
        <f t="shared" si="61"/>
        <v>165926.20000000001</v>
      </c>
    </row>
    <row r="93" spans="2:61" x14ac:dyDescent="0.3">
      <c r="C93">
        <v>424</v>
      </c>
      <c r="D93" t="s">
        <v>152</v>
      </c>
      <c r="E93" s="4">
        <v>544175.30000000005</v>
      </c>
      <c r="F93" s="4">
        <v>186332</v>
      </c>
      <c r="G93" s="4">
        <v>142499.20000000001</v>
      </c>
      <c r="H93" s="4">
        <v>135369.5</v>
      </c>
      <c r="I93" s="4">
        <v>2844792.63</v>
      </c>
      <c r="J93" s="4">
        <v>2379891.7000000002</v>
      </c>
      <c r="K93" s="4">
        <v>1431571.03</v>
      </c>
      <c r="L93" s="4">
        <v>24861771.059999999</v>
      </c>
      <c r="M93" s="4">
        <v>1946298.8</v>
      </c>
      <c r="N93" s="4">
        <v>41012.35</v>
      </c>
      <c r="O93" s="4">
        <v>3359835.15</v>
      </c>
      <c r="P93" s="4">
        <v>130197.3</v>
      </c>
      <c r="Q93" s="4">
        <v>38668.1</v>
      </c>
      <c r="R93" s="4">
        <v>151955.04999999999</v>
      </c>
      <c r="S93" s="4">
        <v>265638.2</v>
      </c>
      <c r="T93" s="4">
        <v>575014.9</v>
      </c>
      <c r="U93" s="4">
        <v>154405.04999999999</v>
      </c>
      <c r="V93" s="4">
        <v>160601.9</v>
      </c>
      <c r="W93" s="4">
        <v>1342279.7</v>
      </c>
      <c r="X93" s="4">
        <v>244300.85</v>
      </c>
      <c r="Y93" s="4">
        <v>863650.35</v>
      </c>
      <c r="Z93" s="4">
        <v>1172363.25</v>
      </c>
      <c r="AA93" s="4">
        <v>65360.25</v>
      </c>
      <c r="AB93" s="4">
        <v>101015.5</v>
      </c>
      <c r="AC93" s="4">
        <v>400716</v>
      </c>
      <c r="AD93" s="4">
        <v>459153.1</v>
      </c>
      <c r="AE93" s="4">
        <v>414284</v>
      </c>
      <c r="AF93" s="4">
        <v>386773.2</v>
      </c>
      <c r="AG93" s="4">
        <v>1178515.25</v>
      </c>
      <c r="AH93" s="4">
        <v>1850001.45</v>
      </c>
      <c r="AI93" s="4">
        <v>178297.35</v>
      </c>
      <c r="AJ93" s="4">
        <v>104812.35</v>
      </c>
      <c r="AK93" s="4">
        <v>928170.5</v>
      </c>
      <c r="AL93" s="4">
        <v>628294.94999999995</v>
      </c>
      <c r="AM93" s="4">
        <v>572524.69999999995</v>
      </c>
      <c r="AN93" s="4">
        <v>70870.2</v>
      </c>
      <c r="AO93" s="4">
        <v>1007023.93</v>
      </c>
      <c r="AP93" s="4">
        <v>525372.1</v>
      </c>
      <c r="AQ93" s="4">
        <v>310628.7</v>
      </c>
      <c r="AR93" s="4">
        <v>753975.95</v>
      </c>
      <c r="AS93" s="4">
        <v>356037.12</v>
      </c>
      <c r="AT93" s="4">
        <v>608693.15</v>
      </c>
      <c r="AU93" s="4">
        <v>213478.45</v>
      </c>
      <c r="AV93" s="4">
        <v>1186175.3</v>
      </c>
      <c r="AW93" s="4">
        <v>376501.65</v>
      </c>
      <c r="AX93" s="4">
        <v>97348.25</v>
      </c>
      <c r="AY93" s="4">
        <v>221905.3</v>
      </c>
      <c r="AZ93" s="4">
        <v>711569.35</v>
      </c>
      <c r="BA93" s="4">
        <v>282800.65000000002</v>
      </c>
      <c r="BB93" s="4">
        <v>829275.41</v>
      </c>
      <c r="BC93" s="4">
        <v>91285</v>
      </c>
      <c r="BD93" s="4">
        <v>4286693.6399999997</v>
      </c>
      <c r="BE93" s="4">
        <v>249738.95</v>
      </c>
      <c r="BF93" s="4">
        <f t="shared" si="58"/>
        <v>62419915.070000015</v>
      </c>
      <c r="BG93" s="4">
        <f t="shared" si="59"/>
        <v>40692308.919999994</v>
      </c>
      <c r="BH93" s="4">
        <f t="shared" si="60"/>
        <v>7419242.8999999994</v>
      </c>
      <c r="BI93" s="4">
        <f t="shared" si="61"/>
        <v>14308363.25</v>
      </c>
    </row>
    <row r="94" spans="2:61" x14ac:dyDescent="0.3">
      <c r="C94">
        <v>425</v>
      </c>
      <c r="D94" t="s">
        <v>153</v>
      </c>
      <c r="E94" s="4">
        <v>7424.65</v>
      </c>
      <c r="F94" s="4">
        <v>1896.85</v>
      </c>
      <c r="G94" s="4">
        <v>0</v>
      </c>
      <c r="H94" s="4">
        <v>0</v>
      </c>
      <c r="I94" s="4">
        <v>49352.9</v>
      </c>
      <c r="J94" s="4">
        <v>30055.3</v>
      </c>
      <c r="K94" s="4">
        <v>13407.6</v>
      </c>
      <c r="L94" s="4">
        <v>213621.44</v>
      </c>
      <c r="M94" s="4">
        <v>54031.4</v>
      </c>
      <c r="N94" s="4">
        <v>0</v>
      </c>
      <c r="O94" s="4">
        <v>77359.34</v>
      </c>
      <c r="P94" s="4">
        <v>20812.02</v>
      </c>
      <c r="Q94" s="4">
        <v>486.9</v>
      </c>
      <c r="R94" s="4">
        <v>2447.5300000000002</v>
      </c>
      <c r="S94" s="4">
        <v>171.65</v>
      </c>
      <c r="T94" s="4">
        <v>300</v>
      </c>
      <c r="U94" s="4">
        <v>1865.8</v>
      </c>
      <c r="V94" s="4">
        <v>9290.89</v>
      </c>
      <c r="W94" s="4">
        <v>27500.44</v>
      </c>
      <c r="X94" s="4">
        <v>83677.399999999994</v>
      </c>
      <c r="Y94" s="4">
        <v>8627.9</v>
      </c>
      <c r="Z94" s="4">
        <v>85655.75</v>
      </c>
      <c r="AA94" s="4">
        <v>0</v>
      </c>
      <c r="AB94" s="4">
        <v>74500.05</v>
      </c>
      <c r="AC94" s="4">
        <v>95024.05</v>
      </c>
      <c r="AD94" s="4">
        <v>75799.179999999993</v>
      </c>
      <c r="AE94" s="4">
        <v>70598.09</v>
      </c>
      <c r="AF94" s="4">
        <v>274554.99</v>
      </c>
      <c r="AG94" s="4">
        <v>148580.51</v>
      </c>
      <c r="AH94" s="4">
        <v>174192.85</v>
      </c>
      <c r="AI94" s="4">
        <v>48438.3</v>
      </c>
      <c r="AJ94" s="4">
        <v>1680</v>
      </c>
      <c r="AK94" s="4">
        <v>155530.91</v>
      </c>
      <c r="AL94" s="4">
        <v>332870.15000000002</v>
      </c>
      <c r="AM94" s="4">
        <v>734.95</v>
      </c>
      <c r="AN94" s="4">
        <v>46156.18</v>
      </c>
      <c r="AO94" s="4">
        <v>1503.8</v>
      </c>
      <c r="AP94" s="4">
        <v>179862.65</v>
      </c>
      <c r="AQ94" s="4">
        <v>6417.55</v>
      </c>
      <c r="AR94" s="4">
        <v>8752.7999999999993</v>
      </c>
      <c r="AS94" s="4">
        <v>146146.9</v>
      </c>
      <c r="AT94" s="4">
        <v>8264.65</v>
      </c>
      <c r="AU94" s="4">
        <v>48730.3</v>
      </c>
      <c r="AV94" s="4">
        <v>16318.95</v>
      </c>
      <c r="AW94" s="4">
        <v>68219.75</v>
      </c>
      <c r="AX94" s="4">
        <v>41053.35</v>
      </c>
      <c r="AY94" s="4">
        <v>624</v>
      </c>
      <c r="AZ94" s="4">
        <v>10370.200000000001</v>
      </c>
      <c r="BA94" s="4">
        <v>1240.5</v>
      </c>
      <c r="BB94" s="4">
        <v>8502.7999999999993</v>
      </c>
      <c r="BC94" s="4">
        <v>48769.35</v>
      </c>
      <c r="BD94" s="4">
        <v>110731.46</v>
      </c>
      <c r="BE94" s="4">
        <v>152656.54999999999</v>
      </c>
      <c r="BF94" s="4">
        <f t="shared" si="58"/>
        <v>3044811.53</v>
      </c>
      <c r="BG94" s="4">
        <f t="shared" si="59"/>
        <v>510024.71000000008</v>
      </c>
      <c r="BH94" s="4">
        <f t="shared" si="60"/>
        <v>1141329.07</v>
      </c>
      <c r="BI94" s="4">
        <f t="shared" si="61"/>
        <v>1393457.7500000005</v>
      </c>
    </row>
    <row r="95" spans="2:61" x14ac:dyDescent="0.3">
      <c r="C95">
        <v>426</v>
      </c>
      <c r="D95" t="s">
        <v>154</v>
      </c>
      <c r="E95" s="4">
        <v>40017.279999999999</v>
      </c>
      <c r="F95" s="4">
        <v>8984.5</v>
      </c>
      <c r="G95" s="4">
        <v>12684.3</v>
      </c>
      <c r="H95" s="4">
        <v>36712.699999999997</v>
      </c>
      <c r="I95" s="4">
        <v>72325.05</v>
      </c>
      <c r="J95" s="4">
        <v>32220.38</v>
      </c>
      <c r="K95" s="4">
        <v>374996.62</v>
      </c>
      <c r="L95" s="4">
        <v>473034.66</v>
      </c>
      <c r="M95" s="4">
        <v>52479.28</v>
      </c>
      <c r="N95" s="4">
        <v>0</v>
      </c>
      <c r="O95" s="4">
        <v>174032.67</v>
      </c>
      <c r="P95" s="4">
        <v>24546.05</v>
      </c>
      <c r="Q95" s="4">
        <v>2272.1</v>
      </c>
      <c r="R95" s="4">
        <v>56908.85</v>
      </c>
      <c r="S95" s="4">
        <v>46662.75</v>
      </c>
      <c r="T95" s="4">
        <v>128754.54</v>
      </c>
      <c r="U95" s="4">
        <v>30421.360000000001</v>
      </c>
      <c r="V95" s="4">
        <v>44107.6</v>
      </c>
      <c r="W95" s="4">
        <v>35576.29</v>
      </c>
      <c r="X95" s="4">
        <v>10003.25</v>
      </c>
      <c r="Y95" s="4">
        <v>79482</v>
      </c>
      <c r="Z95" s="4">
        <v>18359.5</v>
      </c>
      <c r="AA95" s="4">
        <v>6685.2</v>
      </c>
      <c r="AB95" s="4">
        <v>5179.7</v>
      </c>
      <c r="AC95" s="4">
        <v>54354.95</v>
      </c>
      <c r="AD95" s="4">
        <v>37025.25</v>
      </c>
      <c r="AE95" s="4">
        <v>26380.15</v>
      </c>
      <c r="AF95" s="4">
        <v>17190.75</v>
      </c>
      <c r="AG95" s="4">
        <v>14257.7</v>
      </c>
      <c r="AH95" s="4">
        <v>70602.210000000006</v>
      </c>
      <c r="AI95" s="4">
        <v>36689.800000000003</v>
      </c>
      <c r="AJ95" s="4">
        <v>9680.85</v>
      </c>
      <c r="AK95" s="4">
        <v>33955</v>
      </c>
      <c r="AL95" s="4">
        <v>47510.98</v>
      </c>
      <c r="AM95" s="4">
        <v>8108.75</v>
      </c>
      <c r="AN95" s="4">
        <v>4179.1499999999996</v>
      </c>
      <c r="AO95" s="4">
        <v>47163.199999999997</v>
      </c>
      <c r="AP95" s="4">
        <v>61276.7</v>
      </c>
      <c r="AQ95" s="4">
        <v>31522.05</v>
      </c>
      <c r="AR95" s="4">
        <v>33876</v>
      </c>
      <c r="AS95" s="4">
        <v>14364</v>
      </c>
      <c r="AT95" s="4">
        <v>4019.55</v>
      </c>
      <c r="AU95" s="4">
        <v>23738.95</v>
      </c>
      <c r="AV95" s="4">
        <v>4939.7</v>
      </c>
      <c r="AW95" s="4">
        <v>1356.8</v>
      </c>
      <c r="AX95" s="4">
        <v>4853.93</v>
      </c>
      <c r="AY95" s="4">
        <v>598</v>
      </c>
      <c r="AZ95" s="4">
        <v>58891.7</v>
      </c>
      <c r="BA95" s="4">
        <v>14058</v>
      </c>
      <c r="BB95" s="4">
        <v>37806.75</v>
      </c>
      <c r="BC95" s="4">
        <v>493.35</v>
      </c>
      <c r="BD95" s="4">
        <v>438474.02</v>
      </c>
      <c r="BE95" s="4">
        <v>37440.800000000003</v>
      </c>
      <c r="BF95" s="4">
        <f t="shared" si="58"/>
        <v>2941255.6700000009</v>
      </c>
      <c r="BG95" s="4">
        <f t="shared" si="59"/>
        <v>1646736.9800000004</v>
      </c>
      <c r="BH95" s="4">
        <f t="shared" si="60"/>
        <v>385891.30999999994</v>
      </c>
      <c r="BI95" s="4">
        <f t="shared" si="61"/>
        <v>908627.38000000012</v>
      </c>
    </row>
    <row r="96" spans="2:61" x14ac:dyDescent="0.3">
      <c r="C96">
        <v>427</v>
      </c>
      <c r="D96" t="s">
        <v>155</v>
      </c>
      <c r="E96" s="4">
        <v>220</v>
      </c>
      <c r="F96" s="4">
        <v>0</v>
      </c>
      <c r="G96" s="4">
        <v>100</v>
      </c>
      <c r="H96" s="4">
        <v>0</v>
      </c>
      <c r="I96" s="4">
        <v>3060</v>
      </c>
      <c r="J96" s="4">
        <v>1200</v>
      </c>
      <c r="K96" s="4">
        <v>400</v>
      </c>
      <c r="L96" s="4">
        <v>125388.1</v>
      </c>
      <c r="M96" s="4">
        <v>0</v>
      </c>
      <c r="N96" s="4">
        <v>0</v>
      </c>
      <c r="O96" s="4">
        <v>12448.9</v>
      </c>
      <c r="P96" s="4">
        <v>0</v>
      </c>
      <c r="Q96" s="4">
        <v>0</v>
      </c>
      <c r="R96" s="4">
        <v>0</v>
      </c>
      <c r="S96" s="4">
        <v>0</v>
      </c>
      <c r="T96" s="4">
        <v>0</v>
      </c>
      <c r="U96" s="4">
        <v>0</v>
      </c>
      <c r="V96" s="4">
        <v>700</v>
      </c>
      <c r="W96" s="4">
        <v>0</v>
      </c>
      <c r="X96" s="4">
        <v>0</v>
      </c>
      <c r="Y96" s="4">
        <v>200</v>
      </c>
      <c r="Z96" s="4">
        <v>0</v>
      </c>
      <c r="AA96" s="4">
        <v>0</v>
      </c>
      <c r="AB96" s="4">
        <v>0</v>
      </c>
      <c r="AC96" s="4">
        <v>0</v>
      </c>
      <c r="AD96" s="4">
        <v>0</v>
      </c>
      <c r="AE96" s="4">
        <v>0</v>
      </c>
      <c r="AF96" s="4">
        <v>0</v>
      </c>
      <c r="AG96" s="4">
        <v>300</v>
      </c>
      <c r="AH96" s="4">
        <v>10575</v>
      </c>
      <c r="AI96" s="4">
        <v>0</v>
      </c>
      <c r="AJ96" s="4">
        <v>0</v>
      </c>
      <c r="AK96" s="4">
        <v>0</v>
      </c>
      <c r="AL96" s="4">
        <v>0</v>
      </c>
      <c r="AM96" s="4">
        <v>0</v>
      </c>
      <c r="AN96" s="4">
        <v>0</v>
      </c>
      <c r="AO96" s="4">
        <v>250</v>
      </c>
      <c r="AP96" s="4">
        <v>0</v>
      </c>
      <c r="AQ96" s="4">
        <v>0</v>
      </c>
      <c r="AR96" s="4">
        <v>182</v>
      </c>
      <c r="AS96" s="4">
        <v>0</v>
      </c>
      <c r="AT96" s="4">
        <v>0</v>
      </c>
      <c r="AU96" s="4">
        <v>0</v>
      </c>
      <c r="AV96" s="4">
        <v>976</v>
      </c>
      <c r="AW96" s="4">
        <v>1800</v>
      </c>
      <c r="AX96" s="4">
        <v>0</v>
      </c>
      <c r="AY96" s="4">
        <v>0</v>
      </c>
      <c r="AZ96" s="4">
        <v>890.4</v>
      </c>
      <c r="BA96" s="4">
        <v>0</v>
      </c>
      <c r="BB96" s="4">
        <v>0</v>
      </c>
      <c r="BC96" s="4">
        <v>0</v>
      </c>
      <c r="BD96" s="4">
        <v>105893.85</v>
      </c>
      <c r="BE96" s="4">
        <v>0</v>
      </c>
      <c r="BF96" s="4">
        <f t="shared" si="58"/>
        <v>264584.25</v>
      </c>
      <c r="BG96" s="4">
        <f t="shared" si="59"/>
        <v>143517</v>
      </c>
      <c r="BH96" s="4">
        <f t="shared" si="60"/>
        <v>11075</v>
      </c>
      <c r="BI96" s="4">
        <f t="shared" si="61"/>
        <v>109992.25</v>
      </c>
    </row>
    <row r="97" spans="2:61" x14ac:dyDescent="0.3">
      <c r="C97">
        <v>429</v>
      </c>
      <c r="D97" t="s">
        <v>156</v>
      </c>
      <c r="E97" s="4">
        <v>0</v>
      </c>
      <c r="F97" s="4">
        <v>0</v>
      </c>
      <c r="G97" s="4">
        <v>0</v>
      </c>
      <c r="H97" s="4">
        <v>0</v>
      </c>
      <c r="I97" s="4">
        <v>0</v>
      </c>
      <c r="J97" s="4">
        <v>0</v>
      </c>
      <c r="K97" s="4">
        <v>0</v>
      </c>
      <c r="L97" s="4">
        <v>0</v>
      </c>
      <c r="M97" s="4">
        <v>0</v>
      </c>
      <c r="N97" s="4">
        <v>0</v>
      </c>
      <c r="O97" s="4">
        <v>1443.6</v>
      </c>
      <c r="P97" s="4">
        <v>0</v>
      </c>
      <c r="Q97" s="4">
        <v>0</v>
      </c>
      <c r="R97" s="4">
        <v>0</v>
      </c>
      <c r="S97" s="4">
        <v>0</v>
      </c>
      <c r="T97" s="4">
        <v>140</v>
      </c>
      <c r="U97" s="4">
        <v>1458.35</v>
      </c>
      <c r="V97" s="4">
        <v>0</v>
      </c>
      <c r="W97" s="4">
        <v>0</v>
      </c>
      <c r="X97" s="4">
        <v>731.25</v>
      </c>
      <c r="Y97" s="4">
        <v>0</v>
      </c>
      <c r="Z97" s="4">
        <v>80541</v>
      </c>
      <c r="AA97" s="4">
        <v>2145.6</v>
      </c>
      <c r="AB97" s="4">
        <v>731.2</v>
      </c>
      <c r="AC97" s="4">
        <v>0</v>
      </c>
      <c r="AD97" s="4">
        <v>1060</v>
      </c>
      <c r="AE97" s="4">
        <v>0</v>
      </c>
      <c r="AF97" s="4">
        <v>0</v>
      </c>
      <c r="AG97" s="4">
        <v>0</v>
      </c>
      <c r="AH97" s="4">
        <v>0</v>
      </c>
      <c r="AI97" s="4">
        <v>4989.75</v>
      </c>
      <c r="AJ97" s="4">
        <v>5047.5</v>
      </c>
      <c r="AK97" s="4">
        <v>0</v>
      </c>
      <c r="AL97" s="4">
        <v>0</v>
      </c>
      <c r="AM97" s="4">
        <v>0</v>
      </c>
      <c r="AN97" s="4">
        <v>0</v>
      </c>
      <c r="AO97" s="4">
        <v>8174.45</v>
      </c>
      <c r="AP97" s="4">
        <v>0</v>
      </c>
      <c r="AQ97" s="4">
        <v>0</v>
      </c>
      <c r="AR97" s="4">
        <v>0</v>
      </c>
      <c r="AS97" s="4">
        <v>0</v>
      </c>
      <c r="AT97" s="4">
        <v>0</v>
      </c>
      <c r="AU97" s="4">
        <v>0</v>
      </c>
      <c r="AV97" s="4">
        <v>0</v>
      </c>
      <c r="AW97" s="4">
        <v>0</v>
      </c>
      <c r="AX97" s="4">
        <v>0</v>
      </c>
      <c r="AY97" s="4">
        <v>0</v>
      </c>
      <c r="AZ97" s="4">
        <v>0</v>
      </c>
      <c r="BA97" s="4">
        <v>0</v>
      </c>
      <c r="BB97" s="4">
        <v>0</v>
      </c>
      <c r="BC97" s="4">
        <v>0</v>
      </c>
      <c r="BD97" s="4">
        <v>0</v>
      </c>
      <c r="BE97" s="4">
        <v>0</v>
      </c>
      <c r="BF97" s="4">
        <f t="shared" si="58"/>
        <v>106462.7</v>
      </c>
      <c r="BG97" s="4">
        <f t="shared" si="59"/>
        <v>3041.95</v>
      </c>
      <c r="BH97" s="4">
        <f t="shared" si="60"/>
        <v>95246.3</v>
      </c>
      <c r="BI97" s="4">
        <f t="shared" si="61"/>
        <v>8174.45</v>
      </c>
    </row>
    <row r="98" spans="2:61" x14ac:dyDescent="0.3">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3">
      <c r="B99" s="96">
        <v>43</v>
      </c>
      <c r="C99" s="96"/>
      <c r="D99" s="96" t="s">
        <v>157</v>
      </c>
      <c r="E99" s="91">
        <f>E100+E101+E102+E103</f>
        <v>0</v>
      </c>
      <c r="F99" s="91">
        <f t="shared" ref="F99:BI99" si="62">F100+F101+F102+F103</f>
        <v>3178.3</v>
      </c>
      <c r="G99" s="91">
        <f t="shared" si="62"/>
        <v>308</v>
      </c>
      <c r="H99" s="91">
        <f t="shared" si="62"/>
        <v>0</v>
      </c>
      <c r="I99" s="91">
        <f t="shared" si="62"/>
        <v>0</v>
      </c>
      <c r="J99" s="91">
        <f t="shared" si="62"/>
        <v>0</v>
      </c>
      <c r="K99" s="91">
        <f t="shared" si="62"/>
        <v>120</v>
      </c>
      <c r="L99" s="91">
        <f t="shared" si="62"/>
        <v>1514196.64</v>
      </c>
      <c r="M99" s="91">
        <f t="shared" si="62"/>
        <v>4059.9</v>
      </c>
      <c r="N99" s="91">
        <f t="shared" si="62"/>
        <v>18032.25</v>
      </c>
      <c r="O99" s="91">
        <f t="shared" si="62"/>
        <v>0</v>
      </c>
      <c r="P99" s="91">
        <f t="shared" si="62"/>
        <v>0</v>
      </c>
      <c r="Q99" s="91">
        <f t="shared" si="62"/>
        <v>0</v>
      </c>
      <c r="R99" s="91">
        <f t="shared" si="62"/>
        <v>0</v>
      </c>
      <c r="S99" s="91">
        <f t="shared" si="62"/>
        <v>0</v>
      </c>
      <c r="T99" s="91">
        <f t="shared" si="62"/>
        <v>1727.6</v>
      </c>
      <c r="U99" s="91">
        <f t="shared" si="62"/>
        <v>108</v>
      </c>
      <c r="V99" s="91">
        <f t="shared" si="62"/>
        <v>1028.1500000000001</v>
      </c>
      <c r="W99" s="91">
        <f t="shared" si="62"/>
        <v>3069.5</v>
      </c>
      <c r="X99" s="91">
        <f t="shared" si="62"/>
        <v>175</v>
      </c>
      <c r="Y99" s="91">
        <f t="shared" si="62"/>
        <v>120</v>
      </c>
      <c r="Z99" s="91">
        <f t="shared" si="62"/>
        <v>0</v>
      </c>
      <c r="AA99" s="91">
        <f t="shared" si="62"/>
        <v>0</v>
      </c>
      <c r="AB99" s="91">
        <f t="shared" si="62"/>
        <v>889.95</v>
      </c>
      <c r="AC99" s="91">
        <f t="shared" si="62"/>
        <v>0</v>
      </c>
      <c r="AD99" s="91">
        <f t="shared" si="62"/>
        <v>2579</v>
      </c>
      <c r="AE99" s="91">
        <f t="shared" si="62"/>
        <v>8038.45</v>
      </c>
      <c r="AF99" s="91">
        <f t="shared" si="62"/>
        <v>0</v>
      </c>
      <c r="AG99" s="91">
        <f t="shared" si="62"/>
        <v>12897.9</v>
      </c>
      <c r="AH99" s="91">
        <f t="shared" si="62"/>
        <v>41182.699999999997</v>
      </c>
      <c r="AI99" s="91">
        <f t="shared" si="62"/>
        <v>1152.25</v>
      </c>
      <c r="AJ99" s="91">
        <f t="shared" si="62"/>
        <v>5278.95</v>
      </c>
      <c r="AK99" s="91">
        <f t="shared" si="62"/>
        <v>87567.24</v>
      </c>
      <c r="AL99" s="91">
        <f t="shared" si="62"/>
        <v>31266.3</v>
      </c>
      <c r="AM99" s="91">
        <f t="shared" si="62"/>
        <v>0</v>
      </c>
      <c r="AN99" s="91">
        <f t="shared" si="62"/>
        <v>0</v>
      </c>
      <c r="AO99" s="91">
        <f t="shared" si="62"/>
        <v>0</v>
      </c>
      <c r="AP99" s="91">
        <f t="shared" si="62"/>
        <v>0</v>
      </c>
      <c r="AQ99" s="91">
        <f t="shared" si="62"/>
        <v>0</v>
      </c>
      <c r="AR99" s="91">
        <f t="shared" si="62"/>
        <v>549</v>
      </c>
      <c r="AS99" s="91">
        <f t="shared" si="62"/>
        <v>108.81</v>
      </c>
      <c r="AT99" s="91">
        <f t="shared" si="62"/>
        <v>2115</v>
      </c>
      <c r="AU99" s="91">
        <f t="shared" si="62"/>
        <v>0</v>
      </c>
      <c r="AV99" s="91">
        <f t="shared" si="62"/>
        <v>0</v>
      </c>
      <c r="AW99" s="91">
        <f t="shared" si="62"/>
        <v>1600</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1741348.8899999997</v>
      </c>
      <c r="BG99" s="91">
        <f t="shared" si="62"/>
        <v>1545828.3399999999</v>
      </c>
      <c r="BH99" s="91">
        <f t="shared" si="62"/>
        <v>72314.2</v>
      </c>
      <c r="BI99" s="91">
        <f t="shared" si="62"/>
        <v>123206.35</v>
      </c>
    </row>
    <row r="100" spans="2:61" x14ac:dyDescent="0.3">
      <c r="C100">
        <v>430</v>
      </c>
      <c r="D100" t="s">
        <v>158</v>
      </c>
      <c r="E100" s="4">
        <v>0</v>
      </c>
      <c r="F100" s="4">
        <v>3178.3</v>
      </c>
      <c r="G100" s="4">
        <v>0</v>
      </c>
      <c r="H100" s="4">
        <v>0</v>
      </c>
      <c r="I100" s="4">
        <v>0</v>
      </c>
      <c r="J100" s="4">
        <v>0</v>
      </c>
      <c r="K100" s="4">
        <v>120</v>
      </c>
      <c r="L100" s="4">
        <v>1514196.64</v>
      </c>
      <c r="M100" s="4">
        <v>4059.9</v>
      </c>
      <c r="N100" s="4">
        <v>0</v>
      </c>
      <c r="O100" s="4">
        <v>0</v>
      </c>
      <c r="P100" s="4">
        <v>0</v>
      </c>
      <c r="Q100" s="4">
        <v>0</v>
      </c>
      <c r="R100" s="4">
        <v>0</v>
      </c>
      <c r="S100" s="4">
        <v>0</v>
      </c>
      <c r="T100" s="4">
        <v>0</v>
      </c>
      <c r="U100" s="4">
        <v>0</v>
      </c>
      <c r="V100" s="4">
        <v>0</v>
      </c>
      <c r="W100" s="4">
        <v>3069.5</v>
      </c>
      <c r="X100" s="4">
        <v>0</v>
      </c>
      <c r="Y100" s="4">
        <v>120</v>
      </c>
      <c r="Z100" s="4">
        <v>0</v>
      </c>
      <c r="AA100" s="4">
        <v>0</v>
      </c>
      <c r="AB100" s="4">
        <v>709.2</v>
      </c>
      <c r="AC100" s="4">
        <v>0</v>
      </c>
      <c r="AD100" s="4">
        <v>2579</v>
      </c>
      <c r="AE100" s="4">
        <v>0</v>
      </c>
      <c r="AF100" s="4">
        <v>0</v>
      </c>
      <c r="AG100" s="4">
        <v>0</v>
      </c>
      <c r="AH100" s="4">
        <v>41182.699999999997</v>
      </c>
      <c r="AI100" s="4">
        <v>0</v>
      </c>
      <c r="AJ100" s="4">
        <v>0</v>
      </c>
      <c r="AK100" s="4">
        <v>87567.24</v>
      </c>
      <c r="AL100" s="4">
        <v>31266.3</v>
      </c>
      <c r="AM100" s="4">
        <v>0</v>
      </c>
      <c r="AN100" s="4">
        <v>0</v>
      </c>
      <c r="AO100" s="4">
        <v>0</v>
      </c>
      <c r="AP100" s="4">
        <v>0</v>
      </c>
      <c r="AQ100" s="4">
        <v>0</v>
      </c>
      <c r="AR100" s="4">
        <v>549</v>
      </c>
      <c r="AS100" s="4">
        <v>108.81</v>
      </c>
      <c r="AT100" s="4">
        <v>2115</v>
      </c>
      <c r="AU100" s="4">
        <v>0</v>
      </c>
      <c r="AV100" s="4">
        <v>0</v>
      </c>
      <c r="AW100" s="4">
        <v>0</v>
      </c>
      <c r="AX100" s="4">
        <v>0</v>
      </c>
      <c r="AY100" s="4">
        <v>0</v>
      </c>
      <c r="AZ100" s="4">
        <v>0</v>
      </c>
      <c r="BA100" s="4">
        <v>0</v>
      </c>
      <c r="BB100" s="4">
        <v>0</v>
      </c>
      <c r="BC100" s="4">
        <v>0</v>
      </c>
      <c r="BD100" s="4">
        <v>0</v>
      </c>
      <c r="BE100" s="4">
        <v>0</v>
      </c>
      <c r="BF100" s="4">
        <f t="shared" ref="BF100:BF103" si="63">SUM(E100:BE100)</f>
        <v>1690821.5899999999</v>
      </c>
      <c r="BG100" s="4">
        <f t="shared" ref="BG100:BG103" si="64">SUM(E100:W100)</f>
        <v>1524624.3399999999</v>
      </c>
      <c r="BH100" s="4">
        <f t="shared" ref="BH100:BH103" si="65">SUM(X100:AJ100)</f>
        <v>44590.899999999994</v>
      </c>
      <c r="BI100" s="4">
        <f t="shared" ref="BI100:BI103" si="66">SUM(AK100:BE100)</f>
        <v>121606.35</v>
      </c>
    </row>
    <row r="101" spans="2:61" x14ac:dyDescent="0.3">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0</v>
      </c>
      <c r="BG101" s="4">
        <f t="shared" si="64"/>
        <v>0</v>
      </c>
      <c r="BH101" s="4">
        <f t="shared" si="65"/>
        <v>0</v>
      </c>
      <c r="BI101" s="4">
        <f t="shared" si="66"/>
        <v>0</v>
      </c>
    </row>
    <row r="102" spans="2:61" x14ac:dyDescent="0.3">
      <c r="C102">
        <v>432</v>
      </c>
      <c r="D102" t="s">
        <v>160</v>
      </c>
      <c r="E102" s="4">
        <v>0</v>
      </c>
      <c r="F102" s="4">
        <v>0</v>
      </c>
      <c r="G102" s="4">
        <v>308</v>
      </c>
      <c r="H102" s="4">
        <v>0</v>
      </c>
      <c r="I102" s="4">
        <v>0</v>
      </c>
      <c r="J102" s="4">
        <v>0</v>
      </c>
      <c r="K102" s="4">
        <v>0</v>
      </c>
      <c r="L102" s="4">
        <v>0</v>
      </c>
      <c r="M102" s="4">
        <v>0</v>
      </c>
      <c r="N102" s="4">
        <v>0</v>
      </c>
      <c r="O102" s="4">
        <v>0</v>
      </c>
      <c r="P102" s="4">
        <v>0</v>
      </c>
      <c r="Q102" s="4">
        <v>0</v>
      </c>
      <c r="R102" s="4">
        <v>0</v>
      </c>
      <c r="S102" s="4">
        <v>0</v>
      </c>
      <c r="T102" s="4">
        <v>0</v>
      </c>
      <c r="U102" s="4">
        <v>0</v>
      </c>
      <c r="V102" s="4">
        <v>-281.85000000000002</v>
      </c>
      <c r="W102" s="4">
        <v>0</v>
      </c>
      <c r="X102" s="4">
        <v>0</v>
      </c>
      <c r="Y102" s="4">
        <v>0</v>
      </c>
      <c r="Z102" s="4">
        <v>0</v>
      </c>
      <c r="AA102" s="4">
        <v>0</v>
      </c>
      <c r="AB102" s="4">
        <v>0</v>
      </c>
      <c r="AC102" s="4">
        <v>0</v>
      </c>
      <c r="AD102" s="4">
        <v>0</v>
      </c>
      <c r="AE102" s="4">
        <v>0</v>
      </c>
      <c r="AF102" s="4">
        <v>0</v>
      </c>
      <c r="AG102" s="4">
        <v>0</v>
      </c>
      <c r="AH102" s="4">
        <v>0</v>
      </c>
      <c r="AI102" s="4">
        <v>0</v>
      </c>
      <c r="AJ102" s="4">
        <v>5058.5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5084.6499999999996</v>
      </c>
      <c r="BG102" s="4">
        <f t="shared" si="64"/>
        <v>26.149999999999977</v>
      </c>
      <c r="BH102" s="4">
        <f t="shared" si="65"/>
        <v>5058.5</v>
      </c>
      <c r="BI102" s="4">
        <f t="shared" si="66"/>
        <v>0</v>
      </c>
    </row>
    <row r="103" spans="2:61" x14ac:dyDescent="0.3">
      <c r="C103">
        <v>439</v>
      </c>
      <c r="D103" t="s">
        <v>161</v>
      </c>
      <c r="E103" s="4">
        <v>0</v>
      </c>
      <c r="F103" s="4">
        <v>0</v>
      </c>
      <c r="G103" s="4">
        <v>0</v>
      </c>
      <c r="H103" s="4">
        <v>0</v>
      </c>
      <c r="I103" s="4">
        <v>0</v>
      </c>
      <c r="J103" s="4">
        <v>0</v>
      </c>
      <c r="K103" s="4">
        <v>0</v>
      </c>
      <c r="L103" s="4">
        <v>0</v>
      </c>
      <c r="M103" s="4">
        <v>0</v>
      </c>
      <c r="N103" s="4">
        <v>18032.25</v>
      </c>
      <c r="O103" s="4">
        <v>0</v>
      </c>
      <c r="P103" s="4">
        <v>0</v>
      </c>
      <c r="Q103" s="4">
        <v>0</v>
      </c>
      <c r="R103" s="4">
        <v>0</v>
      </c>
      <c r="S103" s="4">
        <v>0</v>
      </c>
      <c r="T103" s="4">
        <v>1727.6</v>
      </c>
      <c r="U103" s="4">
        <v>108</v>
      </c>
      <c r="V103" s="4">
        <v>1310</v>
      </c>
      <c r="W103" s="4">
        <v>0</v>
      </c>
      <c r="X103" s="4">
        <v>175</v>
      </c>
      <c r="Y103" s="4">
        <v>0</v>
      </c>
      <c r="Z103" s="4">
        <v>0</v>
      </c>
      <c r="AA103" s="4">
        <v>0</v>
      </c>
      <c r="AB103" s="4">
        <v>180.75</v>
      </c>
      <c r="AC103" s="4">
        <v>0</v>
      </c>
      <c r="AD103" s="4">
        <v>0</v>
      </c>
      <c r="AE103" s="4">
        <v>8038.45</v>
      </c>
      <c r="AF103" s="4">
        <v>0</v>
      </c>
      <c r="AG103" s="4">
        <v>12897.9</v>
      </c>
      <c r="AH103" s="4">
        <v>0</v>
      </c>
      <c r="AI103" s="4">
        <v>1152.25</v>
      </c>
      <c r="AJ103" s="4">
        <v>220.45</v>
      </c>
      <c r="AK103" s="4">
        <v>0</v>
      </c>
      <c r="AL103" s="4">
        <v>0</v>
      </c>
      <c r="AM103" s="4">
        <v>0</v>
      </c>
      <c r="AN103" s="4">
        <v>0</v>
      </c>
      <c r="AO103" s="4">
        <v>0</v>
      </c>
      <c r="AP103" s="4">
        <v>0</v>
      </c>
      <c r="AQ103" s="4">
        <v>0</v>
      </c>
      <c r="AR103" s="4">
        <v>0</v>
      </c>
      <c r="AS103" s="4">
        <v>0</v>
      </c>
      <c r="AT103" s="4">
        <v>0</v>
      </c>
      <c r="AU103" s="4">
        <v>0</v>
      </c>
      <c r="AV103" s="4">
        <v>0</v>
      </c>
      <c r="AW103" s="4">
        <v>1600</v>
      </c>
      <c r="AX103" s="4">
        <v>0</v>
      </c>
      <c r="AY103" s="4">
        <v>0</v>
      </c>
      <c r="AZ103" s="4">
        <v>0</v>
      </c>
      <c r="BA103" s="4">
        <v>0</v>
      </c>
      <c r="BB103" s="4">
        <v>0</v>
      </c>
      <c r="BC103" s="4">
        <v>0</v>
      </c>
      <c r="BD103" s="4">
        <v>0</v>
      </c>
      <c r="BE103" s="4">
        <v>0</v>
      </c>
      <c r="BF103" s="4">
        <f t="shared" si="63"/>
        <v>45442.649999999994</v>
      </c>
      <c r="BG103" s="4">
        <f t="shared" si="64"/>
        <v>21177.85</v>
      </c>
      <c r="BH103" s="4">
        <f t="shared" si="65"/>
        <v>22664.799999999999</v>
      </c>
      <c r="BI103" s="4">
        <f t="shared" si="66"/>
        <v>1600</v>
      </c>
    </row>
    <row r="104" spans="2:61" x14ac:dyDescent="0.3">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3">
      <c r="B105" s="96">
        <v>44</v>
      </c>
      <c r="C105" s="96"/>
      <c r="D105" s="96" t="s">
        <v>162</v>
      </c>
      <c r="E105" s="91">
        <f>E106+E107+E108+E109+E110+E111+E112+E113+E114+E115</f>
        <v>47757.149999999994</v>
      </c>
      <c r="F105" s="91">
        <f t="shared" ref="F105:BI105" si="67">F106+F107+F108+F109+F110+F111+F112+F113+F114+F115</f>
        <v>35245.93</v>
      </c>
      <c r="G105" s="91">
        <f t="shared" si="67"/>
        <v>114694.29000000001</v>
      </c>
      <c r="H105" s="91">
        <f t="shared" si="67"/>
        <v>133251.85999999999</v>
      </c>
      <c r="I105" s="91">
        <f t="shared" si="67"/>
        <v>669906.45000000007</v>
      </c>
      <c r="J105" s="91">
        <f t="shared" si="67"/>
        <v>332842.94</v>
      </c>
      <c r="K105" s="91">
        <f t="shared" si="67"/>
        <v>262823.25</v>
      </c>
      <c r="L105" s="91">
        <f t="shared" si="67"/>
        <v>3069513.2</v>
      </c>
      <c r="M105" s="91">
        <f t="shared" si="67"/>
        <v>79612.88</v>
      </c>
      <c r="N105" s="91">
        <f t="shared" si="67"/>
        <v>19221.5</v>
      </c>
      <c r="O105" s="91">
        <f t="shared" si="67"/>
        <v>466783.76</v>
      </c>
      <c r="P105" s="91">
        <f t="shared" si="67"/>
        <v>69104.5</v>
      </c>
      <c r="Q105" s="91">
        <f t="shared" si="67"/>
        <v>18245.12</v>
      </c>
      <c r="R105" s="91">
        <f t="shared" si="67"/>
        <v>30458.27</v>
      </c>
      <c r="S105" s="91">
        <f t="shared" si="67"/>
        <v>29202.65</v>
      </c>
      <c r="T105" s="91">
        <f t="shared" si="67"/>
        <v>79203.05</v>
      </c>
      <c r="U105" s="91">
        <f t="shared" si="67"/>
        <v>52813.75</v>
      </c>
      <c r="V105" s="91">
        <f t="shared" si="67"/>
        <v>57381.93</v>
      </c>
      <c r="W105" s="91">
        <f t="shared" si="67"/>
        <v>463779.32000000007</v>
      </c>
      <c r="X105" s="91">
        <f t="shared" si="67"/>
        <v>64832.76</v>
      </c>
      <c r="Y105" s="91">
        <f t="shared" si="67"/>
        <v>103282.25</v>
      </c>
      <c r="Z105" s="91">
        <f t="shared" si="67"/>
        <v>146611.57</v>
      </c>
      <c r="AA105" s="91">
        <f t="shared" si="67"/>
        <v>40131.380000000005</v>
      </c>
      <c r="AB105" s="91">
        <f t="shared" si="67"/>
        <v>31355</v>
      </c>
      <c r="AC105" s="91">
        <f t="shared" si="67"/>
        <v>74062.97</v>
      </c>
      <c r="AD105" s="91">
        <f t="shared" si="67"/>
        <v>259998.55</v>
      </c>
      <c r="AE105" s="91">
        <f t="shared" si="67"/>
        <v>68116.08</v>
      </c>
      <c r="AF105" s="91">
        <f t="shared" si="67"/>
        <v>146631.6</v>
      </c>
      <c r="AG105" s="91">
        <f t="shared" si="67"/>
        <v>212957.71</v>
      </c>
      <c r="AH105" s="91">
        <f t="shared" si="67"/>
        <v>448072.87</v>
      </c>
      <c r="AI105" s="91">
        <f t="shared" si="67"/>
        <v>26326.879999999997</v>
      </c>
      <c r="AJ105" s="91">
        <f t="shared" si="67"/>
        <v>46480.1</v>
      </c>
      <c r="AK105" s="91">
        <f t="shared" si="67"/>
        <v>124674.60999999999</v>
      </c>
      <c r="AL105" s="91">
        <f t="shared" si="67"/>
        <v>589775.14999999991</v>
      </c>
      <c r="AM105" s="91">
        <f t="shared" si="67"/>
        <v>169018.8</v>
      </c>
      <c r="AN105" s="91">
        <f t="shared" si="67"/>
        <v>26366.86</v>
      </c>
      <c r="AO105" s="91">
        <f t="shared" si="67"/>
        <v>346752.02</v>
      </c>
      <c r="AP105" s="91">
        <f t="shared" si="67"/>
        <v>120797.27</v>
      </c>
      <c r="AQ105" s="91">
        <f t="shared" si="67"/>
        <v>39242.14</v>
      </c>
      <c r="AR105" s="91">
        <f t="shared" si="67"/>
        <v>645157.75</v>
      </c>
      <c r="AS105" s="91">
        <f t="shared" si="67"/>
        <v>238564.46000000002</v>
      </c>
      <c r="AT105" s="91">
        <f t="shared" si="67"/>
        <v>217499.08999999997</v>
      </c>
      <c r="AU105" s="91">
        <f t="shared" si="67"/>
        <v>43849.4</v>
      </c>
      <c r="AV105" s="91">
        <f t="shared" si="67"/>
        <v>434769.03</v>
      </c>
      <c r="AW105" s="91">
        <f t="shared" si="67"/>
        <v>61014.97</v>
      </c>
      <c r="AX105" s="91">
        <f t="shared" si="67"/>
        <v>17055.54</v>
      </c>
      <c r="AY105" s="91">
        <f t="shared" si="67"/>
        <v>59613.799999999996</v>
      </c>
      <c r="AZ105" s="91">
        <f t="shared" si="67"/>
        <v>177257.14</v>
      </c>
      <c r="BA105" s="91">
        <f t="shared" si="67"/>
        <v>45504.979999999996</v>
      </c>
      <c r="BB105" s="91">
        <f t="shared" si="67"/>
        <v>289938</v>
      </c>
      <c r="BC105" s="91">
        <f t="shared" si="67"/>
        <v>14208.5</v>
      </c>
      <c r="BD105" s="91">
        <f t="shared" si="67"/>
        <v>2446119.4499999997</v>
      </c>
      <c r="BE105" s="91">
        <f t="shared" si="67"/>
        <v>83741.09</v>
      </c>
      <c r="BF105" s="91">
        <f t="shared" si="67"/>
        <v>13891621.57</v>
      </c>
      <c r="BG105" s="91">
        <f t="shared" si="67"/>
        <v>6031841.7999999998</v>
      </c>
      <c r="BH105" s="91">
        <f t="shared" si="67"/>
        <v>1668859.72</v>
      </c>
      <c r="BI105" s="91">
        <f t="shared" si="67"/>
        <v>6190920.0499999998</v>
      </c>
    </row>
    <row r="106" spans="2:61" x14ac:dyDescent="0.3">
      <c r="C106">
        <v>440</v>
      </c>
      <c r="D106" t="s">
        <v>163</v>
      </c>
      <c r="E106" s="4">
        <v>23418.3</v>
      </c>
      <c r="F106" s="4">
        <v>14525.93</v>
      </c>
      <c r="G106" s="4">
        <v>8419.74</v>
      </c>
      <c r="H106" s="4">
        <v>8186.86</v>
      </c>
      <c r="I106" s="4">
        <v>153171.54999999999</v>
      </c>
      <c r="J106" s="4">
        <v>129767.64</v>
      </c>
      <c r="K106" s="4">
        <v>41256.25</v>
      </c>
      <c r="L106" s="4">
        <v>914586.27</v>
      </c>
      <c r="M106" s="4">
        <v>43961.48</v>
      </c>
      <c r="N106" s="4">
        <v>121.5</v>
      </c>
      <c r="O106" s="4">
        <v>135941.74</v>
      </c>
      <c r="P106" s="4">
        <v>9076.1</v>
      </c>
      <c r="Q106" s="4">
        <v>4220.45</v>
      </c>
      <c r="R106" s="4">
        <v>158.27000000000001</v>
      </c>
      <c r="S106" s="4">
        <v>6042.65</v>
      </c>
      <c r="T106" s="4">
        <v>18851.05</v>
      </c>
      <c r="U106" s="4">
        <v>6215.75</v>
      </c>
      <c r="V106" s="4">
        <v>10386.93</v>
      </c>
      <c r="W106" s="4">
        <v>79792.3</v>
      </c>
      <c r="X106" s="4">
        <v>3271.71</v>
      </c>
      <c r="Y106" s="4">
        <v>41377.25</v>
      </c>
      <c r="Z106" s="4">
        <v>36365.22</v>
      </c>
      <c r="AA106" s="4">
        <v>562.17999999999995</v>
      </c>
      <c r="AB106" s="4">
        <v>6035</v>
      </c>
      <c r="AC106" s="4">
        <v>8592.8700000000008</v>
      </c>
      <c r="AD106" s="4">
        <v>115681.05</v>
      </c>
      <c r="AE106" s="4">
        <v>10361.08</v>
      </c>
      <c r="AF106" s="4">
        <v>296.7</v>
      </c>
      <c r="AG106" s="4">
        <v>29889.65</v>
      </c>
      <c r="AH106" s="4">
        <v>41242.370000000003</v>
      </c>
      <c r="AI106" s="4">
        <v>12365.65</v>
      </c>
      <c r="AJ106" s="4">
        <v>4175.1000000000004</v>
      </c>
      <c r="AK106" s="4">
        <v>105842.76</v>
      </c>
      <c r="AL106" s="4">
        <v>65142.15</v>
      </c>
      <c r="AM106" s="4">
        <v>42752.800000000003</v>
      </c>
      <c r="AN106" s="4">
        <v>6904.16</v>
      </c>
      <c r="AO106" s="4">
        <v>28354.12</v>
      </c>
      <c r="AP106" s="4">
        <v>25907.02</v>
      </c>
      <c r="AQ106" s="4">
        <v>17455.14</v>
      </c>
      <c r="AR106" s="4">
        <v>31166.18</v>
      </c>
      <c r="AS106" s="4">
        <v>43082.61</v>
      </c>
      <c r="AT106" s="4">
        <v>66001.039999999994</v>
      </c>
      <c r="AU106" s="4">
        <v>4916.3500000000004</v>
      </c>
      <c r="AV106" s="4">
        <v>51808.72</v>
      </c>
      <c r="AW106" s="4">
        <v>15471.29</v>
      </c>
      <c r="AX106" s="4">
        <v>3549.64</v>
      </c>
      <c r="AY106" s="4">
        <v>8404.1</v>
      </c>
      <c r="AZ106" s="4">
        <v>52198.84</v>
      </c>
      <c r="BA106" s="4">
        <v>12193.98</v>
      </c>
      <c r="BB106" s="4">
        <v>38820</v>
      </c>
      <c r="BC106" s="4">
        <v>3699.85</v>
      </c>
      <c r="BD106" s="4">
        <v>268547.32</v>
      </c>
      <c r="BE106" s="4">
        <v>23228.99</v>
      </c>
      <c r="BF106" s="4">
        <f t="shared" ref="BF106:BF115" si="68">SUM(E106:BE106)</f>
        <v>2833763.6500000008</v>
      </c>
      <c r="BG106" s="4">
        <f t="shared" ref="BG106:BG115" si="69">SUM(E106:W106)</f>
        <v>1608100.76</v>
      </c>
      <c r="BH106" s="4">
        <f t="shared" ref="BH106:BH115" si="70">SUM(X106:AJ106)</f>
        <v>310215.82999999996</v>
      </c>
      <c r="BI106" s="4">
        <f t="shared" ref="BI106:BI115" si="71">SUM(AK106:BE106)</f>
        <v>915447.05999999982</v>
      </c>
    </row>
    <row r="107" spans="2:61" x14ac:dyDescent="0.3">
      <c r="C107">
        <v>441</v>
      </c>
      <c r="D107" t="s">
        <v>164</v>
      </c>
      <c r="E107" s="4">
        <v>0</v>
      </c>
      <c r="F107" s="4">
        <v>0</v>
      </c>
      <c r="G107" s="4">
        <v>0</v>
      </c>
      <c r="H107" s="4">
        <v>0</v>
      </c>
      <c r="I107" s="4">
        <v>0</v>
      </c>
      <c r="J107" s="4">
        <v>0</v>
      </c>
      <c r="K107" s="4">
        <v>0</v>
      </c>
      <c r="L107" s="4">
        <v>0</v>
      </c>
      <c r="M107" s="4">
        <v>0</v>
      </c>
      <c r="N107" s="4">
        <v>0</v>
      </c>
      <c r="O107" s="4">
        <v>5580</v>
      </c>
      <c r="P107" s="4">
        <v>0</v>
      </c>
      <c r="Q107" s="4">
        <v>0</v>
      </c>
      <c r="R107" s="4">
        <v>0</v>
      </c>
      <c r="S107" s="4">
        <v>0</v>
      </c>
      <c r="T107" s="4">
        <v>0</v>
      </c>
      <c r="U107" s="4">
        <v>0</v>
      </c>
      <c r="V107" s="4">
        <v>0</v>
      </c>
      <c r="W107" s="4">
        <v>86244.2</v>
      </c>
      <c r="X107" s="4">
        <v>0</v>
      </c>
      <c r="Y107" s="4">
        <v>0</v>
      </c>
      <c r="Z107" s="4">
        <v>0</v>
      </c>
      <c r="AA107" s="4">
        <v>0</v>
      </c>
      <c r="AB107" s="4">
        <v>740</v>
      </c>
      <c r="AC107" s="4">
        <v>0</v>
      </c>
      <c r="AD107" s="4">
        <v>0</v>
      </c>
      <c r="AE107" s="4">
        <v>46655</v>
      </c>
      <c r="AF107" s="4">
        <v>0</v>
      </c>
      <c r="AG107" s="4">
        <v>3210</v>
      </c>
      <c r="AH107" s="4">
        <v>152600.54999999999</v>
      </c>
      <c r="AI107" s="4">
        <v>0</v>
      </c>
      <c r="AJ107" s="4">
        <v>0</v>
      </c>
      <c r="AK107" s="4">
        <v>0</v>
      </c>
      <c r="AL107" s="4">
        <v>0</v>
      </c>
      <c r="AM107" s="4">
        <v>1400</v>
      </c>
      <c r="AN107" s="4">
        <v>0</v>
      </c>
      <c r="AO107" s="4">
        <v>75390</v>
      </c>
      <c r="AP107" s="4">
        <v>0</v>
      </c>
      <c r="AQ107" s="4">
        <v>0</v>
      </c>
      <c r="AR107" s="4">
        <v>43060</v>
      </c>
      <c r="AS107" s="4">
        <v>0</v>
      </c>
      <c r="AT107" s="4">
        <v>0</v>
      </c>
      <c r="AU107" s="4">
        <v>0</v>
      </c>
      <c r="AV107" s="4">
        <v>0</v>
      </c>
      <c r="AW107" s="4">
        <v>0</v>
      </c>
      <c r="AX107" s="4">
        <v>0</v>
      </c>
      <c r="AY107" s="4">
        <v>4030</v>
      </c>
      <c r="AZ107" s="4">
        <v>0</v>
      </c>
      <c r="BA107" s="4">
        <v>0</v>
      </c>
      <c r="BB107" s="4">
        <v>24672.5</v>
      </c>
      <c r="BC107" s="4">
        <v>0</v>
      </c>
      <c r="BD107" s="4">
        <v>0</v>
      </c>
      <c r="BE107" s="4">
        <v>0</v>
      </c>
      <c r="BF107" s="4">
        <f t="shared" si="68"/>
        <v>443582.25</v>
      </c>
      <c r="BG107" s="4">
        <f t="shared" si="69"/>
        <v>91824.2</v>
      </c>
      <c r="BH107" s="4">
        <f t="shared" si="70"/>
        <v>203205.55</v>
      </c>
      <c r="BI107" s="4">
        <f t="shared" si="71"/>
        <v>148552.5</v>
      </c>
    </row>
    <row r="108" spans="2:61" x14ac:dyDescent="0.3">
      <c r="C108">
        <v>442</v>
      </c>
      <c r="D108" t="s">
        <v>165</v>
      </c>
      <c r="E108" s="4">
        <v>60.1</v>
      </c>
      <c r="F108" s="4">
        <v>0</v>
      </c>
      <c r="G108" s="4">
        <v>0</v>
      </c>
      <c r="H108" s="4">
        <v>0</v>
      </c>
      <c r="I108" s="4">
        <v>6026</v>
      </c>
      <c r="J108" s="4">
        <v>37</v>
      </c>
      <c r="K108" s="4">
        <v>0</v>
      </c>
      <c r="L108" s="4">
        <v>56657.5</v>
      </c>
      <c r="M108" s="4">
        <v>0</v>
      </c>
      <c r="N108" s="4">
        <v>0</v>
      </c>
      <c r="O108" s="4">
        <v>3677.5</v>
      </c>
      <c r="P108" s="4">
        <v>0</v>
      </c>
      <c r="Q108" s="4">
        <v>34.67</v>
      </c>
      <c r="R108" s="4">
        <v>0</v>
      </c>
      <c r="S108" s="4">
        <v>0</v>
      </c>
      <c r="T108" s="4">
        <v>325</v>
      </c>
      <c r="U108" s="4">
        <v>0</v>
      </c>
      <c r="V108" s="4">
        <v>0</v>
      </c>
      <c r="W108" s="4">
        <v>219.42</v>
      </c>
      <c r="X108" s="4">
        <v>5</v>
      </c>
      <c r="Y108" s="4">
        <v>0</v>
      </c>
      <c r="Z108" s="4">
        <v>0</v>
      </c>
      <c r="AA108" s="4">
        <v>0</v>
      </c>
      <c r="AB108" s="4">
        <v>0</v>
      </c>
      <c r="AC108" s="4">
        <v>880</v>
      </c>
      <c r="AD108" s="4">
        <v>0</v>
      </c>
      <c r="AE108" s="4">
        <v>0</v>
      </c>
      <c r="AF108" s="4">
        <v>11004.9</v>
      </c>
      <c r="AG108" s="4">
        <v>7415</v>
      </c>
      <c r="AH108" s="4">
        <v>0</v>
      </c>
      <c r="AI108" s="4">
        <v>0</v>
      </c>
      <c r="AJ108" s="4">
        <v>0</v>
      </c>
      <c r="AK108" s="4">
        <v>0</v>
      </c>
      <c r="AL108" s="4">
        <v>16218</v>
      </c>
      <c r="AM108" s="4">
        <v>0</v>
      </c>
      <c r="AN108" s="4">
        <v>0</v>
      </c>
      <c r="AO108" s="4">
        <v>0</v>
      </c>
      <c r="AP108" s="4">
        <v>20</v>
      </c>
      <c r="AQ108" s="4">
        <v>0</v>
      </c>
      <c r="AR108" s="4">
        <v>6957</v>
      </c>
      <c r="AS108" s="4">
        <v>0</v>
      </c>
      <c r="AT108" s="4">
        <v>380</v>
      </c>
      <c r="AU108" s="4">
        <v>0</v>
      </c>
      <c r="AV108" s="4">
        <v>1657.5</v>
      </c>
      <c r="AW108" s="4">
        <v>1926.33</v>
      </c>
      <c r="AX108" s="4">
        <v>0</v>
      </c>
      <c r="AY108" s="4">
        <v>0</v>
      </c>
      <c r="AZ108" s="4">
        <v>0</v>
      </c>
      <c r="BA108" s="4">
        <v>0</v>
      </c>
      <c r="BB108" s="4">
        <v>302.25</v>
      </c>
      <c r="BC108" s="4">
        <v>0</v>
      </c>
      <c r="BD108" s="4">
        <v>22531.75</v>
      </c>
      <c r="BE108" s="4">
        <v>20</v>
      </c>
      <c r="BF108" s="4">
        <f t="shared" si="68"/>
        <v>136354.91999999998</v>
      </c>
      <c r="BG108" s="4">
        <f t="shared" si="69"/>
        <v>67037.19</v>
      </c>
      <c r="BH108" s="4">
        <f t="shared" si="70"/>
        <v>19304.900000000001</v>
      </c>
      <c r="BI108" s="4">
        <f t="shared" si="71"/>
        <v>50012.83</v>
      </c>
    </row>
    <row r="109" spans="2:61" x14ac:dyDescent="0.3">
      <c r="C109">
        <v>443</v>
      </c>
      <c r="D109" t="s">
        <v>166</v>
      </c>
      <c r="E109" s="4">
        <v>22991.5</v>
      </c>
      <c r="F109" s="4">
        <v>19700</v>
      </c>
      <c r="G109" s="4">
        <v>106274.55</v>
      </c>
      <c r="H109" s="4">
        <v>75065</v>
      </c>
      <c r="I109" s="4">
        <v>385439</v>
      </c>
      <c r="J109" s="4">
        <v>130480</v>
      </c>
      <c r="K109" s="4">
        <v>130147</v>
      </c>
      <c r="L109" s="4">
        <v>570442.55000000005</v>
      </c>
      <c r="M109" s="4">
        <v>20756.900000000001</v>
      </c>
      <c r="N109" s="4">
        <v>19000</v>
      </c>
      <c r="O109" s="4">
        <v>128634.95</v>
      </c>
      <c r="P109" s="4">
        <v>27510</v>
      </c>
      <c r="Q109" s="4">
        <v>10140</v>
      </c>
      <c r="R109" s="4">
        <v>28680</v>
      </c>
      <c r="S109" s="4">
        <v>11400</v>
      </c>
      <c r="T109" s="4">
        <v>55367</v>
      </c>
      <c r="U109" s="4">
        <v>0</v>
      </c>
      <c r="V109" s="4">
        <v>23605</v>
      </c>
      <c r="W109" s="4">
        <v>126933.5</v>
      </c>
      <c r="X109" s="4">
        <v>14330</v>
      </c>
      <c r="Y109" s="4">
        <v>42715</v>
      </c>
      <c r="Z109" s="4">
        <v>9605</v>
      </c>
      <c r="AA109" s="4">
        <v>13934</v>
      </c>
      <c r="AB109" s="4">
        <v>24580</v>
      </c>
      <c r="AC109" s="4">
        <v>12404.1</v>
      </c>
      <c r="AD109" s="4">
        <v>80000.5</v>
      </c>
      <c r="AE109" s="4">
        <v>2110</v>
      </c>
      <c r="AF109" s="4">
        <v>87195</v>
      </c>
      <c r="AG109" s="4">
        <v>93783.45</v>
      </c>
      <c r="AH109" s="4">
        <v>46144.2</v>
      </c>
      <c r="AI109" s="4">
        <v>46.43</v>
      </c>
      <c r="AJ109" s="4">
        <v>41705</v>
      </c>
      <c r="AK109" s="4">
        <v>0</v>
      </c>
      <c r="AL109" s="4">
        <v>243841.9</v>
      </c>
      <c r="AM109" s="4">
        <v>75767</v>
      </c>
      <c r="AN109" s="4">
        <v>10735.7</v>
      </c>
      <c r="AO109" s="4">
        <v>204430.2</v>
      </c>
      <c r="AP109" s="4">
        <v>25952.2</v>
      </c>
      <c r="AQ109" s="4">
        <v>4193.55</v>
      </c>
      <c r="AR109" s="4">
        <v>437887.87</v>
      </c>
      <c r="AS109" s="4">
        <v>10542.4</v>
      </c>
      <c r="AT109" s="4">
        <v>82790</v>
      </c>
      <c r="AU109" s="4">
        <v>25640</v>
      </c>
      <c r="AV109" s="4">
        <v>0</v>
      </c>
      <c r="AW109" s="4">
        <v>11017.35</v>
      </c>
      <c r="AX109" s="4">
        <v>2432.5</v>
      </c>
      <c r="AY109" s="4">
        <v>39303.699999999997</v>
      </c>
      <c r="AZ109" s="4">
        <v>66998.3</v>
      </c>
      <c r="BA109" s="4">
        <v>32771</v>
      </c>
      <c r="BB109" s="4">
        <v>113307.5</v>
      </c>
      <c r="BC109" s="4">
        <v>3000</v>
      </c>
      <c r="BD109" s="4">
        <v>261552.3</v>
      </c>
      <c r="BE109" s="4">
        <v>49874.6</v>
      </c>
      <c r="BF109" s="4">
        <f t="shared" si="68"/>
        <v>4063157.7000000007</v>
      </c>
      <c r="BG109" s="4">
        <f t="shared" si="69"/>
        <v>1892566.95</v>
      </c>
      <c r="BH109" s="4">
        <f t="shared" si="70"/>
        <v>468552.68</v>
      </c>
      <c r="BI109" s="4">
        <f t="shared" si="71"/>
        <v>1702038.0700000003</v>
      </c>
    </row>
    <row r="110" spans="2:61" x14ac:dyDescent="0.3">
      <c r="C110">
        <v>444</v>
      </c>
      <c r="D110" t="s">
        <v>106</v>
      </c>
      <c r="E110" s="4">
        <v>0</v>
      </c>
      <c r="F110" s="4">
        <v>0</v>
      </c>
      <c r="G110" s="4">
        <v>0</v>
      </c>
      <c r="H110" s="4">
        <v>0</v>
      </c>
      <c r="I110" s="4">
        <v>61160</v>
      </c>
      <c r="J110" s="4">
        <v>0</v>
      </c>
      <c r="K110" s="4">
        <v>0</v>
      </c>
      <c r="L110" s="4">
        <v>0</v>
      </c>
      <c r="M110" s="4">
        <v>140</v>
      </c>
      <c r="N110" s="4">
        <v>0</v>
      </c>
      <c r="O110" s="4">
        <v>22240</v>
      </c>
      <c r="P110" s="4">
        <v>0</v>
      </c>
      <c r="Q110" s="4">
        <v>0</v>
      </c>
      <c r="R110" s="4">
        <v>0</v>
      </c>
      <c r="S110" s="4">
        <v>0</v>
      </c>
      <c r="T110" s="4">
        <v>0</v>
      </c>
      <c r="U110" s="4">
        <v>14800</v>
      </c>
      <c r="V110" s="4">
        <v>0</v>
      </c>
      <c r="W110" s="4">
        <v>0</v>
      </c>
      <c r="X110" s="4">
        <v>0</v>
      </c>
      <c r="Y110" s="4">
        <v>0</v>
      </c>
      <c r="Z110" s="4">
        <v>0</v>
      </c>
      <c r="AA110" s="4">
        <v>200</v>
      </c>
      <c r="AB110" s="4">
        <v>0</v>
      </c>
      <c r="AC110" s="4">
        <v>11120</v>
      </c>
      <c r="AD110" s="4">
        <v>0</v>
      </c>
      <c r="AE110" s="4">
        <v>0</v>
      </c>
      <c r="AF110" s="4">
        <v>0</v>
      </c>
      <c r="AG110" s="4">
        <v>0</v>
      </c>
      <c r="AH110" s="4">
        <v>26840</v>
      </c>
      <c r="AI110" s="4">
        <v>0</v>
      </c>
      <c r="AJ110" s="4">
        <v>0</v>
      </c>
      <c r="AK110" s="4">
        <v>0</v>
      </c>
      <c r="AL110" s="4">
        <v>0</v>
      </c>
      <c r="AM110" s="4">
        <v>0</v>
      </c>
      <c r="AN110" s="4">
        <v>0</v>
      </c>
      <c r="AO110" s="4">
        <v>0</v>
      </c>
      <c r="AP110" s="4">
        <v>0</v>
      </c>
      <c r="AQ110" s="4">
        <v>0</v>
      </c>
      <c r="AR110" s="4">
        <v>0</v>
      </c>
      <c r="AS110" s="4">
        <v>140026</v>
      </c>
      <c r="AT110" s="4">
        <v>0</v>
      </c>
      <c r="AU110" s="4">
        <v>0</v>
      </c>
      <c r="AV110" s="4">
        <v>0</v>
      </c>
      <c r="AW110" s="4">
        <v>22240</v>
      </c>
      <c r="AX110" s="4">
        <v>0</v>
      </c>
      <c r="AY110" s="4">
        <v>0</v>
      </c>
      <c r="AZ110" s="4">
        <v>26800</v>
      </c>
      <c r="BA110" s="4">
        <v>40</v>
      </c>
      <c r="BB110" s="4">
        <v>11120</v>
      </c>
      <c r="BC110" s="4">
        <v>0</v>
      </c>
      <c r="BD110" s="4">
        <v>813614.4</v>
      </c>
      <c r="BE110" s="4">
        <v>0</v>
      </c>
      <c r="BF110" s="4">
        <f t="shared" si="68"/>
        <v>1150340.3999999999</v>
      </c>
      <c r="BG110" s="4">
        <f t="shared" si="69"/>
        <v>98340</v>
      </c>
      <c r="BH110" s="4">
        <f t="shared" si="70"/>
        <v>38160</v>
      </c>
      <c r="BI110" s="4">
        <f t="shared" si="71"/>
        <v>1013840.4</v>
      </c>
    </row>
    <row r="111" spans="2:61" x14ac:dyDescent="0.3">
      <c r="C111">
        <v>445</v>
      </c>
      <c r="D111" t="s">
        <v>167</v>
      </c>
      <c r="E111" s="4">
        <v>0</v>
      </c>
      <c r="F111" s="4">
        <v>0</v>
      </c>
      <c r="G111" s="4">
        <v>0</v>
      </c>
      <c r="H111" s="4">
        <v>0</v>
      </c>
      <c r="I111" s="4">
        <v>0</v>
      </c>
      <c r="J111" s="4">
        <v>0</v>
      </c>
      <c r="K111" s="4">
        <v>0</v>
      </c>
      <c r="L111" s="4">
        <v>173538</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40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173578</v>
      </c>
      <c r="BG111" s="4">
        <f t="shared" si="69"/>
        <v>173538</v>
      </c>
      <c r="BH111" s="4">
        <f t="shared" si="70"/>
        <v>0</v>
      </c>
      <c r="BI111" s="4">
        <f t="shared" si="71"/>
        <v>40</v>
      </c>
    </row>
    <row r="112" spans="2:61" x14ac:dyDescent="0.3">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3">
      <c r="C113">
        <v>447</v>
      </c>
      <c r="D113" t="s">
        <v>169</v>
      </c>
      <c r="E113" s="4">
        <v>1287.25</v>
      </c>
      <c r="F113" s="4">
        <v>1020</v>
      </c>
      <c r="G113" s="4">
        <v>0</v>
      </c>
      <c r="H113" s="4">
        <v>50000</v>
      </c>
      <c r="I113" s="4">
        <v>64109.9</v>
      </c>
      <c r="J113" s="4">
        <v>72558.3</v>
      </c>
      <c r="K113" s="4">
        <v>91420</v>
      </c>
      <c r="L113" s="4">
        <v>1354288.88</v>
      </c>
      <c r="M113" s="4">
        <v>14754.5</v>
      </c>
      <c r="N113" s="4">
        <v>100</v>
      </c>
      <c r="O113" s="4">
        <v>168155.95</v>
      </c>
      <c r="P113" s="4">
        <v>32518.400000000001</v>
      </c>
      <c r="Q113" s="4">
        <v>3850</v>
      </c>
      <c r="R113" s="4">
        <v>1620</v>
      </c>
      <c r="S113" s="4">
        <v>11760</v>
      </c>
      <c r="T113" s="4">
        <v>4660</v>
      </c>
      <c r="U113" s="4">
        <v>31798</v>
      </c>
      <c r="V113" s="4">
        <v>23390</v>
      </c>
      <c r="W113" s="4">
        <v>170589.9</v>
      </c>
      <c r="X113" s="4">
        <v>47101.05</v>
      </c>
      <c r="Y113" s="4">
        <v>19190</v>
      </c>
      <c r="Z113" s="4">
        <v>16641.349999999999</v>
      </c>
      <c r="AA113" s="4">
        <v>25435.200000000001</v>
      </c>
      <c r="AB113" s="4">
        <v>0</v>
      </c>
      <c r="AC113" s="4">
        <v>41066</v>
      </c>
      <c r="AD113" s="4">
        <v>64317</v>
      </c>
      <c r="AE113" s="4">
        <v>8990</v>
      </c>
      <c r="AF113" s="4">
        <v>48135</v>
      </c>
      <c r="AG113" s="4">
        <v>78656.5</v>
      </c>
      <c r="AH113" s="4">
        <v>181245.75</v>
      </c>
      <c r="AI113" s="4">
        <v>13914.8</v>
      </c>
      <c r="AJ113" s="4">
        <v>600</v>
      </c>
      <c r="AK113" s="4">
        <v>18831.849999999999</v>
      </c>
      <c r="AL113" s="4">
        <v>262966.09999999998</v>
      </c>
      <c r="AM113" s="4">
        <v>49099</v>
      </c>
      <c r="AN113" s="4">
        <v>8687</v>
      </c>
      <c r="AO113" s="4">
        <v>38577.699999999997</v>
      </c>
      <c r="AP113" s="4">
        <v>68918.05</v>
      </c>
      <c r="AQ113" s="4">
        <v>17593.45</v>
      </c>
      <c r="AR113" s="4">
        <v>126086.7</v>
      </c>
      <c r="AS113" s="4">
        <v>44913.45</v>
      </c>
      <c r="AT113" s="4">
        <v>68328.05</v>
      </c>
      <c r="AU113" s="4">
        <v>13200</v>
      </c>
      <c r="AV113" s="4">
        <v>81198.600000000006</v>
      </c>
      <c r="AW113" s="4">
        <v>10360</v>
      </c>
      <c r="AX113" s="4">
        <v>11073.4</v>
      </c>
      <c r="AY113" s="4">
        <v>7876</v>
      </c>
      <c r="AZ113" s="4">
        <v>31260</v>
      </c>
      <c r="BA113" s="4">
        <v>300</v>
      </c>
      <c r="BB113" s="4">
        <v>101715.75</v>
      </c>
      <c r="BC113" s="4">
        <v>7508.65</v>
      </c>
      <c r="BD113" s="4">
        <v>1079119.8999999999</v>
      </c>
      <c r="BE113" s="4">
        <v>10617.5</v>
      </c>
      <c r="BF113" s="4">
        <f t="shared" si="68"/>
        <v>4701404.88</v>
      </c>
      <c r="BG113" s="4">
        <f t="shared" si="69"/>
        <v>2097881.0799999996</v>
      </c>
      <c r="BH113" s="4">
        <f t="shared" si="70"/>
        <v>545292.65</v>
      </c>
      <c r="BI113" s="4">
        <f t="shared" si="71"/>
        <v>2058231.15</v>
      </c>
    </row>
    <row r="114" spans="2:61" x14ac:dyDescent="0.3">
      <c r="C114">
        <v>448</v>
      </c>
      <c r="D114" t="s">
        <v>170</v>
      </c>
      <c r="E114" s="4">
        <v>0</v>
      </c>
      <c r="F114" s="4">
        <v>0</v>
      </c>
      <c r="G114" s="4">
        <v>0</v>
      </c>
      <c r="H114" s="4">
        <v>0</v>
      </c>
      <c r="I114" s="4">
        <v>0</v>
      </c>
      <c r="J114" s="4"/>
      <c r="K114" s="4">
        <v>0</v>
      </c>
      <c r="L114" s="4">
        <v>0</v>
      </c>
      <c r="M114" s="4">
        <v>0</v>
      </c>
      <c r="N114" s="4">
        <v>0</v>
      </c>
      <c r="O114" s="4">
        <v>0</v>
      </c>
      <c r="P114" s="4">
        <v>0</v>
      </c>
      <c r="Q114" s="4">
        <v>0</v>
      </c>
      <c r="R114" s="4">
        <v>0</v>
      </c>
      <c r="S114" s="4">
        <v>0</v>
      </c>
      <c r="T114" s="4">
        <v>0</v>
      </c>
      <c r="U114" s="4">
        <v>0</v>
      </c>
      <c r="V114" s="4">
        <v>0</v>
      </c>
      <c r="W114" s="4">
        <v>0</v>
      </c>
      <c r="X114" s="4">
        <v>125</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125</v>
      </c>
      <c r="BG114" s="4">
        <f t="shared" si="69"/>
        <v>0</v>
      </c>
      <c r="BH114" s="4">
        <f t="shared" si="70"/>
        <v>125</v>
      </c>
      <c r="BI114" s="4">
        <f t="shared" si="71"/>
        <v>0</v>
      </c>
    </row>
    <row r="115" spans="2:61" x14ac:dyDescent="0.3">
      <c r="C115">
        <v>449</v>
      </c>
      <c r="D115" t="s">
        <v>171</v>
      </c>
      <c r="E115" s="4">
        <v>0</v>
      </c>
      <c r="F115" s="4">
        <v>0</v>
      </c>
      <c r="G115" s="4">
        <v>0</v>
      </c>
      <c r="H115" s="4">
        <v>0</v>
      </c>
      <c r="I115" s="4">
        <v>0</v>
      </c>
      <c r="J115" s="4"/>
      <c r="K115" s="4">
        <v>0</v>
      </c>
      <c r="L115" s="4">
        <v>0</v>
      </c>
      <c r="M115" s="4">
        <v>0</v>
      </c>
      <c r="N115" s="4">
        <v>0</v>
      </c>
      <c r="O115" s="4">
        <v>2553.62</v>
      </c>
      <c r="P115" s="4">
        <v>0</v>
      </c>
      <c r="Q115" s="4">
        <v>0</v>
      </c>
      <c r="R115" s="4">
        <v>0</v>
      </c>
      <c r="S115" s="4">
        <v>0</v>
      </c>
      <c r="T115" s="4">
        <v>0</v>
      </c>
      <c r="U115" s="4">
        <v>0</v>
      </c>
      <c r="V115" s="4">
        <v>0</v>
      </c>
      <c r="W115" s="4">
        <v>0</v>
      </c>
      <c r="X115" s="4"/>
      <c r="Y115" s="4">
        <v>0</v>
      </c>
      <c r="Z115" s="4">
        <v>84000</v>
      </c>
      <c r="AA115" s="4">
        <v>0</v>
      </c>
      <c r="AB115" s="4">
        <v>0</v>
      </c>
      <c r="AC115" s="4">
        <v>0</v>
      </c>
      <c r="AD115" s="4">
        <v>0</v>
      </c>
      <c r="AE115" s="4">
        <v>0</v>
      </c>
      <c r="AF115" s="4">
        <v>0</v>
      </c>
      <c r="AG115" s="4">
        <v>3.11</v>
      </c>
      <c r="AH115" s="4">
        <v>0</v>
      </c>
      <c r="AI115" s="4">
        <v>0</v>
      </c>
      <c r="AJ115" s="4">
        <v>0</v>
      </c>
      <c r="AK115" s="4">
        <v>0</v>
      </c>
      <c r="AL115" s="4">
        <v>1607</v>
      </c>
      <c r="AM115" s="4">
        <v>0</v>
      </c>
      <c r="AN115" s="4">
        <v>0</v>
      </c>
      <c r="AO115" s="4">
        <v>0</v>
      </c>
      <c r="AP115" s="4">
        <v>0</v>
      </c>
      <c r="AQ115" s="4">
        <v>0</v>
      </c>
      <c r="AR115" s="4">
        <v>0</v>
      </c>
      <c r="AS115" s="4">
        <v>0</v>
      </c>
      <c r="AT115" s="4">
        <v>0</v>
      </c>
      <c r="AU115" s="4">
        <v>93.05</v>
      </c>
      <c r="AV115" s="4">
        <v>300104.21000000002</v>
      </c>
      <c r="AW115" s="4">
        <v>0</v>
      </c>
      <c r="AX115" s="4">
        <v>0</v>
      </c>
      <c r="AY115" s="4">
        <v>0</v>
      </c>
      <c r="AZ115" s="4">
        <v>0</v>
      </c>
      <c r="BA115" s="4">
        <v>200</v>
      </c>
      <c r="BB115" s="4">
        <v>0</v>
      </c>
      <c r="BC115" s="4">
        <v>0</v>
      </c>
      <c r="BD115" s="4">
        <v>753.78</v>
      </c>
      <c r="BE115" s="4">
        <v>0</v>
      </c>
      <c r="BF115" s="4">
        <f t="shared" si="68"/>
        <v>389314.77</v>
      </c>
      <c r="BG115" s="4">
        <f t="shared" si="69"/>
        <v>2553.62</v>
      </c>
      <c r="BH115" s="4">
        <f t="shared" si="70"/>
        <v>84003.11</v>
      </c>
      <c r="BI115" s="4">
        <f t="shared" si="71"/>
        <v>302758.04000000004</v>
      </c>
    </row>
    <row r="116" spans="2:61" x14ac:dyDescent="0.3">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3">
      <c r="B117" s="96">
        <v>45</v>
      </c>
      <c r="C117" s="96"/>
      <c r="D117" s="96" t="s">
        <v>174</v>
      </c>
      <c r="E117" s="91">
        <f>E118+E119</f>
        <v>2612.4499999999998</v>
      </c>
      <c r="F117" s="91">
        <f t="shared" ref="F117:BI117" si="72">F118+F119</f>
        <v>0</v>
      </c>
      <c r="G117" s="91">
        <f t="shared" si="72"/>
        <v>52538.2</v>
      </c>
      <c r="H117" s="91">
        <f t="shared" si="72"/>
        <v>88690.26</v>
      </c>
      <c r="I117" s="91">
        <f t="shared" si="72"/>
        <v>13041.1</v>
      </c>
      <c r="J117" s="91">
        <f t="shared" si="72"/>
        <v>9247.6</v>
      </c>
      <c r="K117" s="91">
        <f t="shared" si="72"/>
        <v>25559.85</v>
      </c>
      <c r="L117" s="91">
        <f t="shared" si="72"/>
        <v>41211.35</v>
      </c>
      <c r="M117" s="91">
        <f t="shared" si="72"/>
        <v>3896.35</v>
      </c>
      <c r="N117" s="91">
        <f t="shared" si="72"/>
        <v>0</v>
      </c>
      <c r="O117" s="91">
        <f t="shared" si="72"/>
        <v>19882.5</v>
      </c>
      <c r="P117" s="91">
        <f t="shared" si="72"/>
        <v>28838.6</v>
      </c>
      <c r="Q117" s="91">
        <f t="shared" si="72"/>
        <v>37386</v>
      </c>
      <c r="R117" s="91">
        <f t="shared" si="72"/>
        <v>0</v>
      </c>
      <c r="S117" s="91">
        <f t="shared" si="72"/>
        <v>0</v>
      </c>
      <c r="T117" s="91">
        <f t="shared" si="72"/>
        <v>1908.7</v>
      </c>
      <c r="U117" s="91">
        <f t="shared" si="72"/>
        <v>760.75</v>
      </c>
      <c r="V117" s="91">
        <f t="shared" si="72"/>
        <v>1216</v>
      </c>
      <c r="W117" s="91">
        <f t="shared" si="72"/>
        <v>9045.5</v>
      </c>
      <c r="X117" s="91">
        <f t="shared" si="72"/>
        <v>41223.699999999997</v>
      </c>
      <c r="Y117" s="91">
        <f t="shared" si="72"/>
        <v>3475.3</v>
      </c>
      <c r="Z117" s="91">
        <f t="shared" si="72"/>
        <v>4359.18</v>
      </c>
      <c r="AA117" s="91">
        <f t="shared" si="72"/>
        <v>0</v>
      </c>
      <c r="AB117" s="91">
        <f t="shared" si="72"/>
        <v>1826.6999999999998</v>
      </c>
      <c r="AC117" s="91">
        <f t="shared" si="72"/>
        <v>17757.55</v>
      </c>
      <c r="AD117" s="91">
        <f t="shared" si="72"/>
        <v>1896.3</v>
      </c>
      <c r="AE117" s="91">
        <f t="shared" si="72"/>
        <v>1622.9</v>
      </c>
      <c r="AF117" s="91">
        <f t="shared" si="72"/>
        <v>101694.38</v>
      </c>
      <c r="AG117" s="91">
        <f t="shared" si="72"/>
        <v>58682.9</v>
      </c>
      <c r="AH117" s="91">
        <f t="shared" si="72"/>
        <v>18815.599999999999</v>
      </c>
      <c r="AI117" s="91">
        <f t="shared" si="72"/>
        <v>2.81</v>
      </c>
      <c r="AJ117" s="91">
        <f t="shared" si="72"/>
        <v>13682</v>
      </c>
      <c r="AK117" s="91">
        <f t="shared" si="72"/>
        <v>19457.7</v>
      </c>
      <c r="AL117" s="91">
        <f t="shared" si="72"/>
        <v>37404.5</v>
      </c>
      <c r="AM117" s="91">
        <f t="shared" si="72"/>
        <v>0</v>
      </c>
      <c r="AN117" s="91">
        <f t="shared" si="72"/>
        <v>329.1</v>
      </c>
      <c r="AO117" s="91">
        <f t="shared" si="72"/>
        <v>30380.65</v>
      </c>
      <c r="AP117" s="91">
        <f t="shared" si="72"/>
        <v>10472.85</v>
      </c>
      <c r="AQ117" s="91">
        <f t="shared" si="72"/>
        <v>1826.8</v>
      </c>
      <c r="AR117" s="91">
        <f t="shared" si="72"/>
        <v>419685.15</v>
      </c>
      <c r="AS117" s="91">
        <f t="shared" si="72"/>
        <v>77123</v>
      </c>
      <c r="AT117" s="91">
        <f t="shared" si="72"/>
        <v>20060.32</v>
      </c>
      <c r="AU117" s="91">
        <f t="shared" si="72"/>
        <v>70569.3</v>
      </c>
      <c r="AV117" s="91">
        <f t="shared" si="72"/>
        <v>6700.85</v>
      </c>
      <c r="AW117" s="91">
        <f t="shared" si="72"/>
        <v>2179.9499999999998</v>
      </c>
      <c r="AX117" s="91">
        <f t="shared" si="72"/>
        <v>529.95000000000005</v>
      </c>
      <c r="AY117" s="91">
        <f t="shared" si="72"/>
        <v>0</v>
      </c>
      <c r="AZ117" s="91">
        <f t="shared" si="72"/>
        <v>9743.15</v>
      </c>
      <c r="BA117" s="91">
        <f t="shared" si="72"/>
        <v>0</v>
      </c>
      <c r="BB117" s="91">
        <f t="shared" si="72"/>
        <v>0</v>
      </c>
      <c r="BC117" s="91">
        <f t="shared" si="72"/>
        <v>0</v>
      </c>
      <c r="BD117" s="91">
        <f t="shared" si="72"/>
        <v>820.95000000000073</v>
      </c>
      <c r="BE117" s="91">
        <f t="shared" si="72"/>
        <v>96</v>
      </c>
      <c r="BF117" s="91">
        <f t="shared" si="72"/>
        <v>1308254.75</v>
      </c>
      <c r="BG117" s="91">
        <f t="shared" si="72"/>
        <v>335835.21</v>
      </c>
      <c r="BH117" s="91">
        <f t="shared" si="72"/>
        <v>265039.32</v>
      </c>
      <c r="BI117" s="91">
        <f t="shared" si="72"/>
        <v>707380.22</v>
      </c>
    </row>
    <row r="118" spans="2:61" x14ac:dyDescent="0.3">
      <c r="C118">
        <v>450</v>
      </c>
      <c r="D118" t="s">
        <v>172</v>
      </c>
      <c r="E118" s="4">
        <v>2612.4499999999998</v>
      </c>
      <c r="F118" s="4">
        <v>0</v>
      </c>
      <c r="G118" s="4">
        <v>0</v>
      </c>
      <c r="H118" s="4">
        <v>1235</v>
      </c>
      <c r="I118" s="4">
        <v>9924.85</v>
      </c>
      <c r="J118" s="4">
        <v>9247.6</v>
      </c>
      <c r="K118" s="4">
        <v>12779.5</v>
      </c>
      <c r="L118" s="4">
        <v>41211.35</v>
      </c>
      <c r="M118" s="4">
        <v>3896.35</v>
      </c>
      <c r="N118" s="4">
        <v>0</v>
      </c>
      <c r="O118" s="4">
        <v>19882.5</v>
      </c>
      <c r="P118" s="4">
        <v>0</v>
      </c>
      <c r="Q118" s="4">
        <v>0</v>
      </c>
      <c r="R118" s="4">
        <v>0</v>
      </c>
      <c r="S118" s="4">
        <v>0</v>
      </c>
      <c r="T118" s="4">
        <v>1908.7</v>
      </c>
      <c r="U118" s="4">
        <v>760.75</v>
      </c>
      <c r="V118" s="4">
        <v>1216</v>
      </c>
      <c r="W118" s="4">
        <v>9045.5</v>
      </c>
      <c r="X118" s="4">
        <v>1960</v>
      </c>
      <c r="Y118" s="4">
        <v>3475.3</v>
      </c>
      <c r="Z118" s="4">
        <v>4327.6000000000004</v>
      </c>
      <c r="AA118" s="4">
        <v>0</v>
      </c>
      <c r="AB118" s="4">
        <v>423.35</v>
      </c>
      <c r="AC118" s="4">
        <v>0</v>
      </c>
      <c r="AD118" s="4">
        <v>1896.3</v>
      </c>
      <c r="AE118" s="4">
        <v>1622.9</v>
      </c>
      <c r="AF118" s="4">
        <v>0</v>
      </c>
      <c r="AG118" s="4">
        <v>15235.5</v>
      </c>
      <c r="AH118" s="4">
        <v>7403.95</v>
      </c>
      <c r="AI118" s="4">
        <v>0.5</v>
      </c>
      <c r="AJ118" s="4">
        <v>0</v>
      </c>
      <c r="AK118" s="4">
        <v>18457.7</v>
      </c>
      <c r="AL118" s="4">
        <v>0</v>
      </c>
      <c r="AM118" s="4">
        <v>0</v>
      </c>
      <c r="AN118" s="4">
        <v>329.1</v>
      </c>
      <c r="AO118" s="4">
        <v>0</v>
      </c>
      <c r="AP118" s="4">
        <v>0</v>
      </c>
      <c r="AQ118" s="4">
        <v>1826.8</v>
      </c>
      <c r="AR118" s="4">
        <v>21308.9</v>
      </c>
      <c r="AS118" s="4">
        <v>0</v>
      </c>
      <c r="AT118" s="4">
        <v>20000</v>
      </c>
      <c r="AU118" s="4">
        <v>3856.7</v>
      </c>
      <c r="AV118" s="4">
        <v>6699.85</v>
      </c>
      <c r="AW118" s="4">
        <v>2179.9499999999998</v>
      </c>
      <c r="AX118" s="4">
        <v>505.7</v>
      </c>
      <c r="AY118" s="4">
        <v>0</v>
      </c>
      <c r="AZ118" s="4">
        <v>4782.5</v>
      </c>
      <c r="BA118" s="4">
        <v>0</v>
      </c>
      <c r="BB118" s="4">
        <v>0</v>
      </c>
      <c r="BC118" s="4">
        <v>0</v>
      </c>
      <c r="BD118" s="4">
        <v>8262.35</v>
      </c>
      <c r="BE118" s="4">
        <v>0</v>
      </c>
      <c r="BF118" s="4">
        <f t="shared" ref="BF118:BF119" si="73">SUM(E118:BE118)</f>
        <v>238275.50000000006</v>
      </c>
      <c r="BG118" s="4">
        <f t="shared" ref="BG118:BG119" si="74">SUM(E118:W118)</f>
        <v>113720.55</v>
      </c>
      <c r="BH118" s="4">
        <f t="shared" ref="BH118:BH119" si="75">SUM(X118:AJ118)</f>
        <v>36345.4</v>
      </c>
      <c r="BI118" s="4">
        <f t="shared" ref="BI118:BI119" si="76">SUM(AK118:BE118)</f>
        <v>88209.55</v>
      </c>
    </row>
    <row r="119" spans="2:61" x14ac:dyDescent="0.3">
      <c r="C119">
        <v>451</v>
      </c>
      <c r="D119" t="s">
        <v>173</v>
      </c>
      <c r="E119" s="4">
        <v>0</v>
      </c>
      <c r="F119" s="4">
        <v>0</v>
      </c>
      <c r="G119" s="4">
        <v>52538.2</v>
      </c>
      <c r="H119" s="4">
        <v>87455.26</v>
      </c>
      <c r="I119" s="4">
        <v>3116.25</v>
      </c>
      <c r="J119" s="4">
        <v>0</v>
      </c>
      <c r="K119" s="4">
        <v>12780.35</v>
      </c>
      <c r="L119" s="4">
        <v>0</v>
      </c>
      <c r="M119" s="4">
        <v>0</v>
      </c>
      <c r="N119" s="4">
        <v>0</v>
      </c>
      <c r="O119" s="4">
        <v>0</v>
      </c>
      <c r="P119" s="4">
        <v>28838.6</v>
      </c>
      <c r="Q119" s="4">
        <v>37386</v>
      </c>
      <c r="R119" s="4">
        <v>0</v>
      </c>
      <c r="S119" s="4">
        <v>0</v>
      </c>
      <c r="T119" s="4">
        <v>0</v>
      </c>
      <c r="U119" s="4">
        <v>0</v>
      </c>
      <c r="V119" s="4">
        <v>0</v>
      </c>
      <c r="W119" s="4">
        <v>0</v>
      </c>
      <c r="X119" s="4">
        <v>39263.699999999997</v>
      </c>
      <c r="Y119" s="4">
        <v>0</v>
      </c>
      <c r="Z119" s="4">
        <v>31.58</v>
      </c>
      <c r="AA119" s="4">
        <v>0</v>
      </c>
      <c r="AB119" s="4">
        <v>1403.35</v>
      </c>
      <c r="AC119" s="4">
        <v>17757.55</v>
      </c>
      <c r="AD119" s="4">
        <v>0</v>
      </c>
      <c r="AE119" s="4">
        <v>0</v>
      </c>
      <c r="AF119" s="4">
        <v>101694.38</v>
      </c>
      <c r="AG119" s="4">
        <v>43447.4</v>
      </c>
      <c r="AH119" s="4">
        <v>11411.65</v>
      </c>
      <c r="AI119" s="4">
        <v>2.31</v>
      </c>
      <c r="AJ119" s="4">
        <v>13682</v>
      </c>
      <c r="AK119" s="4">
        <v>1000</v>
      </c>
      <c r="AL119" s="4">
        <v>37404.5</v>
      </c>
      <c r="AM119" s="4">
        <v>0</v>
      </c>
      <c r="AN119" s="4">
        <v>0</v>
      </c>
      <c r="AO119" s="4">
        <v>30380.65</v>
      </c>
      <c r="AP119" s="4">
        <v>10472.85</v>
      </c>
      <c r="AQ119" s="4">
        <v>0</v>
      </c>
      <c r="AR119" s="4">
        <v>398376.25</v>
      </c>
      <c r="AS119" s="4">
        <v>77123</v>
      </c>
      <c r="AT119" s="4">
        <v>60.32</v>
      </c>
      <c r="AU119" s="4">
        <v>66712.600000000006</v>
      </c>
      <c r="AV119" s="4">
        <v>1</v>
      </c>
      <c r="AW119" s="4">
        <v>0</v>
      </c>
      <c r="AX119" s="4">
        <v>24.25</v>
      </c>
      <c r="AY119" s="4">
        <v>0</v>
      </c>
      <c r="AZ119" s="4">
        <v>4960.6499999999996</v>
      </c>
      <c r="BA119" s="4">
        <v>0</v>
      </c>
      <c r="BB119" s="4">
        <v>0</v>
      </c>
      <c r="BC119" s="4">
        <v>0</v>
      </c>
      <c r="BD119" s="4">
        <v>-7441.4</v>
      </c>
      <c r="BE119" s="4">
        <v>96</v>
      </c>
      <c r="BF119" s="4">
        <f t="shared" si="73"/>
        <v>1069979.25</v>
      </c>
      <c r="BG119" s="4">
        <f t="shared" si="74"/>
        <v>222114.66</v>
      </c>
      <c r="BH119" s="4">
        <f t="shared" si="75"/>
        <v>228693.91999999998</v>
      </c>
      <c r="BI119" s="4">
        <f t="shared" si="76"/>
        <v>619170.66999999993</v>
      </c>
    </row>
    <row r="120" spans="2:61" x14ac:dyDescent="0.3">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3">
      <c r="B121" s="96">
        <v>46</v>
      </c>
      <c r="C121" s="96"/>
      <c r="D121" s="96" t="s">
        <v>175</v>
      </c>
      <c r="E121" s="91">
        <f>E122+E123+E124+E125+E126</f>
        <v>287612.80000000005</v>
      </c>
      <c r="F121" s="91">
        <f t="shared" ref="F121:BI121" si="77">F122+F123+F124+F125+F126</f>
        <v>237084.9</v>
      </c>
      <c r="G121" s="91">
        <f t="shared" si="77"/>
        <v>203126.45</v>
      </c>
      <c r="H121" s="91">
        <f t="shared" si="77"/>
        <v>232121.80000000002</v>
      </c>
      <c r="I121" s="91">
        <f t="shared" si="77"/>
        <v>1911301.4500000002</v>
      </c>
      <c r="J121" s="91">
        <f t="shared" si="77"/>
        <v>1900093.5799999998</v>
      </c>
      <c r="K121" s="91">
        <f t="shared" si="77"/>
        <v>895208.35000000009</v>
      </c>
      <c r="L121" s="91">
        <f t="shared" si="77"/>
        <v>22665071.859999999</v>
      </c>
      <c r="M121" s="91">
        <f t="shared" si="77"/>
        <v>1271552.44</v>
      </c>
      <c r="N121" s="91">
        <f t="shared" si="77"/>
        <v>118335.35</v>
      </c>
      <c r="O121" s="91">
        <f t="shared" si="77"/>
        <v>3180872.16</v>
      </c>
      <c r="P121" s="91">
        <f t="shared" si="77"/>
        <v>319457.90000000002</v>
      </c>
      <c r="Q121" s="91">
        <f t="shared" si="77"/>
        <v>37987.699999999997</v>
      </c>
      <c r="R121" s="91">
        <f t="shared" si="77"/>
        <v>201129.60000000001</v>
      </c>
      <c r="S121" s="91">
        <f t="shared" si="77"/>
        <v>261674.65</v>
      </c>
      <c r="T121" s="91">
        <f t="shared" si="77"/>
        <v>28857.399999999998</v>
      </c>
      <c r="U121" s="91">
        <f t="shared" si="77"/>
        <v>160367.85</v>
      </c>
      <c r="V121" s="91">
        <f t="shared" si="77"/>
        <v>530601.75</v>
      </c>
      <c r="W121" s="91">
        <f t="shared" si="77"/>
        <v>2086626.7</v>
      </c>
      <c r="X121" s="91">
        <f t="shared" si="77"/>
        <v>531558.85</v>
      </c>
      <c r="Y121" s="91">
        <f t="shared" si="77"/>
        <v>954129.51</v>
      </c>
      <c r="Z121" s="91">
        <f t="shared" si="77"/>
        <v>1808841.5400000003</v>
      </c>
      <c r="AA121" s="91">
        <f t="shared" si="77"/>
        <v>93839.05</v>
      </c>
      <c r="AB121" s="91">
        <f t="shared" si="77"/>
        <v>134834.45000000001</v>
      </c>
      <c r="AC121" s="91">
        <f t="shared" si="77"/>
        <v>237824.8</v>
      </c>
      <c r="AD121" s="91">
        <f t="shared" si="77"/>
        <v>659318.29999999993</v>
      </c>
      <c r="AE121" s="91">
        <f t="shared" si="77"/>
        <v>463283.7</v>
      </c>
      <c r="AF121" s="91">
        <f t="shared" si="77"/>
        <v>338418.1</v>
      </c>
      <c r="AG121" s="91">
        <f t="shared" si="77"/>
        <v>827160.64999999991</v>
      </c>
      <c r="AH121" s="91">
        <f t="shared" si="77"/>
        <v>1278467.3</v>
      </c>
      <c r="AI121" s="91">
        <f t="shared" si="77"/>
        <v>279714.65000000002</v>
      </c>
      <c r="AJ121" s="91">
        <f t="shared" si="77"/>
        <v>84536.75</v>
      </c>
      <c r="AK121" s="91">
        <f t="shared" si="77"/>
        <v>1137635.2500000002</v>
      </c>
      <c r="AL121" s="91">
        <f t="shared" si="77"/>
        <v>1502126.27</v>
      </c>
      <c r="AM121" s="91">
        <f t="shared" si="77"/>
        <v>847210.14999999991</v>
      </c>
      <c r="AN121" s="91">
        <f t="shared" si="77"/>
        <v>88400.55</v>
      </c>
      <c r="AO121" s="91">
        <f t="shared" si="77"/>
        <v>284992.62</v>
      </c>
      <c r="AP121" s="91">
        <f t="shared" si="77"/>
        <v>905285.37</v>
      </c>
      <c r="AQ121" s="91">
        <f t="shared" si="77"/>
        <v>157186.25</v>
      </c>
      <c r="AR121" s="91">
        <f t="shared" si="77"/>
        <v>1803434.8</v>
      </c>
      <c r="AS121" s="91">
        <f t="shared" si="77"/>
        <v>326865.74</v>
      </c>
      <c r="AT121" s="91">
        <f t="shared" si="77"/>
        <v>895130.95000000007</v>
      </c>
      <c r="AU121" s="91">
        <f t="shared" si="77"/>
        <v>80993.300000000017</v>
      </c>
      <c r="AV121" s="91">
        <f t="shared" si="77"/>
        <v>357421.5</v>
      </c>
      <c r="AW121" s="91">
        <f t="shared" si="77"/>
        <v>194171.80000000002</v>
      </c>
      <c r="AX121" s="91">
        <f t="shared" si="77"/>
        <v>157863.93</v>
      </c>
      <c r="AY121" s="91">
        <f t="shared" si="77"/>
        <v>367082.00000000006</v>
      </c>
      <c r="AZ121" s="91">
        <f t="shared" si="77"/>
        <v>858275.5199999999</v>
      </c>
      <c r="BA121" s="91">
        <f t="shared" si="77"/>
        <v>548001.25</v>
      </c>
      <c r="BB121" s="91">
        <f t="shared" si="77"/>
        <v>852622.68</v>
      </c>
      <c r="BC121" s="91">
        <f t="shared" si="77"/>
        <v>121498.95</v>
      </c>
      <c r="BD121" s="91">
        <f t="shared" si="77"/>
        <v>8542218.709999999</v>
      </c>
      <c r="BE121" s="91">
        <f t="shared" si="77"/>
        <v>483234.35000000003</v>
      </c>
      <c r="BF121" s="91">
        <f t="shared" si="77"/>
        <v>64732664.279999994</v>
      </c>
      <c r="BG121" s="91">
        <f t="shared" si="77"/>
        <v>36529084.689999998</v>
      </c>
      <c r="BH121" s="91">
        <f t="shared" si="77"/>
        <v>7691927.6500000004</v>
      </c>
      <c r="BI121" s="91">
        <f t="shared" si="77"/>
        <v>20511651.940000001</v>
      </c>
    </row>
    <row r="122" spans="2:61" x14ac:dyDescent="0.3">
      <c r="C122">
        <v>460</v>
      </c>
      <c r="D122" t="s">
        <v>176</v>
      </c>
      <c r="E122" s="4">
        <v>4183</v>
      </c>
      <c r="F122" s="4">
        <v>77</v>
      </c>
      <c r="G122" s="4">
        <v>1018</v>
      </c>
      <c r="H122" s="4">
        <v>3703</v>
      </c>
      <c r="I122" s="4">
        <v>33792</v>
      </c>
      <c r="J122" s="4">
        <v>25406</v>
      </c>
      <c r="K122" s="4">
        <v>32775</v>
      </c>
      <c r="L122" s="4">
        <v>484147</v>
      </c>
      <c r="M122" s="4">
        <v>31239</v>
      </c>
      <c r="N122" s="4">
        <v>233</v>
      </c>
      <c r="O122" s="4">
        <v>0</v>
      </c>
      <c r="P122" s="4">
        <v>0</v>
      </c>
      <c r="Q122" s="4">
        <v>15</v>
      </c>
      <c r="R122" s="4">
        <v>0</v>
      </c>
      <c r="S122" s="4">
        <v>400</v>
      </c>
      <c r="T122" s="4">
        <v>2458</v>
      </c>
      <c r="U122" s="4">
        <v>345</v>
      </c>
      <c r="V122" s="4">
        <v>13725</v>
      </c>
      <c r="W122" s="4">
        <v>19713</v>
      </c>
      <c r="X122" s="4">
        <v>80</v>
      </c>
      <c r="Y122" s="4">
        <v>6438</v>
      </c>
      <c r="Z122" s="4">
        <v>203183</v>
      </c>
      <c r="AA122" s="4">
        <v>0</v>
      </c>
      <c r="AB122" s="4">
        <v>616</v>
      </c>
      <c r="AC122" s="4">
        <v>0</v>
      </c>
      <c r="AD122" s="4">
        <v>2912</v>
      </c>
      <c r="AE122" s="4">
        <v>1051</v>
      </c>
      <c r="AF122" s="4">
        <v>2433</v>
      </c>
      <c r="AG122" s="4">
        <v>109985</v>
      </c>
      <c r="AH122" s="4">
        <v>35330</v>
      </c>
      <c r="AI122" s="4">
        <v>765</v>
      </c>
      <c r="AJ122" s="4">
        <v>0</v>
      </c>
      <c r="AK122" s="4">
        <v>0</v>
      </c>
      <c r="AL122" s="4">
        <v>1558</v>
      </c>
      <c r="AM122" s="4">
        <v>2991</v>
      </c>
      <c r="AN122" s="4">
        <v>0</v>
      </c>
      <c r="AO122" s="4">
        <v>126195</v>
      </c>
      <c r="AP122" s="4">
        <v>14086</v>
      </c>
      <c r="AQ122" s="4">
        <v>4803</v>
      </c>
      <c r="AR122" s="4">
        <v>3539</v>
      </c>
      <c r="AS122" s="4">
        <v>621</v>
      </c>
      <c r="AT122" s="4">
        <v>8459</v>
      </c>
      <c r="AU122" s="4">
        <v>12280</v>
      </c>
      <c r="AV122" s="4">
        <v>75565</v>
      </c>
      <c r="AW122" s="4">
        <v>19246</v>
      </c>
      <c r="AX122" s="4">
        <v>0</v>
      </c>
      <c r="AY122" s="4">
        <v>493</v>
      </c>
      <c r="AZ122" s="4">
        <v>0</v>
      </c>
      <c r="BA122" s="4">
        <v>267</v>
      </c>
      <c r="BB122" s="4">
        <v>42028</v>
      </c>
      <c r="BC122" s="4">
        <v>0</v>
      </c>
      <c r="BD122" s="4">
        <v>187814</v>
      </c>
      <c r="BE122" s="4">
        <v>3828</v>
      </c>
      <c r="BF122" s="4">
        <f t="shared" ref="BF122:BF126" si="78">SUM(E122:BE122)</f>
        <v>1519795</v>
      </c>
      <c r="BG122" s="4">
        <f t="shared" ref="BG122:BG126" si="79">SUM(E122:W122)</f>
        <v>653229</v>
      </c>
      <c r="BH122" s="4">
        <f t="shared" ref="BH122:BH126" si="80">SUM(X122:AJ122)</f>
        <v>362793</v>
      </c>
      <c r="BI122" s="4">
        <f t="shared" ref="BI122:BI126" si="81">SUM(AK122:BE122)</f>
        <v>503773</v>
      </c>
    </row>
    <row r="123" spans="2:61" x14ac:dyDescent="0.3">
      <c r="C123">
        <v>461</v>
      </c>
      <c r="D123" t="s">
        <v>177</v>
      </c>
      <c r="E123" s="4">
        <v>145642.25</v>
      </c>
      <c r="F123" s="4">
        <v>9055.35</v>
      </c>
      <c r="G123" s="4">
        <v>54493.5</v>
      </c>
      <c r="H123" s="4">
        <v>1763</v>
      </c>
      <c r="I123" s="4">
        <v>561343.85</v>
      </c>
      <c r="J123" s="4">
        <v>806770.23</v>
      </c>
      <c r="K123" s="4">
        <v>675740.3</v>
      </c>
      <c r="L123" s="4">
        <v>12310929.5</v>
      </c>
      <c r="M123" s="4">
        <v>711261.6</v>
      </c>
      <c r="N123" s="4">
        <v>135</v>
      </c>
      <c r="O123" s="4">
        <v>1050799.8600000001</v>
      </c>
      <c r="P123" s="4">
        <v>9613.75</v>
      </c>
      <c r="Q123" s="4">
        <v>2943.2</v>
      </c>
      <c r="R123" s="4">
        <v>37431.199999999997</v>
      </c>
      <c r="S123" s="4">
        <v>59806.85</v>
      </c>
      <c r="T123" s="4">
        <v>1612.35</v>
      </c>
      <c r="U123" s="4">
        <v>306.8</v>
      </c>
      <c r="V123" s="4">
        <v>415965.05</v>
      </c>
      <c r="W123" s="4">
        <v>388781.8</v>
      </c>
      <c r="X123" s="4">
        <v>622.95000000000005</v>
      </c>
      <c r="Y123" s="4">
        <v>777042.81</v>
      </c>
      <c r="Z123" s="4">
        <v>987126.89</v>
      </c>
      <c r="AA123" s="4">
        <v>460.55</v>
      </c>
      <c r="AB123" s="4">
        <v>37685.25</v>
      </c>
      <c r="AC123" s="4">
        <v>37108.949999999997</v>
      </c>
      <c r="AD123" s="4">
        <v>381368.5</v>
      </c>
      <c r="AE123" s="4">
        <v>131722.04999999999</v>
      </c>
      <c r="AF123" s="4">
        <v>1205</v>
      </c>
      <c r="AG123" s="4">
        <v>317473.7</v>
      </c>
      <c r="AH123" s="4">
        <v>332660.5</v>
      </c>
      <c r="AI123" s="4">
        <v>30239.15</v>
      </c>
      <c r="AJ123" s="4">
        <v>15460.45</v>
      </c>
      <c r="AK123" s="4">
        <v>781171.8</v>
      </c>
      <c r="AL123" s="4">
        <v>515516.57</v>
      </c>
      <c r="AM123" s="4">
        <v>215219.20000000001</v>
      </c>
      <c r="AN123" s="4">
        <v>0</v>
      </c>
      <c r="AO123" s="4">
        <v>15304.45</v>
      </c>
      <c r="AP123" s="4">
        <v>769270.57</v>
      </c>
      <c r="AQ123" s="4">
        <v>5555.6</v>
      </c>
      <c r="AR123" s="4">
        <v>908668.3</v>
      </c>
      <c r="AS123" s="4">
        <v>64875.99</v>
      </c>
      <c r="AT123" s="4">
        <v>315797.8</v>
      </c>
      <c r="AU123" s="4">
        <v>25394.400000000001</v>
      </c>
      <c r="AV123" s="4">
        <v>169695.85</v>
      </c>
      <c r="AW123" s="4">
        <v>47979.35</v>
      </c>
      <c r="AX123" s="4">
        <v>1169.08</v>
      </c>
      <c r="AY123" s="4">
        <v>3721.4</v>
      </c>
      <c r="AZ123" s="4">
        <v>347429.92</v>
      </c>
      <c r="BA123" s="4">
        <v>214526.1</v>
      </c>
      <c r="BB123" s="4">
        <v>720204.68</v>
      </c>
      <c r="BC123" s="4">
        <v>1764</v>
      </c>
      <c r="BD123" s="4">
        <v>6736238.2999999998</v>
      </c>
      <c r="BE123" s="4">
        <v>161655.54999999999</v>
      </c>
      <c r="BF123" s="4">
        <f t="shared" si="78"/>
        <v>32315731.099999998</v>
      </c>
      <c r="BG123" s="4">
        <f t="shared" si="79"/>
        <v>17244395.439999998</v>
      </c>
      <c r="BH123" s="4">
        <f t="shared" si="80"/>
        <v>3050176.75</v>
      </c>
      <c r="BI123" s="4">
        <f t="shared" si="81"/>
        <v>12021158.91</v>
      </c>
    </row>
    <row r="124" spans="2:61" x14ac:dyDescent="0.3">
      <c r="C124">
        <v>462</v>
      </c>
      <c r="D124" t="s">
        <v>113</v>
      </c>
      <c r="E124" s="4">
        <v>93242</v>
      </c>
      <c r="F124" s="4">
        <v>211892</v>
      </c>
      <c r="G124" s="4">
        <v>81088</v>
      </c>
      <c r="H124" s="4">
        <v>159252</v>
      </c>
      <c r="I124" s="4">
        <v>1174020</v>
      </c>
      <c r="J124" s="4">
        <v>534289</v>
      </c>
      <c r="K124" s="4">
        <v>0</v>
      </c>
      <c r="L124" s="4">
        <v>962414.35</v>
      </c>
      <c r="M124" s="4">
        <v>0</v>
      </c>
      <c r="N124" s="4">
        <v>98312</v>
      </c>
      <c r="O124" s="4">
        <v>1414183</v>
      </c>
      <c r="P124" s="4">
        <v>283212</v>
      </c>
      <c r="Q124" s="4">
        <v>28845</v>
      </c>
      <c r="R124" s="4">
        <v>157798</v>
      </c>
      <c r="S124" s="4">
        <v>175314</v>
      </c>
      <c r="T124" s="4">
        <v>0</v>
      </c>
      <c r="U124" s="4">
        <v>136502</v>
      </c>
      <c r="V124" s="4">
        <v>0</v>
      </c>
      <c r="W124" s="4">
        <v>1341516</v>
      </c>
      <c r="X124" s="4">
        <v>31284</v>
      </c>
      <c r="Y124" s="4">
        <v>74686</v>
      </c>
      <c r="Z124" s="4">
        <v>28100</v>
      </c>
      <c r="AA124" s="4">
        <v>83038</v>
      </c>
      <c r="AB124" s="4">
        <v>61512</v>
      </c>
      <c r="AC124" s="4">
        <v>0</v>
      </c>
      <c r="AD124" s="4">
        <v>188290</v>
      </c>
      <c r="AE124" s="4">
        <v>189290</v>
      </c>
      <c r="AF124" s="4">
        <v>28448</v>
      </c>
      <c r="AG124" s="4">
        <v>0</v>
      </c>
      <c r="AH124" s="4">
        <v>96532</v>
      </c>
      <c r="AI124" s="4">
        <v>218340</v>
      </c>
      <c r="AJ124" s="4">
        <v>52532</v>
      </c>
      <c r="AK124" s="4">
        <v>218212</v>
      </c>
      <c r="AL124" s="4">
        <v>662458</v>
      </c>
      <c r="AM124" s="4">
        <v>482860</v>
      </c>
      <c r="AN124" s="4">
        <v>66682</v>
      </c>
      <c r="AO124" s="4">
        <v>0</v>
      </c>
      <c r="AP124" s="4">
        <v>523</v>
      </c>
      <c r="AQ124" s="4">
        <v>81733</v>
      </c>
      <c r="AR124" s="4">
        <v>684808</v>
      </c>
      <c r="AS124" s="4">
        <v>192432</v>
      </c>
      <c r="AT124" s="4">
        <v>249338</v>
      </c>
      <c r="AU124" s="4">
        <v>0</v>
      </c>
      <c r="AV124" s="4">
        <v>0</v>
      </c>
      <c r="AW124" s="4">
        <v>0</v>
      </c>
      <c r="AX124" s="4">
        <v>140996</v>
      </c>
      <c r="AY124" s="4">
        <v>276102</v>
      </c>
      <c r="AZ124" s="4">
        <v>408224</v>
      </c>
      <c r="BA124" s="4">
        <v>295366</v>
      </c>
      <c r="BB124" s="4">
        <v>0</v>
      </c>
      <c r="BC124" s="4">
        <v>92938</v>
      </c>
      <c r="BD124" s="4">
        <v>332198</v>
      </c>
      <c r="BE124" s="4">
        <v>182616</v>
      </c>
      <c r="BF124" s="4">
        <f t="shared" si="78"/>
        <v>12271417.35</v>
      </c>
      <c r="BG124" s="4">
        <f t="shared" si="79"/>
        <v>6851879.3499999996</v>
      </c>
      <c r="BH124" s="4">
        <f t="shared" si="80"/>
        <v>1052052</v>
      </c>
      <c r="BI124" s="4">
        <f t="shared" si="81"/>
        <v>4367486</v>
      </c>
    </row>
    <row r="125" spans="2:61" x14ac:dyDescent="0.3">
      <c r="C125">
        <v>463</v>
      </c>
      <c r="D125" t="s">
        <v>178</v>
      </c>
      <c r="E125" s="4">
        <v>44349.15</v>
      </c>
      <c r="F125" s="4">
        <v>16037</v>
      </c>
      <c r="G125" s="4">
        <v>66526.95</v>
      </c>
      <c r="H125" s="4">
        <v>67303.45</v>
      </c>
      <c r="I125" s="4">
        <v>141979.54999999999</v>
      </c>
      <c r="J125" s="4">
        <v>532344.69999999995</v>
      </c>
      <c r="K125" s="4">
        <v>186329.9</v>
      </c>
      <c r="L125" s="4">
        <v>1825790.92</v>
      </c>
      <c r="M125" s="4">
        <v>199719.59</v>
      </c>
      <c r="N125" s="4">
        <v>19655.349999999999</v>
      </c>
      <c r="O125" s="4">
        <v>687993.8</v>
      </c>
      <c r="P125" s="4">
        <v>26632.15</v>
      </c>
      <c r="Q125" s="4">
        <v>6167</v>
      </c>
      <c r="R125" s="4">
        <v>5796</v>
      </c>
      <c r="S125" s="4">
        <v>26153.8</v>
      </c>
      <c r="T125" s="4">
        <v>24787.05</v>
      </c>
      <c r="U125" s="4">
        <v>23133.200000000001</v>
      </c>
      <c r="V125" s="4">
        <v>100766.85</v>
      </c>
      <c r="W125" s="4">
        <v>335761.95</v>
      </c>
      <c r="X125" s="4">
        <v>498980.45</v>
      </c>
      <c r="Y125" s="4">
        <v>92090.7</v>
      </c>
      <c r="Z125" s="4">
        <v>589714.1</v>
      </c>
      <c r="AA125" s="4">
        <v>10135</v>
      </c>
      <c r="AB125" s="4">
        <v>33934</v>
      </c>
      <c r="AC125" s="4">
        <v>199581.85</v>
      </c>
      <c r="AD125" s="4">
        <v>85915.7</v>
      </c>
      <c r="AE125" s="4">
        <v>141093.70000000001</v>
      </c>
      <c r="AF125" s="4">
        <v>306332.09999999998</v>
      </c>
      <c r="AG125" s="4">
        <v>396541.25</v>
      </c>
      <c r="AH125" s="4">
        <v>813130.5</v>
      </c>
      <c r="AI125" s="4">
        <v>30176.6</v>
      </c>
      <c r="AJ125" s="4">
        <v>16104.3</v>
      </c>
      <c r="AK125" s="4">
        <v>136438.6</v>
      </c>
      <c r="AL125" s="4">
        <v>299968.75</v>
      </c>
      <c r="AM125" s="4">
        <v>134862.20000000001</v>
      </c>
      <c r="AN125" s="4">
        <v>21321.95</v>
      </c>
      <c r="AO125" s="4">
        <v>143013.42000000001</v>
      </c>
      <c r="AP125" s="4">
        <v>119229.75</v>
      </c>
      <c r="AQ125" s="4">
        <v>57865.95</v>
      </c>
      <c r="AR125" s="4">
        <v>193737.15</v>
      </c>
      <c r="AS125" s="4">
        <v>67463</v>
      </c>
      <c r="AT125" s="4">
        <v>321380.55</v>
      </c>
      <c r="AU125" s="4">
        <v>43277.3</v>
      </c>
      <c r="AV125" s="4">
        <v>111739</v>
      </c>
      <c r="AW125" s="4">
        <v>125656.05</v>
      </c>
      <c r="AX125" s="4">
        <v>13799</v>
      </c>
      <c r="AY125" s="4">
        <v>83127.95</v>
      </c>
      <c r="AZ125" s="4">
        <v>87573.6</v>
      </c>
      <c r="BA125" s="4">
        <v>37783.9</v>
      </c>
      <c r="BB125" s="4">
        <v>89870.6</v>
      </c>
      <c r="BC125" s="4">
        <v>25187.45</v>
      </c>
      <c r="BD125" s="4">
        <v>1218826.56</v>
      </c>
      <c r="BE125" s="4">
        <v>128463.35</v>
      </c>
      <c r="BF125" s="4">
        <f t="shared" si="78"/>
        <v>11011544.689999999</v>
      </c>
      <c r="BG125" s="4">
        <f t="shared" si="79"/>
        <v>4337228.3600000003</v>
      </c>
      <c r="BH125" s="4">
        <f t="shared" si="80"/>
        <v>3213730.25</v>
      </c>
      <c r="BI125" s="4">
        <f t="shared" si="81"/>
        <v>3460586.0800000005</v>
      </c>
    </row>
    <row r="126" spans="2:61" x14ac:dyDescent="0.3">
      <c r="C126">
        <v>469</v>
      </c>
      <c r="D126" t="s">
        <v>179</v>
      </c>
      <c r="E126" s="4">
        <v>196.4</v>
      </c>
      <c r="F126" s="4">
        <v>23.55</v>
      </c>
      <c r="G126" s="4">
        <v>0</v>
      </c>
      <c r="H126" s="4">
        <v>100.35</v>
      </c>
      <c r="I126" s="4">
        <v>166.05</v>
      </c>
      <c r="J126" s="4">
        <v>1283.6500000000001</v>
      </c>
      <c r="K126" s="4">
        <v>363.15</v>
      </c>
      <c r="L126" s="4">
        <v>7081790.0899999999</v>
      </c>
      <c r="M126" s="4">
        <v>329332.25</v>
      </c>
      <c r="N126" s="4">
        <v>0</v>
      </c>
      <c r="O126" s="4">
        <v>27895.5</v>
      </c>
      <c r="P126" s="4">
        <v>0</v>
      </c>
      <c r="Q126" s="4">
        <v>17.5</v>
      </c>
      <c r="R126" s="4">
        <v>104.4</v>
      </c>
      <c r="S126" s="4">
        <v>0</v>
      </c>
      <c r="T126" s="4">
        <v>0</v>
      </c>
      <c r="U126" s="4">
        <v>80.849999999999994</v>
      </c>
      <c r="V126" s="4">
        <v>144.85</v>
      </c>
      <c r="W126" s="4">
        <v>853.95</v>
      </c>
      <c r="X126" s="4">
        <v>591.45000000000005</v>
      </c>
      <c r="Y126" s="4">
        <v>3872</v>
      </c>
      <c r="Z126" s="4">
        <v>717.55</v>
      </c>
      <c r="AA126" s="4">
        <v>205.5</v>
      </c>
      <c r="AB126" s="4">
        <v>1087.2</v>
      </c>
      <c r="AC126" s="4">
        <v>1134</v>
      </c>
      <c r="AD126" s="4">
        <v>832.1</v>
      </c>
      <c r="AE126" s="4">
        <v>126.95</v>
      </c>
      <c r="AF126" s="4">
        <v>0</v>
      </c>
      <c r="AG126" s="4">
        <v>3160.7</v>
      </c>
      <c r="AH126" s="4">
        <v>814.3</v>
      </c>
      <c r="AI126" s="4">
        <v>193.9</v>
      </c>
      <c r="AJ126" s="4">
        <v>440</v>
      </c>
      <c r="AK126" s="4">
        <v>1812.85</v>
      </c>
      <c r="AL126" s="4">
        <v>22624.95</v>
      </c>
      <c r="AM126" s="4">
        <v>11277.75</v>
      </c>
      <c r="AN126" s="4">
        <v>396.6</v>
      </c>
      <c r="AO126" s="4">
        <v>479.75</v>
      </c>
      <c r="AP126" s="4">
        <v>2176.0500000000002</v>
      </c>
      <c r="AQ126" s="4">
        <v>7228.7</v>
      </c>
      <c r="AR126" s="4">
        <v>12682.35</v>
      </c>
      <c r="AS126" s="4">
        <v>1473.75</v>
      </c>
      <c r="AT126" s="4">
        <v>155.6</v>
      </c>
      <c r="AU126" s="4">
        <v>41.6</v>
      </c>
      <c r="AV126" s="4">
        <v>421.65</v>
      </c>
      <c r="AW126" s="4">
        <v>1290.4000000000001</v>
      </c>
      <c r="AX126" s="4">
        <v>1899.85</v>
      </c>
      <c r="AY126" s="4">
        <v>3637.65</v>
      </c>
      <c r="AZ126" s="4">
        <v>15048</v>
      </c>
      <c r="BA126" s="4">
        <v>58.25</v>
      </c>
      <c r="BB126" s="4">
        <v>519.4</v>
      </c>
      <c r="BC126" s="4">
        <v>1609.5</v>
      </c>
      <c r="BD126" s="4">
        <v>67141.850000000006</v>
      </c>
      <c r="BE126" s="4">
        <v>6671.45</v>
      </c>
      <c r="BF126" s="4">
        <f t="shared" si="78"/>
        <v>7614176.1399999997</v>
      </c>
      <c r="BG126" s="4">
        <f t="shared" si="79"/>
        <v>7442352.54</v>
      </c>
      <c r="BH126" s="4">
        <f t="shared" si="80"/>
        <v>13175.65</v>
      </c>
      <c r="BI126" s="4">
        <f t="shared" si="81"/>
        <v>158647.95000000001</v>
      </c>
    </row>
    <row r="127" spans="2:61" x14ac:dyDescent="0.3">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3">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1665</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428675.8</v>
      </c>
      <c r="AA128" s="91">
        <f t="shared" si="82"/>
        <v>159491.5</v>
      </c>
      <c r="AB128" s="91">
        <f t="shared" si="82"/>
        <v>201852.1</v>
      </c>
      <c r="AC128" s="91">
        <f t="shared" si="82"/>
        <v>155601.79999999999</v>
      </c>
      <c r="AD128" s="91">
        <f t="shared" si="82"/>
        <v>0</v>
      </c>
      <c r="AE128" s="91">
        <f t="shared" si="82"/>
        <v>0</v>
      </c>
      <c r="AF128" s="91">
        <f t="shared" si="82"/>
        <v>570898.30000000005</v>
      </c>
      <c r="AG128" s="91">
        <f t="shared" si="82"/>
        <v>419239.4</v>
      </c>
      <c r="AH128" s="91">
        <f t="shared" si="82"/>
        <v>0</v>
      </c>
      <c r="AI128" s="91">
        <f t="shared" si="82"/>
        <v>5292.65</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57050</v>
      </c>
      <c r="AS128" s="91">
        <f t="shared" si="82"/>
        <v>0</v>
      </c>
      <c r="AT128" s="91">
        <f t="shared" si="82"/>
        <v>0</v>
      </c>
      <c r="AU128" s="91">
        <f t="shared" si="82"/>
        <v>0</v>
      </c>
      <c r="AV128" s="91">
        <f t="shared" si="82"/>
        <v>79548.3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2079314.8499999999</v>
      </c>
      <c r="BG128" s="91">
        <f t="shared" si="82"/>
        <v>1665</v>
      </c>
      <c r="BH128" s="91">
        <f t="shared" si="82"/>
        <v>1941051.5499999998</v>
      </c>
      <c r="BI128" s="91">
        <f t="shared" si="82"/>
        <v>136598.29999999999</v>
      </c>
    </row>
    <row r="129" spans="2:61" x14ac:dyDescent="0.3">
      <c r="C129">
        <v>470</v>
      </c>
      <c r="D129" t="s">
        <v>180</v>
      </c>
      <c r="E129" s="4">
        <v>0</v>
      </c>
      <c r="F129" s="4">
        <v>0</v>
      </c>
      <c r="G129" s="4">
        <v>0</v>
      </c>
      <c r="H129" s="4">
        <v>0</v>
      </c>
      <c r="I129" s="4">
        <v>0</v>
      </c>
      <c r="J129" s="4">
        <v>0</v>
      </c>
      <c r="K129" s="4">
        <v>0</v>
      </c>
      <c r="L129" s="4">
        <v>0</v>
      </c>
      <c r="M129" s="4">
        <v>1665</v>
      </c>
      <c r="N129" s="4">
        <v>0</v>
      </c>
      <c r="O129" s="4">
        <v>0</v>
      </c>
      <c r="P129" s="4">
        <v>0</v>
      </c>
      <c r="Q129" s="4">
        <v>0</v>
      </c>
      <c r="R129" s="4">
        <v>0</v>
      </c>
      <c r="S129" s="4">
        <v>0</v>
      </c>
      <c r="T129" s="4">
        <v>0</v>
      </c>
      <c r="U129" s="4">
        <v>0</v>
      </c>
      <c r="V129" s="4">
        <v>0</v>
      </c>
      <c r="W129" s="4">
        <v>0</v>
      </c>
      <c r="X129" s="4">
        <v>0</v>
      </c>
      <c r="Y129" s="4">
        <v>0</v>
      </c>
      <c r="Z129" s="4">
        <v>428675.8</v>
      </c>
      <c r="AA129" s="4">
        <v>159491.5</v>
      </c>
      <c r="AB129" s="4">
        <v>201852.1</v>
      </c>
      <c r="AC129" s="4">
        <v>155601.79999999999</v>
      </c>
      <c r="AD129" s="4">
        <v>0</v>
      </c>
      <c r="AE129" s="4">
        <v>0</v>
      </c>
      <c r="AF129" s="4">
        <v>570898.30000000005</v>
      </c>
      <c r="AG129" s="4">
        <v>419239.4</v>
      </c>
      <c r="AH129" s="4">
        <v>0</v>
      </c>
      <c r="AI129" s="4">
        <v>5292.65</v>
      </c>
      <c r="AJ129" s="4">
        <v>0</v>
      </c>
      <c r="AK129" s="4">
        <v>0</v>
      </c>
      <c r="AL129" s="4">
        <v>0</v>
      </c>
      <c r="AM129" s="4">
        <v>0</v>
      </c>
      <c r="AN129" s="4">
        <v>0</v>
      </c>
      <c r="AO129" s="4">
        <v>0</v>
      </c>
      <c r="AP129" s="4">
        <v>0</v>
      </c>
      <c r="AQ129" s="4">
        <v>0</v>
      </c>
      <c r="AR129" s="4">
        <v>57050</v>
      </c>
      <c r="AS129" s="4">
        <v>0</v>
      </c>
      <c r="AT129" s="4">
        <v>0</v>
      </c>
      <c r="AU129" s="4">
        <v>0</v>
      </c>
      <c r="AV129" s="4">
        <v>79548.3</v>
      </c>
      <c r="AW129" s="4">
        <v>0</v>
      </c>
      <c r="AX129" s="4">
        <v>0</v>
      </c>
      <c r="AY129" s="4">
        <v>0</v>
      </c>
      <c r="AZ129" s="4">
        <v>0</v>
      </c>
      <c r="BA129" s="4">
        <v>0</v>
      </c>
      <c r="BB129" s="4">
        <v>0</v>
      </c>
      <c r="BC129" s="4">
        <v>0</v>
      </c>
      <c r="BD129" s="4">
        <v>0</v>
      </c>
      <c r="BE129" s="4">
        <v>0</v>
      </c>
      <c r="BF129" s="4">
        <f t="shared" ref="BF129" si="83">SUM(E129:BE129)</f>
        <v>2079314.8499999999</v>
      </c>
      <c r="BG129" s="4">
        <f t="shared" ref="BG129" si="84">SUM(E129:W129)</f>
        <v>1665</v>
      </c>
      <c r="BH129" s="4">
        <f t="shared" ref="BH129" si="85">SUM(X129:AJ129)</f>
        <v>1941051.5499999998</v>
      </c>
      <c r="BI129" s="4">
        <f t="shared" ref="BI129" si="86">SUM(AK129:BE129)</f>
        <v>136598.29999999999</v>
      </c>
    </row>
    <row r="130" spans="2:61" x14ac:dyDescent="0.3">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3">
      <c r="B131" s="96">
        <v>48</v>
      </c>
      <c r="C131" s="96"/>
      <c r="D131" s="96" t="s">
        <v>181</v>
      </c>
      <c r="E131" s="91">
        <f>E132+E133+E134+E135+E136+E137+E138</f>
        <v>0</v>
      </c>
      <c r="F131" s="91">
        <f t="shared" ref="F131:BI131" si="87">F132+F133+F134+F135+F136+F137+F138</f>
        <v>0</v>
      </c>
      <c r="G131" s="91">
        <f t="shared" si="87"/>
        <v>0</v>
      </c>
      <c r="H131" s="91">
        <f t="shared" si="87"/>
        <v>0</v>
      </c>
      <c r="I131" s="91">
        <f t="shared" si="87"/>
        <v>300000</v>
      </c>
      <c r="J131" s="91">
        <f t="shared" si="87"/>
        <v>28320</v>
      </c>
      <c r="K131" s="91">
        <f t="shared" si="87"/>
        <v>1254.78</v>
      </c>
      <c r="L131" s="91">
        <f t="shared" si="87"/>
        <v>1100000</v>
      </c>
      <c r="M131" s="91">
        <f t="shared" si="87"/>
        <v>40000</v>
      </c>
      <c r="N131" s="91">
        <f t="shared" si="87"/>
        <v>0</v>
      </c>
      <c r="O131" s="91">
        <f t="shared" si="87"/>
        <v>27861.3</v>
      </c>
      <c r="P131" s="91">
        <f t="shared" si="87"/>
        <v>0</v>
      </c>
      <c r="Q131" s="91">
        <f t="shared" si="87"/>
        <v>20000</v>
      </c>
      <c r="R131" s="91">
        <f t="shared" si="87"/>
        <v>0</v>
      </c>
      <c r="S131" s="91">
        <f t="shared" si="87"/>
        <v>0</v>
      </c>
      <c r="T131" s="91">
        <f t="shared" si="87"/>
        <v>9694.9500000000007</v>
      </c>
      <c r="U131" s="91">
        <f t="shared" si="87"/>
        <v>0</v>
      </c>
      <c r="V131" s="91">
        <f t="shared" si="87"/>
        <v>0</v>
      </c>
      <c r="W131" s="91">
        <f t="shared" si="87"/>
        <v>0</v>
      </c>
      <c r="X131" s="91">
        <f t="shared" si="87"/>
        <v>0</v>
      </c>
      <c r="Y131" s="91">
        <f t="shared" si="87"/>
        <v>0</v>
      </c>
      <c r="Z131" s="91">
        <f t="shared" si="87"/>
        <v>0</v>
      </c>
      <c r="AA131" s="91">
        <f t="shared" si="87"/>
        <v>0</v>
      </c>
      <c r="AB131" s="91">
        <f t="shared" si="87"/>
        <v>0</v>
      </c>
      <c r="AC131" s="91">
        <f t="shared" si="87"/>
        <v>213946.32</v>
      </c>
      <c r="AD131" s="91">
        <f t="shared" si="87"/>
        <v>161133.5</v>
      </c>
      <c r="AE131" s="91">
        <f t="shared" si="87"/>
        <v>13.7</v>
      </c>
      <c r="AF131" s="91">
        <f t="shared" si="87"/>
        <v>0</v>
      </c>
      <c r="AG131" s="91">
        <f t="shared" si="87"/>
        <v>0</v>
      </c>
      <c r="AH131" s="91">
        <f t="shared" si="87"/>
        <v>0</v>
      </c>
      <c r="AI131" s="91">
        <f t="shared" si="87"/>
        <v>0</v>
      </c>
      <c r="AJ131" s="91">
        <f t="shared" si="87"/>
        <v>0</v>
      </c>
      <c r="AK131" s="91">
        <f t="shared" si="87"/>
        <v>0</v>
      </c>
      <c r="AL131" s="91">
        <f t="shared" si="87"/>
        <v>0</v>
      </c>
      <c r="AM131" s="91">
        <f t="shared" si="87"/>
        <v>0</v>
      </c>
      <c r="AN131" s="91">
        <f t="shared" si="87"/>
        <v>0</v>
      </c>
      <c r="AO131" s="91">
        <f t="shared" si="87"/>
        <v>0</v>
      </c>
      <c r="AP131" s="91">
        <f t="shared" si="87"/>
        <v>0</v>
      </c>
      <c r="AQ131" s="91">
        <f t="shared" si="87"/>
        <v>0</v>
      </c>
      <c r="AR131" s="91">
        <f t="shared" si="87"/>
        <v>0</v>
      </c>
      <c r="AS131" s="91">
        <f t="shared" si="87"/>
        <v>0</v>
      </c>
      <c r="AT131" s="91">
        <f t="shared" si="87"/>
        <v>65591.149999999994</v>
      </c>
      <c r="AU131" s="91">
        <f t="shared" si="87"/>
        <v>0</v>
      </c>
      <c r="AV131" s="91">
        <f t="shared" si="87"/>
        <v>425359</v>
      </c>
      <c r="AW131" s="91">
        <f t="shared" si="87"/>
        <v>0</v>
      </c>
      <c r="AX131" s="91">
        <f t="shared" si="87"/>
        <v>20000</v>
      </c>
      <c r="AY131" s="91">
        <f t="shared" si="87"/>
        <v>0</v>
      </c>
      <c r="AZ131" s="91">
        <f t="shared" si="87"/>
        <v>0</v>
      </c>
      <c r="BA131" s="91">
        <f t="shared" si="87"/>
        <v>0</v>
      </c>
      <c r="BB131" s="91">
        <f t="shared" si="87"/>
        <v>0</v>
      </c>
      <c r="BC131" s="91">
        <f t="shared" si="87"/>
        <v>1</v>
      </c>
      <c r="BD131" s="91">
        <f t="shared" si="87"/>
        <v>154000</v>
      </c>
      <c r="BE131" s="91">
        <f t="shared" si="87"/>
        <v>0</v>
      </c>
      <c r="BF131" s="91">
        <f t="shared" si="87"/>
        <v>2567175.7000000002</v>
      </c>
      <c r="BG131" s="91">
        <f t="shared" si="87"/>
        <v>1527131.03</v>
      </c>
      <c r="BH131" s="91">
        <f t="shared" si="87"/>
        <v>375093.52</v>
      </c>
      <c r="BI131" s="91">
        <f t="shared" si="87"/>
        <v>664951.15</v>
      </c>
    </row>
    <row r="132" spans="2:61" x14ac:dyDescent="0.3">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3">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10000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10000</v>
      </c>
      <c r="BG133" s="4">
        <f t="shared" si="89"/>
        <v>0</v>
      </c>
      <c r="BH133" s="4">
        <f t="shared" si="90"/>
        <v>10000</v>
      </c>
      <c r="BI133" s="4">
        <f t="shared" si="91"/>
        <v>0</v>
      </c>
    </row>
    <row r="134" spans="2:61" x14ac:dyDescent="0.3">
      <c r="C134">
        <v>483</v>
      </c>
      <c r="D134" t="s">
        <v>184</v>
      </c>
      <c r="E134" s="4">
        <v>0</v>
      </c>
      <c r="F134" s="4">
        <v>0</v>
      </c>
      <c r="G134" s="4">
        <v>0</v>
      </c>
      <c r="H134" s="4">
        <v>0</v>
      </c>
      <c r="I134" s="4">
        <v>0</v>
      </c>
      <c r="J134" s="4">
        <v>28320</v>
      </c>
      <c r="K134" s="4">
        <v>0</v>
      </c>
      <c r="L134" s="4">
        <v>0</v>
      </c>
      <c r="M134" s="4">
        <v>0</v>
      </c>
      <c r="N134" s="4">
        <v>0</v>
      </c>
      <c r="O134" s="4">
        <v>0</v>
      </c>
      <c r="P134" s="4">
        <v>0</v>
      </c>
      <c r="Q134" s="4">
        <v>0</v>
      </c>
      <c r="R134" s="4">
        <v>0</v>
      </c>
      <c r="S134" s="4">
        <v>0</v>
      </c>
      <c r="T134" s="4">
        <v>9694.9500000000007</v>
      </c>
      <c r="U134" s="4">
        <v>0</v>
      </c>
      <c r="V134" s="4">
        <v>0</v>
      </c>
      <c r="W134" s="4">
        <v>0</v>
      </c>
      <c r="X134" s="4">
        <v>0</v>
      </c>
      <c r="Y134" s="4">
        <v>0</v>
      </c>
      <c r="Z134" s="4">
        <v>0</v>
      </c>
      <c r="AA134" s="4">
        <v>0</v>
      </c>
      <c r="AB134" s="4">
        <v>0</v>
      </c>
      <c r="AC134" s="4">
        <v>0</v>
      </c>
      <c r="AD134" s="4">
        <v>0</v>
      </c>
      <c r="AE134" s="4">
        <v>0</v>
      </c>
      <c r="AF134" s="4">
        <v>0</v>
      </c>
      <c r="AG134" s="4">
        <v>0</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38014.949999999997</v>
      </c>
      <c r="BG134" s="4">
        <f t="shared" si="89"/>
        <v>38014.949999999997</v>
      </c>
      <c r="BH134" s="4">
        <f t="shared" si="90"/>
        <v>0</v>
      </c>
      <c r="BI134" s="4">
        <f t="shared" si="91"/>
        <v>0</v>
      </c>
    </row>
    <row r="135" spans="2:61" x14ac:dyDescent="0.3">
      <c r="C135">
        <v>484</v>
      </c>
      <c r="D135" t="s">
        <v>185</v>
      </c>
      <c r="E135" s="4">
        <v>0</v>
      </c>
      <c r="F135" s="4">
        <v>0</v>
      </c>
      <c r="G135" s="4">
        <v>0</v>
      </c>
      <c r="H135" s="4">
        <v>0</v>
      </c>
      <c r="I135" s="4">
        <v>0</v>
      </c>
      <c r="J135" s="4">
        <v>0</v>
      </c>
      <c r="K135" s="4">
        <v>1254.78</v>
      </c>
      <c r="L135" s="4">
        <v>0</v>
      </c>
      <c r="M135" s="4">
        <v>0</v>
      </c>
      <c r="N135" s="4">
        <v>0</v>
      </c>
      <c r="O135" s="4">
        <v>25383</v>
      </c>
      <c r="P135" s="4">
        <v>0</v>
      </c>
      <c r="Q135" s="4">
        <v>0</v>
      </c>
      <c r="R135" s="4">
        <v>0</v>
      </c>
      <c r="S135" s="4">
        <v>0</v>
      </c>
      <c r="T135" s="4">
        <v>0</v>
      </c>
      <c r="U135" s="4">
        <v>0</v>
      </c>
      <c r="V135" s="4">
        <v>0</v>
      </c>
      <c r="W135" s="4">
        <v>0</v>
      </c>
      <c r="X135" s="4">
        <v>0</v>
      </c>
      <c r="Y135" s="4">
        <v>0</v>
      </c>
      <c r="Z135" s="4">
        <v>0</v>
      </c>
      <c r="AA135" s="4">
        <v>0</v>
      </c>
      <c r="AB135" s="4">
        <v>0</v>
      </c>
      <c r="AC135" s="4">
        <v>7475</v>
      </c>
      <c r="AD135" s="4">
        <v>0</v>
      </c>
      <c r="AE135" s="4">
        <v>13.7</v>
      </c>
      <c r="AF135" s="4">
        <v>0</v>
      </c>
      <c r="AG135" s="4">
        <v>0</v>
      </c>
      <c r="AH135" s="4">
        <v>0</v>
      </c>
      <c r="AI135" s="4">
        <v>0</v>
      </c>
      <c r="AJ135" s="4">
        <v>0</v>
      </c>
      <c r="AK135" s="4">
        <v>0</v>
      </c>
      <c r="AL135" s="4">
        <v>0</v>
      </c>
      <c r="AM135" s="4">
        <v>0</v>
      </c>
      <c r="AN135" s="4">
        <v>0</v>
      </c>
      <c r="AO135" s="4">
        <v>0</v>
      </c>
      <c r="AP135" s="4">
        <v>0</v>
      </c>
      <c r="AQ135" s="4">
        <v>0</v>
      </c>
      <c r="AR135" s="4">
        <v>0</v>
      </c>
      <c r="AS135" s="4">
        <v>0</v>
      </c>
      <c r="AT135" s="4">
        <v>15591.15</v>
      </c>
      <c r="AU135" s="4">
        <v>0</v>
      </c>
      <c r="AV135" s="4">
        <v>0</v>
      </c>
      <c r="AW135" s="4">
        <v>0</v>
      </c>
      <c r="AX135" s="4">
        <v>0</v>
      </c>
      <c r="AY135" s="4">
        <v>0</v>
      </c>
      <c r="AZ135" s="4">
        <v>0</v>
      </c>
      <c r="BA135" s="4">
        <v>0</v>
      </c>
      <c r="BB135" s="4">
        <v>0</v>
      </c>
      <c r="BC135" s="4">
        <v>0</v>
      </c>
      <c r="BD135" s="4">
        <v>154000</v>
      </c>
      <c r="BE135" s="4">
        <v>0</v>
      </c>
      <c r="BF135" s="4">
        <f t="shared" si="88"/>
        <v>203717.63</v>
      </c>
      <c r="BG135" s="4">
        <f t="shared" si="89"/>
        <v>26637.78</v>
      </c>
      <c r="BH135" s="4">
        <f t="shared" si="90"/>
        <v>7488.7</v>
      </c>
      <c r="BI135" s="4">
        <f t="shared" si="91"/>
        <v>169591.15</v>
      </c>
    </row>
    <row r="136" spans="2:61" x14ac:dyDescent="0.3">
      <c r="C136">
        <v>485</v>
      </c>
      <c r="D136" t="s">
        <v>186</v>
      </c>
      <c r="E136" s="4">
        <v>0</v>
      </c>
      <c r="F136" s="4">
        <v>0</v>
      </c>
      <c r="G136" s="4">
        <v>0</v>
      </c>
      <c r="H136" s="4"/>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3">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3">
      <c r="C138">
        <v>489</v>
      </c>
      <c r="D138" t="s">
        <v>188</v>
      </c>
      <c r="E138" s="4">
        <v>0</v>
      </c>
      <c r="F138" s="4">
        <v>0</v>
      </c>
      <c r="G138" s="4">
        <v>0</v>
      </c>
      <c r="H138" s="4">
        <v>0</v>
      </c>
      <c r="I138" s="4">
        <v>300000</v>
      </c>
      <c r="J138" s="4">
        <v>0</v>
      </c>
      <c r="K138" s="4">
        <v>0</v>
      </c>
      <c r="L138" s="4">
        <v>1100000</v>
      </c>
      <c r="M138" s="4">
        <v>40000</v>
      </c>
      <c r="N138" s="4">
        <v>0</v>
      </c>
      <c r="O138" s="4">
        <v>2478.3000000000002</v>
      </c>
      <c r="P138" s="4">
        <v>0</v>
      </c>
      <c r="Q138" s="4">
        <v>20000</v>
      </c>
      <c r="R138" s="4">
        <v>0</v>
      </c>
      <c r="S138" s="4">
        <v>0</v>
      </c>
      <c r="T138" s="4">
        <v>0</v>
      </c>
      <c r="U138" s="4">
        <v>0</v>
      </c>
      <c r="V138" s="4">
        <v>0</v>
      </c>
      <c r="W138" s="4">
        <v>0</v>
      </c>
      <c r="X138" s="4">
        <v>0</v>
      </c>
      <c r="Y138" s="4">
        <v>0</v>
      </c>
      <c r="Z138" s="4">
        <v>0</v>
      </c>
      <c r="AA138" s="4">
        <v>0</v>
      </c>
      <c r="AB138" s="4">
        <v>0</v>
      </c>
      <c r="AC138" s="4">
        <v>206471.32</v>
      </c>
      <c r="AD138" s="4">
        <v>151133.5</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50000</v>
      </c>
      <c r="AU138" s="4">
        <v>0</v>
      </c>
      <c r="AV138" s="4">
        <v>425359</v>
      </c>
      <c r="AW138" s="4">
        <v>0</v>
      </c>
      <c r="AX138" s="4">
        <v>20000</v>
      </c>
      <c r="AY138" s="4">
        <v>0</v>
      </c>
      <c r="AZ138" s="4">
        <v>0</v>
      </c>
      <c r="BA138" s="4">
        <v>0</v>
      </c>
      <c r="BB138" s="4">
        <v>0</v>
      </c>
      <c r="BC138" s="4">
        <v>1</v>
      </c>
      <c r="BD138" s="4">
        <v>0</v>
      </c>
      <c r="BE138" s="4">
        <v>0</v>
      </c>
      <c r="BF138" s="4">
        <f t="shared" si="88"/>
        <v>2315443.12</v>
      </c>
      <c r="BG138" s="4">
        <f t="shared" si="89"/>
        <v>1462478.3</v>
      </c>
      <c r="BH138" s="4">
        <f t="shared" si="90"/>
        <v>357604.82</v>
      </c>
      <c r="BI138" s="4">
        <f t="shared" si="91"/>
        <v>495360</v>
      </c>
    </row>
    <row r="139" spans="2:61" x14ac:dyDescent="0.3">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3">
      <c r="B140" s="96">
        <v>49</v>
      </c>
      <c r="C140" s="96"/>
      <c r="D140" s="96" t="s">
        <v>128</v>
      </c>
      <c r="E140" s="91">
        <f>E141+E142+E143+E144+E145+E146+E147+E148</f>
        <v>48926</v>
      </c>
      <c r="F140" s="91">
        <f t="shared" ref="F140:BI140" si="92">F141+F142+F143+F144+F145+F146+F147+F148</f>
        <v>31349.989999999998</v>
      </c>
      <c r="G140" s="91">
        <f t="shared" si="92"/>
        <v>2814.4</v>
      </c>
      <c r="H140" s="91">
        <f t="shared" si="92"/>
        <v>31545.85</v>
      </c>
      <c r="I140" s="91">
        <f t="shared" si="92"/>
        <v>309300</v>
      </c>
      <c r="J140" s="91">
        <f t="shared" si="92"/>
        <v>59158</v>
      </c>
      <c r="K140" s="91">
        <f t="shared" si="92"/>
        <v>165757.75</v>
      </c>
      <c r="L140" s="91">
        <f t="shared" si="92"/>
        <v>6430531.9399999995</v>
      </c>
      <c r="M140" s="91">
        <f t="shared" si="92"/>
        <v>99719.41</v>
      </c>
      <c r="N140" s="91">
        <f t="shared" si="92"/>
        <v>0</v>
      </c>
      <c r="O140" s="91">
        <f t="shared" si="92"/>
        <v>63120</v>
      </c>
      <c r="P140" s="91">
        <f t="shared" si="92"/>
        <v>35547.949999999997</v>
      </c>
      <c r="Q140" s="91">
        <f t="shared" si="92"/>
        <v>0</v>
      </c>
      <c r="R140" s="91">
        <f t="shared" si="92"/>
        <v>22300</v>
      </c>
      <c r="S140" s="91">
        <f t="shared" si="92"/>
        <v>0</v>
      </c>
      <c r="T140" s="91">
        <f t="shared" si="92"/>
        <v>6500</v>
      </c>
      <c r="U140" s="91">
        <f t="shared" si="92"/>
        <v>0</v>
      </c>
      <c r="V140" s="91">
        <f t="shared" si="92"/>
        <v>60358.1</v>
      </c>
      <c r="W140" s="91">
        <f t="shared" si="92"/>
        <v>286000.15000000002</v>
      </c>
      <c r="X140" s="91">
        <f t="shared" si="92"/>
        <v>0</v>
      </c>
      <c r="Y140" s="91">
        <f t="shared" si="92"/>
        <v>0</v>
      </c>
      <c r="Z140" s="91">
        <f t="shared" si="92"/>
        <v>0</v>
      </c>
      <c r="AA140" s="91">
        <f t="shared" si="92"/>
        <v>24713.15</v>
      </c>
      <c r="AB140" s="91">
        <f t="shared" si="92"/>
        <v>0</v>
      </c>
      <c r="AC140" s="91">
        <f t="shared" si="92"/>
        <v>26841.7</v>
      </c>
      <c r="AD140" s="91">
        <f t="shared" si="92"/>
        <v>120062.5</v>
      </c>
      <c r="AE140" s="91">
        <f t="shared" si="92"/>
        <v>87127.35</v>
      </c>
      <c r="AF140" s="91">
        <f t="shared" si="92"/>
        <v>69667.45</v>
      </c>
      <c r="AG140" s="91">
        <f t="shared" si="92"/>
        <v>5506.7</v>
      </c>
      <c r="AH140" s="91">
        <f t="shared" si="92"/>
        <v>28100</v>
      </c>
      <c r="AI140" s="91">
        <f t="shared" si="92"/>
        <v>0</v>
      </c>
      <c r="AJ140" s="91">
        <f t="shared" si="92"/>
        <v>1051.1500000000001</v>
      </c>
      <c r="AK140" s="91">
        <f t="shared" si="92"/>
        <v>16350</v>
      </c>
      <c r="AL140" s="91">
        <f t="shared" si="92"/>
        <v>59318.75</v>
      </c>
      <c r="AM140" s="91">
        <f t="shared" si="92"/>
        <v>3700</v>
      </c>
      <c r="AN140" s="91">
        <f t="shared" si="92"/>
        <v>0</v>
      </c>
      <c r="AO140" s="91">
        <f t="shared" si="92"/>
        <v>41758.800000000003</v>
      </c>
      <c r="AP140" s="91">
        <f t="shared" si="92"/>
        <v>93043.1</v>
      </c>
      <c r="AQ140" s="91">
        <f t="shared" si="92"/>
        <v>0</v>
      </c>
      <c r="AR140" s="91">
        <f t="shared" si="92"/>
        <v>0</v>
      </c>
      <c r="AS140" s="91">
        <f t="shared" si="92"/>
        <v>59398.05</v>
      </c>
      <c r="AT140" s="91">
        <f t="shared" si="92"/>
        <v>0</v>
      </c>
      <c r="AU140" s="91">
        <f t="shared" si="92"/>
        <v>10800</v>
      </c>
      <c r="AV140" s="91">
        <f t="shared" si="92"/>
        <v>38252</v>
      </c>
      <c r="AW140" s="91">
        <f t="shared" si="92"/>
        <v>0</v>
      </c>
      <c r="AX140" s="91">
        <f t="shared" si="92"/>
        <v>7348.8</v>
      </c>
      <c r="AY140" s="91">
        <f t="shared" si="92"/>
        <v>0</v>
      </c>
      <c r="AZ140" s="91">
        <f t="shared" si="92"/>
        <v>152452.6</v>
      </c>
      <c r="BA140" s="91">
        <f t="shared" si="92"/>
        <v>0</v>
      </c>
      <c r="BB140" s="91">
        <f t="shared" si="92"/>
        <v>46154.879999999997</v>
      </c>
      <c r="BC140" s="91">
        <f t="shared" si="92"/>
        <v>0</v>
      </c>
      <c r="BD140" s="91">
        <f t="shared" si="92"/>
        <v>0</v>
      </c>
      <c r="BE140" s="91">
        <f t="shared" si="92"/>
        <v>15500</v>
      </c>
      <c r="BF140" s="91">
        <f t="shared" si="92"/>
        <v>8560076.5199999996</v>
      </c>
      <c r="BG140" s="91">
        <f t="shared" si="92"/>
        <v>7652929.540000001</v>
      </c>
      <c r="BH140" s="91">
        <f t="shared" si="92"/>
        <v>363069.99999999994</v>
      </c>
      <c r="BI140" s="91">
        <f t="shared" si="92"/>
        <v>544076.9800000001</v>
      </c>
    </row>
    <row r="141" spans="2:61" x14ac:dyDescent="0.3">
      <c r="C141">
        <v>490</v>
      </c>
      <c r="D141" t="s">
        <v>129</v>
      </c>
      <c r="E141" s="4">
        <v>0</v>
      </c>
      <c r="F141" s="4">
        <v>200</v>
      </c>
      <c r="G141" s="4">
        <v>0</v>
      </c>
      <c r="H141" s="4">
        <v>0</v>
      </c>
      <c r="I141" s="4">
        <v>0</v>
      </c>
      <c r="J141" s="4">
        <v>0</v>
      </c>
      <c r="K141" s="4">
        <v>0</v>
      </c>
      <c r="L141" s="4">
        <v>30000</v>
      </c>
      <c r="M141" s="4">
        <v>1200</v>
      </c>
      <c r="N141" s="4">
        <v>0</v>
      </c>
      <c r="O141" s="4">
        <v>0</v>
      </c>
      <c r="P141" s="4">
        <v>0</v>
      </c>
      <c r="Q141" s="4">
        <v>0</v>
      </c>
      <c r="R141" s="4">
        <v>0</v>
      </c>
      <c r="S141" s="4">
        <v>0</v>
      </c>
      <c r="T141" s="4">
        <v>0</v>
      </c>
      <c r="U141" s="4">
        <v>0</v>
      </c>
      <c r="V141" s="4">
        <v>0</v>
      </c>
      <c r="W141" s="4">
        <v>3000</v>
      </c>
      <c r="X141" s="4">
        <v>0</v>
      </c>
      <c r="Y141" s="4">
        <v>0</v>
      </c>
      <c r="Z141" s="4">
        <v>0</v>
      </c>
      <c r="AA141" s="4">
        <v>113.15</v>
      </c>
      <c r="AB141" s="4">
        <v>0</v>
      </c>
      <c r="AC141" s="4">
        <v>0</v>
      </c>
      <c r="AD141" s="4">
        <v>1250</v>
      </c>
      <c r="AE141" s="4">
        <v>0</v>
      </c>
      <c r="AF141" s="4">
        <v>0</v>
      </c>
      <c r="AG141" s="4">
        <v>3468.15</v>
      </c>
      <c r="AH141" s="4">
        <v>0</v>
      </c>
      <c r="AI141" s="4">
        <v>0</v>
      </c>
      <c r="AJ141" s="4">
        <v>0</v>
      </c>
      <c r="AK141" s="4">
        <v>0</v>
      </c>
      <c r="AL141" s="4">
        <v>0</v>
      </c>
      <c r="AM141" s="4">
        <v>0</v>
      </c>
      <c r="AN141" s="4">
        <v>0</v>
      </c>
      <c r="AO141" s="4">
        <v>0</v>
      </c>
      <c r="AP141" s="4">
        <v>800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40031.300000000003</v>
      </c>
      <c r="BG141" s="4">
        <f t="shared" ref="BG141:BG148" si="94">SUM(E141:W141)</f>
        <v>34400</v>
      </c>
      <c r="BH141" s="4">
        <f t="shared" ref="BH141:BH148" si="95">SUM(X141:AJ141)</f>
        <v>4831.3</v>
      </c>
      <c r="BI141" s="4">
        <f t="shared" ref="BI141:BI148" si="96">SUM(AK141:BE141)</f>
        <v>800</v>
      </c>
    </row>
    <row r="142" spans="2:61" x14ac:dyDescent="0.3">
      <c r="C142">
        <v>491</v>
      </c>
      <c r="D142" t="s">
        <v>130</v>
      </c>
      <c r="E142" s="4">
        <v>48926</v>
      </c>
      <c r="F142" s="4">
        <v>6201.55</v>
      </c>
      <c r="G142" s="4">
        <v>0</v>
      </c>
      <c r="H142" s="4">
        <v>31189.85</v>
      </c>
      <c r="I142" s="4">
        <v>309300</v>
      </c>
      <c r="J142" s="4">
        <v>59158</v>
      </c>
      <c r="K142" s="4">
        <v>128170</v>
      </c>
      <c r="L142" s="4">
        <v>1132234.1499999999</v>
      </c>
      <c r="M142" s="4">
        <v>55922.400000000001</v>
      </c>
      <c r="N142" s="4">
        <v>0</v>
      </c>
      <c r="O142" s="4">
        <v>0</v>
      </c>
      <c r="P142" s="4">
        <v>35547.949999999997</v>
      </c>
      <c r="Q142" s="4">
        <v>0</v>
      </c>
      <c r="R142" s="4">
        <v>22300</v>
      </c>
      <c r="S142" s="4">
        <v>0</v>
      </c>
      <c r="T142" s="4">
        <v>6500</v>
      </c>
      <c r="U142" s="4">
        <v>0</v>
      </c>
      <c r="V142" s="4">
        <v>60358.1</v>
      </c>
      <c r="W142" s="4">
        <v>88799</v>
      </c>
      <c r="X142" s="4">
        <v>0</v>
      </c>
      <c r="Y142" s="4">
        <v>0</v>
      </c>
      <c r="Z142" s="4">
        <v>0</v>
      </c>
      <c r="AA142" s="4">
        <v>24600</v>
      </c>
      <c r="AB142" s="4">
        <v>0</v>
      </c>
      <c r="AC142" s="4">
        <v>26841.7</v>
      </c>
      <c r="AD142" s="4">
        <v>79700.149999999994</v>
      </c>
      <c r="AE142" s="4">
        <v>87127.35</v>
      </c>
      <c r="AF142" s="4">
        <v>69667.45</v>
      </c>
      <c r="AG142" s="4">
        <v>2038.55</v>
      </c>
      <c r="AH142" s="4">
        <v>28100</v>
      </c>
      <c r="AI142" s="4">
        <v>0</v>
      </c>
      <c r="AJ142" s="4">
        <v>0</v>
      </c>
      <c r="AK142" s="4">
        <v>16350</v>
      </c>
      <c r="AL142" s="4">
        <v>0</v>
      </c>
      <c r="AM142" s="4">
        <v>3700</v>
      </c>
      <c r="AN142" s="4">
        <v>0</v>
      </c>
      <c r="AO142" s="4">
        <v>41758.800000000003</v>
      </c>
      <c r="AP142" s="4">
        <v>55208.95</v>
      </c>
      <c r="AQ142" s="4">
        <v>0</v>
      </c>
      <c r="AR142" s="4">
        <v>0</v>
      </c>
      <c r="AS142" s="4">
        <v>48767.8</v>
      </c>
      <c r="AT142" s="4">
        <v>0</v>
      </c>
      <c r="AU142" s="4">
        <v>10800</v>
      </c>
      <c r="AV142" s="4">
        <v>38252</v>
      </c>
      <c r="AW142" s="4">
        <v>0</v>
      </c>
      <c r="AX142" s="4">
        <v>0</v>
      </c>
      <c r="AY142" s="4">
        <v>0</v>
      </c>
      <c r="AZ142" s="4">
        <v>148952.6</v>
      </c>
      <c r="BA142" s="4">
        <v>0</v>
      </c>
      <c r="BB142" s="4">
        <v>46154.879999999997</v>
      </c>
      <c r="BC142" s="4">
        <v>0</v>
      </c>
      <c r="BD142" s="4">
        <v>0</v>
      </c>
      <c r="BE142" s="4">
        <v>15500</v>
      </c>
      <c r="BF142" s="4">
        <f t="shared" si="93"/>
        <v>2728127.2299999995</v>
      </c>
      <c r="BG142" s="4">
        <f t="shared" si="94"/>
        <v>1984606.9999999998</v>
      </c>
      <c r="BH142" s="4">
        <f t="shared" si="95"/>
        <v>318075.19999999995</v>
      </c>
      <c r="BI142" s="4">
        <f t="shared" si="96"/>
        <v>425445.03</v>
      </c>
    </row>
    <row r="143" spans="2:61" x14ac:dyDescent="0.3">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0</v>
      </c>
      <c r="U143" s="4">
        <v>0</v>
      </c>
      <c r="V143" s="4">
        <v>0</v>
      </c>
      <c r="W143" s="4">
        <v>6400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116400</v>
      </c>
      <c r="BG143" s="4">
        <f t="shared" si="94"/>
        <v>116400</v>
      </c>
      <c r="BH143" s="4">
        <f t="shared" si="95"/>
        <v>0</v>
      </c>
      <c r="BI143" s="4">
        <f t="shared" si="96"/>
        <v>0</v>
      </c>
    </row>
    <row r="144" spans="2:61" x14ac:dyDescent="0.3">
      <c r="C144">
        <v>493</v>
      </c>
      <c r="D144" t="s">
        <v>190</v>
      </c>
      <c r="E144" s="4">
        <v>0</v>
      </c>
      <c r="F144" s="4">
        <v>0</v>
      </c>
      <c r="G144" s="4">
        <v>0</v>
      </c>
      <c r="H144" s="4">
        <v>0</v>
      </c>
      <c r="I144" s="4">
        <v>0</v>
      </c>
      <c r="J144" s="4">
        <v>0</v>
      </c>
      <c r="K144" s="4">
        <v>11206</v>
      </c>
      <c r="L144" s="4">
        <v>32269.5</v>
      </c>
      <c r="M144" s="4">
        <v>0</v>
      </c>
      <c r="N144" s="4">
        <v>0</v>
      </c>
      <c r="O144" s="4">
        <v>0</v>
      </c>
      <c r="P144" s="4">
        <v>0</v>
      </c>
      <c r="Q144" s="4">
        <v>0</v>
      </c>
      <c r="R144" s="4">
        <v>0</v>
      </c>
      <c r="S144" s="4">
        <v>0</v>
      </c>
      <c r="T144" s="4">
        <v>0</v>
      </c>
      <c r="U144" s="4">
        <v>0</v>
      </c>
      <c r="V144" s="4">
        <v>0</v>
      </c>
      <c r="W144" s="4">
        <v>10000</v>
      </c>
      <c r="X144" s="4">
        <v>0</v>
      </c>
      <c r="Y144" s="4">
        <v>0</v>
      </c>
      <c r="Z144" s="4">
        <v>0</v>
      </c>
      <c r="AA144" s="4">
        <v>0</v>
      </c>
      <c r="AB144" s="4">
        <v>0</v>
      </c>
      <c r="AC144" s="4">
        <v>0</v>
      </c>
      <c r="AD144" s="4">
        <v>39112.35</v>
      </c>
      <c r="AE144" s="4">
        <v>0</v>
      </c>
      <c r="AF144" s="4">
        <v>0</v>
      </c>
      <c r="AG144" s="4">
        <v>0</v>
      </c>
      <c r="AH144" s="4">
        <v>0</v>
      </c>
      <c r="AI144" s="4">
        <v>0</v>
      </c>
      <c r="AJ144" s="4">
        <v>0</v>
      </c>
      <c r="AK144" s="4">
        <v>0</v>
      </c>
      <c r="AL144" s="4">
        <v>0</v>
      </c>
      <c r="AM144" s="4">
        <v>0</v>
      </c>
      <c r="AN144" s="4">
        <v>0</v>
      </c>
      <c r="AO144" s="4">
        <v>0</v>
      </c>
      <c r="AP144" s="4">
        <v>0</v>
      </c>
      <c r="AQ144" s="4">
        <v>0</v>
      </c>
      <c r="AR144" s="4">
        <v>0</v>
      </c>
      <c r="AS144" s="4">
        <v>2619.4</v>
      </c>
      <c r="AT144" s="4">
        <v>0</v>
      </c>
      <c r="AU144" s="4">
        <v>0</v>
      </c>
      <c r="AV144" s="4">
        <v>0</v>
      </c>
      <c r="AW144" s="4">
        <v>0</v>
      </c>
      <c r="AX144" s="4">
        <v>0</v>
      </c>
      <c r="AY144" s="4">
        <v>0</v>
      </c>
      <c r="AZ144" s="4">
        <v>0</v>
      </c>
      <c r="BA144" s="4">
        <v>0</v>
      </c>
      <c r="BB144" s="4">
        <v>0</v>
      </c>
      <c r="BC144" s="4">
        <v>0</v>
      </c>
      <c r="BD144" s="4">
        <v>0</v>
      </c>
      <c r="BE144" s="4">
        <v>0</v>
      </c>
      <c r="BF144" s="4">
        <f t="shared" si="93"/>
        <v>95207.25</v>
      </c>
      <c r="BG144" s="4">
        <f t="shared" si="94"/>
        <v>53475.5</v>
      </c>
      <c r="BH144" s="4">
        <f t="shared" si="95"/>
        <v>39112.35</v>
      </c>
      <c r="BI144" s="4">
        <f t="shared" si="96"/>
        <v>2619.4</v>
      </c>
    </row>
    <row r="145" spans="1:61" x14ac:dyDescent="0.3">
      <c r="C145">
        <v>494</v>
      </c>
      <c r="D145" t="s">
        <v>133</v>
      </c>
      <c r="E145" s="4">
        <v>0</v>
      </c>
      <c r="F145" s="4">
        <v>24948.44</v>
      </c>
      <c r="G145" s="4">
        <v>2814.4</v>
      </c>
      <c r="H145" s="4">
        <v>0</v>
      </c>
      <c r="I145" s="4">
        <v>0</v>
      </c>
      <c r="J145" s="4">
        <v>0</v>
      </c>
      <c r="K145" s="4">
        <v>26381.75</v>
      </c>
      <c r="L145" s="4">
        <v>714657</v>
      </c>
      <c r="M145" s="4">
        <v>42597.01</v>
      </c>
      <c r="N145" s="4">
        <v>0</v>
      </c>
      <c r="O145" s="4">
        <v>63120</v>
      </c>
      <c r="P145" s="4">
        <v>0</v>
      </c>
      <c r="Q145" s="4">
        <v>0</v>
      </c>
      <c r="R145" s="4">
        <v>0</v>
      </c>
      <c r="S145" s="4">
        <v>0</v>
      </c>
      <c r="T145" s="4">
        <v>0</v>
      </c>
      <c r="U145" s="4">
        <v>0</v>
      </c>
      <c r="V145" s="4">
        <v>0</v>
      </c>
      <c r="W145" s="4">
        <v>174801.15</v>
      </c>
      <c r="X145" s="4">
        <v>0</v>
      </c>
      <c r="Y145" s="4">
        <v>0</v>
      </c>
      <c r="Z145" s="4">
        <v>0</v>
      </c>
      <c r="AA145" s="4">
        <v>0</v>
      </c>
      <c r="AB145" s="4">
        <v>0</v>
      </c>
      <c r="AC145" s="4">
        <v>0</v>
      </c>
      <c r="AD145" s="4">
        <v>0</v>
      </c>
      <c r="AE145" s="4">
        <v>0</v>
      </c>
      <c r="AF145" s="4">
        <v>0</v>
      </c>
      <c r="AG145" s="4">
        <v>0</v>
      </c>
      <c r="AH145" s="4">
        <v>0</v>
      </c>
      <c r="AI145" s="4">
        <v>0</v>
      </c>
      <c r="AJ145" s="4">
        <v>1051.1500000000001</v>
      </c>
      <c r="AK145" s="4">
        <v>0</v>
      </c>
      <c r="AL145" s="4">
        <v>59318.75</v>
      </c>
      <c r="AM145" s="4">
        <v>0</v>
      </c>
      <c r="AN145" s="4">
        <v>0</v>
      </c>
      <c r="AO145" s="4">
        <v>0</v>
      </c>
      <c r="AP145" s="4">
        <v>37034.15</v>
      </c>
      <c r="AQ145" s="4">
        <v>0</v>
      </c>
      <c r="AR145" s="4">
        <v>0</v>
      </c>
      <c r="AS145" s="4">
        <v>8010.85</v>
      </c>
      <c r="AT145" s="4">
        <v>0</v>
      </c>
      <c r="AU145" s="4">
        <v>0</v>
      </c>
      <c r="AV145" s="4">
        <v>0</v>
      </c>
      <c r="AW145" s="4">
        <v>0</v>
      </c>
      <c r="AX145" s="4">
        <v>7348.8</v>
      </c>
      <c r="AY145" s="4">
        <v>0</v>
      </c>
      <c r="AZ145" s="4">
        <v>0</v>
      </c>
      <c r="BA145" s="4">
        <v>0</v>
      </c>
      <c r="BB145" s="4">
        <v>0</v>
      </c>
      <c r="BC145" s="4">
        <v>0</v>
      </c>
      <c r="BD145" s="4">
        <v>0</v>
      </c>
      <c r="BE145" s="4">
        <v>0</v>
      </c>
      <c r="BF145" s="4">
        <f t="shared" si="93"/>
        <v>1162083.45</v>
      </c>
      <c r="BG145" s="4">
        <f t="shared" si="94"/>
        <v>1049319.75</v>
      </c>
      <c r="BH145" s="4">
        <f t="shared" si="95"/>
        <v>1051.1500000000001</v>
      </c>
      <c r="BI145" s="4">
        <f t="shared" si="96"/>
        <v>111712.55</v>
      </c>
    </row>
    <row r="146" spans="1:61" x14ac:dyDescent="0.3">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3">
      <c r="C147">
        <v>498</v>
      </c>
      <c r="D147" t="s">
        <v>192</v>
      </c>
      <c r="E147" s="4">
        <v>0</v>
      </c>
      <c r="F147" s="4">
        <v>0</v>
      </c>
      <c r="G147" s="4">
        <v>0</v>
      </c>
      <c r="H147" s="4">
        <v>0</v>
      </c>
      <c r="I147" s="4">
        <v>0</v>
      </c>
      <c r="J147" s="4">
        <v>0</v>
      </c>
      <c r="K147" s="4">
        <v>0</v>
      </c>
      <c r="L147" s="4">
        <v>2465786.81</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2465786.81</v>
      </c>
      <c r="BG147" s="4">
        <f t="shared" si="94"/>
        <v>2465786.81</v>
      </c>
      <c r="BH147" s="4">
        <f t="shared" si="95"/>
        <v>0</v>
      </c>
      <c r="BI147" s="4">
        <f t="shared" si="96"/>
        <v>0</v>
      </c>
    </row>
    <row r="148" spans="1:61" x14ac:dyDescent="0.3">
      <c r="C148">
        <v>499</v>
      </c>
      <c r="D148" t="s">
        <v>136</v>
      </c>
      <c r="E148" s="4">
        <v>0</v>
      </c>
      <c r="F148" s="4">
        <v>0</v>
      </c>
      <c r="G148" s="4">
        <v>0</v>
      </c>
      <c r="H148" s="4">
        <v>0</v>
      </c>
      <c r="I148" s="4">
        <v>0</v>
      </c>
      <c r="J148" s="4"/>
      <c r="K148" s="4">
        <v>0</v>
      </c>
      <c r="L148" s="4">
        <v>1945584.48</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3500</v>
      </c>
      <c r="BA148" s="4">
        <v>0</v>
      </c>
      <c r="BB148" s="4">
        <v>0</v>
      </c>
      <c r="BC148" s="4">
        <v>0</v>
      </c>
      <c r="BD148" s="4">
        <v>0</v>
      </c>
      <c r="BE148" s="4">
        <v>0</v>
      </c>
      <c r="BF148" s="4">
        <f t="shared" si="93"/>
        <v>1952084.48</v>
      </c>
      <c r="BG148" s="4">
        <f t="shared" si="94"/>
        <v>1948584.48</v>
      </c>
      <c r="BH148" s="4">
        <f t="shared" si="95"/>
        <v>0</v>
      </c>
      <c r="BI148" s="4">
        <f t="shared" si="96"/>
        <v>3500</v>
      </c>
    </row>
    <row r="149" spans="1:61" x14ac:dyDescent="0.3">
      <c r="E149" s="4"/>
      <c r="F149" s="4"/>
      <c r="G149" s="4"/>
      <c r="H149" s="4"/>
      <c r="I149" s="4"/>
      <c r="J149" s="4"/>
      <c r="K149" s="4"/>
      <c r="L149" s="4"/>
      <c r="M149" s="4"/>
      <c r="N149" s="4"/>
      <c r="O149" s="4"/>
      <c r="P149" s="4">
        <v>0</v>
      </c>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v>0</v>
      </c>
      <c r="AS149" s="4"/>
      <c r="AT149" s="4"/>
      <c r="AU149" s="4"/>
      <c r="AV149" s="4">
        <v>0</v>
      </c>
      <c r="AW149" s="4">
        <v>0</v>
      </c>
      <c r="AX149" s="4"/>
      <c r="AY149" s="4">
        <v>0</v>
      </c>
      <c r="AZ149" s="4"/>
      <c r="BA149" s="4"/>
      <c r="BB149" s="4"/>
      <c r="BC149" s="4"/>
      <c r="BD149" s="4"/>
      <c r="BE149" s="4"/>
      <c r="BF149" s="4"/>
      <c r="BG149" s="4"/>
      <c r="BH149" s="4"/>
      <c r="BI149" s="4"/>
    </row>
    <row r="150" spans="1:61" x14ac:dyDescent="0.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3">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3">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3">
      <c r="A153" s="106"/>
      <c r="B153" s="106">
        <v>90</v>
      </c>
      <c r="C153" s="106"/>
      <c r="D153" s="106" t="s">
        <v>195</v>
      </c>
      <c r="E153" s="108">
        <f>E154+E155</f>
        <v>338069</v>
      </c>
      <c r="F153" s="108">
        <f t="shared" ref="F153:BI153" si="97">F154+F155</f>
        <v>183367.53000000003</v>
      </c>
      <c r="G153" s="108">
        <f t="shared" si="97"/>
        <v>-29321.279999999999</v>
      </c>
      <c r="H153" s="108">
        <f t="shared" si="97"/>
        <v>21653.66</v>
      </c>
      <c r="I153" s="108">
        <f t="shared" si="97"/>
        <v>461623.62999999995</v>
      </c>
      <c r="J153" s="108">
        <f t="shared" si="97"/>
        <v>1051215.94</v>
      </c>
      <c r="K153" s="108">
        <f t="shared" si="97"/>
        <v>253856.48</v>
      </c>
      <c r="L153" s="108">
        <f t="shared" si="97"/>
        <v>2089673.1800000002</v>
      </c>
      <c r="M153" s="108">
        <f t="shared" si="97"/>
        <v>-1352.8600000000151</v>
      </c>
      <c r="N153" s="108">
        <f t="shared" si="97"/>
        <v>-63918.92</v>
      </c>
      <c r="O153" s="108">
        <f t="shared" si="97"/>
        <v>-1177403.47</v>
      </c>
      <c r="P153" s="108">
        <f t="shared" si="97"/>
        <v>-93731.8</v>
      </c>
      <c r="Q153" s="108">
        <f t="shared" si="97"/>
        <v>-9460.8100000000013</v>
      </c>
      <c r="R153" s="108">
        <f t="shared" si="97"/>
        <v>-16853.579999999998</v>
      </c>
      <c r="S153" s="108">
        <f t="shared" si="97"/>
        <v>-13071.369999999995</v>
      </c>
      <c r="T153" s="108">
        <f t="shared" si="97"/>
        <v>262757.42</v>
      </c>
      <c r="U153" s="108">
        <f t="shared" si="97"/>
        <v>9048.7099999999991</v>
      </c>
      <c r="V153" s="108">
        <f t="shared" si="97"/>
        <v>-152377.16</v>
      </c>
      <c r="W153" s="108">
        <f t="shared" si="97"/>
        <v>364711.41000000003</v>
      </c>
      <c r="X153" s="108">
        <f t="shared" si="97"/>
        <v>26286.14</v>
      </c>
      <c r="Y153" s="108">
        <f t="shared" si="97"/>
        <v>178997.68</v>
      </c>
      <c r="Z153" s="108">
        <f t="shared" si="97"/>
        <v>3517719.9899999998</v>
      </c>
      <c r="AA153" s="108">
        <f t="shared" si="97"/>
        <v>-11170.27</v>
      </c>
      <c r="AB153" s="108">
        <f t="shared" si="97"/>
        <v>41421.78</v>
      </c>
      <c r="AC153" s="108">
        <f t="shared" si="97"/>
        <v>-114596.97</v>
      </c>
      <c r="AD153" s="108">
        <f t="shared" si="97"/>
        <v>-99000.459999999992</v>
      </c>
      <c r="AE153" s="108">
        <f t="shared" si="97"/>
        <v>-194273.68</v>
      </c>
      <c r="AF153" s="108">
        <f t="shared" si="97"/>
        <v>122538.76</v>
      </c>
      <c r="AG153" s="108">
        <f t="shared" si="97"/>
        <v>1107210.3</v>
      </c>
      <c r="AH153" s="108">
        <f t="shared" si="97"/>
        <v>243887.35</v>
      </c>
      <c r="AI153" s="108">
        <f t="shared" si="97"/>
        <v>-5355.96</v>
      </c>
      <c r="AJ153" s="108">
        <f t="shared" si="97"/>
        <v>22586.400000000001</v>
      </c>
      <c r="AK153" s="108">
        <f t="shared" si="97"/>
        <v>153720</v>
      </c>
      <c r="AL153" s="108">
        <f t="shared" si="97"/>
        <v>-32824.589999999997</v>
      </c>
      <c r="AM153" s="108">
        <f t="shared" si="97"/>
        <v>-5589.7700000000041</v>
      </c>
      <c r="AN153" s="108">
        <f t="shared" si="97"/>
        <v>13711.05</v>
      </c>
      <c r="AO153" s="108">
        <f t="shared" si="97"/>
        <v>341994.52</v>
      </c>
      <c r="AP153" s="108">
        <f t="shared" si="97"/>
        <v>197653.74000000002</v>
      </c>
      <c r="AQ153" s="108">
        <f t="shared" si="97"/>
        <v>23915.769999999997</v>
      </c>
      <c r="AR153" s="108">
        <f t="shared" si="97"/>
        <v>50671.79</v>
      </c>
      <c r="AS153" s="108">
        <f t="shared" si="97"/>
        <v>52551.100000000006</v>
      </c>
      <c r="AT153" s="108">
        <f t="shared" si="97"/>
        <v>35118.03</v>
      </c>
      <c r="AU153" s="108">
        <f t="shared" si="97"/>
        <v>112815.42</v>
      </c>
      <c r="AV153" s="108">
        <f t="shared" si="97"/>
        <v>-268507.58</v>
      </c>
      <c r="AW153" s="108">
        <f t="shared" si="97"/>
        <v>-9064.0300000000025</v>
      </c>
      <c r="AX153" s="108">
        <f t="shared" si="97"/>
        <v>29819.599999999999</v>
      </c>
      <c r="AY153" s="108">
        <f t="shared" si="97"/>
        <v>73689.049999999988</v>
      </c>
      <c r="AZ153" s="108">
        <f t="shared" si="97"/>
        <v>79042.83</v>
      </c>
      <c r="BA153" s="108">
        <f t="shared" si="97"/>
        <v>160878.04999999999</v>
      </c>
      <c r="BB153" s="108">
        <f t="shared" si="97"/>
        <v>192186.95</v>
      </c>
      <c r="BC153" s="108">
        <f t="shared" si="97"/>
        <v>-14911.230000000001</v>
      </c>
      <c r="BD153" s="108">
        <f t="shared" si="97"/>
        <v>1253727.51</v>
      </c>
      <c r="BE153" s="108">
        <f t="shared" si="97"/>
        <v>49199.93</v>
      </c>
      <c r="BF153" s="108">
        <f t="shared" si="97"/>
        <v>10804534.910000002</v>
      </c>
      <c r="BG153" s="108">
        <f t="shared" si="97"/>
        <v>3478485.71</v>
      </c>
      <c r="BH153" s="108">
        <f t="shared" si="97"/>
        <v>4836251.0600000005</v>
      </c>
      <c r="BI153" s="108">
        <f t="shared" si="97"/>
        <v>2489798.14</v>
      </c>
    </row>
    <row r="154" spans="1:61" x14ac:dyDescent="0.3">
      <c r="C154">
        <v>900</v>
      </c>
      <c r="D154" t="s">
        <v>196</v>
      </c>
      <c r="E154" s="101">
        <v>6015.15</v>
      </c>
      <c r="F154" s="101">
        <v>149441.67000000001</v>
      </c>
      <c r="G154" s="101">
        <v>-35747.06</v>
      </c>
      <c r="H154" s="101">
        <v>21653.66</v>
      </c>
      <c r="I154" s="101">
        <v>-197032.69</v>
      </c>
      <c r="J154" s="101">
        <v>643336.21</v>
      </c>
      <c r="K154" s="101">
        <v>33519.97</v>
      </c>
      <c r="L154" s="101">
        <v>-574634.73</v>
      </c>
      <c r="M154" s="101">
        <v>-144001.48000000001</v>
      </c>
      <c r="N154" s="101">
        <v>-63918.92</v>
      </c>
      <c r="O154" s="101">
        <v>-1449255.52</v>
      </c>
      <c r="P154" s="101">
        <v>-93731.8</v>
      </c>
      <c r="Q154" s="101">
        <v>-28876.52</v>
      </c>
      <c r="R154" s="101">
        <v>-40565.49</v>
      </c>
      <c r="S154" s="101">
        <v>-162663.04000000001</v>
      </c>
      <c r="T154" s="101">
        <v>81234.89</v>
      </c>
      <c r="U154" s="101">
        <v>-1983.29</v>
      </c>
      <c r="V154" s="101">
        <v>-151807.1</v>
      </c>
      <c r="W154" s="101">
        <v>8997.4500000000007</v>
      </c>
      <c r="X154" s="101">
        <v>15146.84</v>
      </c>
      <c r="Y154" s="101">
        <v>94732.18</v>
      </c>
      <c r="Z154" s="101">
        <v>3333844.9</v>
      </c>
      <c r="AA154" s="101">
        <v>-13900.02</v>
      </c>
      <c r="AB154" s="101">
        <v>-8071.54</v>
      </c>
      <c r="AC154" s="101">
        <v>-115008.95</v>
      </c>
      <c r="AD154" s="101">
        <v>-169604.71</v>
      </c>
      <c r="AE154" s="101">
        <v>-167058.57</v>
      </c>
      <c r="AF154" s="101">
        <v>27072.7</v>
      </c>
      <c r="AG154" s="101">
        <v>902636.72</v>
      </c>
      <c r="AH154" s="101">
        <v>21604.95</v>
      </c>
      <c r="AI154" s="101">
        <v>-7331.51</v>
      </c>
      <c r="AJ154" s="101">
        <v>-28280.9</v>
      </c>
      <c r="AK154" s="101">
        <v>92720</v>
      </c>
      <c r="AL154" s="101">
        <v>-32824.589999999997</v>
      </c>
      <c r="AM154" s="101">
        <v>-97730</v>
      </c>
      <c r="AN154" s="101">
        <v>8760.2199999999993</v>
      </c>
      <c r="AO154" s="101">
        <v>313035.14</v>
      </c>
      <c r="AP154" s="101">
        <v>163646.92000000001</v>
      </c>
      <c r="AQ154" s="101">
        <v>39059.129999999997</v>
      </c>
      <c r="AR154" s="101">
        <v>21784.22</v>
      </c>
      <c r="AS154" s="101">
        <v>8665.52</v>
      </c>
      <c r="AT154" s="101">
        <v>-30052.95</v>
      </c>
      <c r="AU154" s="101">
        <v>81088.7</v>
      </c>
      <c r="AV154" s="101">
        <v>-430556.03</v>
      </c>
      <c r="AW154" s="101">
        <v>-41819.94</v>
      </c>
      <c r="AX154" s="101">
        <v>10076.969999999999</v>
      </c>
      <c r="AY154" s="101">
        <v>26132.85</v>
      </c>
      <c r="AZ154" s="101">
        <v>40793.43</v>
      </c>
      <c r="BA154" s="61">
        <v>24133.4</v>
      </c>
      <c r="BB154" s="101">
        <v>52053.97</v>
      </c>
      <c r="BC154" s="101">
        <v>-17187.810000000001</v>
      </c>
      <c r="BD154" s="101">
        <v>189954.45</v>
      </c>
      <c r="BE154" s="101">
        <v>7796.33</v>
      </c>
      <c r="BF154" s="101">
        <f t="shared" ref="BF154:BF155" si="98">SUM(E154:BE154)</f>
        <v>2315293.3799999994</v>
      </c>
      <c r="BG154" s="101">
        <f t="shared" ref="BG154:BG155" si="99">SUM(E154:W154)</f>
        <v>-2000018.6400000006</v>
      </c>
      <c r="BH154" s="101">
        <f t="shared" ref="BH154:BH155" si="100">SUM(X154:AJ154)</f>
        <v>3885782.0900000003</v>
      </c>
      <c r="BI154" s="101">
        <f t="shared" ref="BI154:BI155" si="101">SUM(AK154:BE154)</f>
        <v>429529.93000000005</v>
      </c>
    </row>
    <row r="155" spans="1:61" x14ac:dyDescent="0.3">
      <c r="C155">
        <v>901</v>
      </c>
      <c r="D155" t="s">
        <v>197</v>
      </c>
      <c r="E155" s="101">
        <v>332053.84999999998</v>
      </c>
      <c r="F155" s="101">
        <v>33925.86</v>
      </c>
      <c r="G155" s="101">
        <v>6425.78</v>
      </c>
      <c r="H155" s="101">
        <v>0</v>
      </c>
      <c r="I155" s="101">
        <v>658656.31999999995</v>
      </c>
      <c r="J155" s="101">
        <v>407879.73</v>
      </c>
      <c r="K155" s="101">
        <v>220336.51</v>
      </c>
      <c r="L155" s="101">
        <v>2664307.91</v>
      </c>
      <c r="M155" s="101">
        <v>142648.62</v>
      </c>
      <c r="N155" s="101">
        <v>0</v>
      </c>
      <c r="O155" s="101">
        <v>271852.05</v>
      </c>
      <c r="P155" s="101">
        <v>0</v>
      </c>
      <c r="Q155" s="101">
        <v>19415.71</v>
      </c>
      <c r="R155" s="101">
        <v>23711.91</v>
      </c>
      <c r="S155" s="101">
        <v>149591.67000000001</v>
      </c>
      <c r="T155" s="101">
        <v>181522.53</v>
      </c>
      <c r="U155" s="101">
        <v>11032</v>
      </c>
      <c r="V155" s="101">
        <v>-570.05999999999995</v>
      </c>
      <c r="W155" s="101">
        <v>355713.96</v>
      </c>
      <c r="X155" s="101">
        <v>11139.3</v>
      </c>
      <c r="Y155" s="101">
        <v>84265.5</v>
      </c>
      <c r="Z155" s="101">
        <v>183875.09</v>
      </c>
      <c r="AA155" s="101">
        <v>2729.75</v>
      </c>
      <c r="AB155" s="101">
        <v>49493.32</v>
      </c>
      <c r="AC155" s="101">
        <v>411.98</v>
      </c>
      <c r="AD155" s="101">
        <v>70604.25</v>
      </c>
      <c r="AE155" s="101">
        <v>-27215.11</v>
      </c>
      <c r="AF155" s="101">
        <v>95466.06</v>
      </c>
      <c r="AG155" s="101">
        <v>204573.58</v>
      </c>
      <c r="AH155" s="101">
        <v>222282.4</v>
      </c>
      <c r="AI155" s="101">
        <v>1975.55</v>
      </c>
      <c r="AJ155" s="101">
        <v>50867.3</v>
      </c>
      <c r="AK155" s="101">
        <v>61000</v>
      </c>
      <c r="AL155" s="101">
        <v>0</v>
      </c>
      <c r="AM155" s="101">
        <v>92140.23</v>
      </c>
      <c r="AN155" s="101">
        <v>4950.83</v>
      </c>
      <c r="AO155" s="101">
        <v>28959.38</v>
      </c>
      <c r="AP155" s="101">
        <v>34006.82</v>
      </c>
      <c r="AQ155" s="101">
        <v>-15143.36</v>
      </c>
      <c r="AR155" s="101">
        <v>28887.57</v>
      </c>
      <c r="AS155" s="101">
        <v>43885.58</v>
      </c>
      <c r="AT155" s="101">
        <v>65170.98</v>
      </c>
      <c r="AU155" s="101">
        <v>31726.720000000001</v>
      </c>
      <c r="AV155" s="101">
        <v>162048.45000000001</v>
      </c>
      <c r="AW155" s="101">
        <v>32755.91</v>
      </c>
      <c r="AX155" s="101">
        <v>19742.63</v>
      </c>
      <c r="AY155" s="101">
        <v>47556.2</v>
      </c>
      <c r="AZ155" s="101">
        <v>38249.4</v>
      </c>
      <c r="BA155" s="101">
        <v>136744.65</v>
      </c>
      <c r="BB155" s="101">
        <v>140132.98000000001</v>
      </c>
      <c r="BC155" s="101">
        <v>2276.58</v>
      </c>
      <c r="BD155" s="101">
        <v>1063773.06</v>
      </c>
      <c r="BE155" s="101">
        <v>41403.599999999999</v>
      </c>
      <c r="BF155" s="101">
        <f t="shared" si="98"/>
        <v>8489241.5300000031</v>
      </c>
      <c r="BG155" s="101">
        <f t="shared" si="99"/>
        <v>5478504.3500000006</v>
      </c>
      <c r="BH155" s="101">
        <f t="shared" si="100"/>
        <v>950468.97000000009</v>
      </c>
      <c r="BI155" s="101">
        <f t="shared" si="101"/>
        <v>2060268.21</v>
      </c>
    </row>
    <row r="156" spans="1:61" x14ac:dyDescent="0.3">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3">
      <c r="D157" s="7" t="s">
        <v>198</v>
      </c>
      <c r="E157" s="181">
        <f>E154+E155</f>
        <v>338069</v>
      </c>
      <c r="F157" s="181">
        <f t="shared" ref="F157:BI157" si="102">F154+F155</f>
        <v>183367.53000000003</v>
      </c>
      <c r="G157" s="181">
        <f t="shared" si="102"/>
        <v>-29321.279999999999</v>
      </c>
      <c r="H157" s="181">
        <f t="shared" si="102"/>
        <v>21653.66</v>
      </c>
      <c r="I157" s="181">
        <f t="shared" si="102"/>
        <v>461623.62999999995</v>
      </c>
      <c r="J157" s="181">
        <f t="shared" si="102"/>
        <v>1051215.94</v>
      </c>
      <c r="K157" s="181">
        <f t="shared" si="102"/>
        <v>253856.48</v>
      </c>
      <c r="L157" s="181">
        <f t="shared" si="102"/>
        <v>2089673.1800000002</v>
      </c>
      <c r="M157" s="181">
        <f t="shared" si="102"/>
        <v>-1352.8600000000151</v>
      </c>
      <c r="N157" s="181">
        <f t="shared" si="102"/>
        <v>-63918.92</v>
      </c>
      <c r="O157" s="181">
        <f t="shared" si="102"/>
        <v>-1177403.47</v>
      </c>
      <c r="P157" s="181">
        <f t="shared" si="102"/>
        <v>-93731.8</v>
      </c>
      <c r="Q157" s="181">
        <f t="shared" si="102"/>
        <v>-9460.8100000000013</v>
      </c>
      <c r="R157" s="181">
        <f t="shared" si="102"/>
        <v>-16853.579999999998</v>
      </c>
      <c r="S157" s="181">
        <f t="shared" si="102"/>
        <v>-13071.369999999995</v>
      </c>
      <c r="T157" s="181">
        <f t="shared" si="102"/>
        <v>262757.42</v>
      </c>
      <c r="U157" s="181">
        <f t="shared" si="102"/>
        <v>9048.7099999999991</v>
      </c>
      <c r="V157" s="181">
        <f t="shared" si="102"/>
        <v>-152377.16</v>
      </c>
      <c r="W157" s="181">
        <f t="shared" si="102"/>
        <v>364711.41000000003</v>
      </c>
      <c r="X157" s="181">
        <f t="shared" si="102"/>
        <v>26286.14</v>
      </c>
      <c r="Y157" s="181">
        <f t="shared" si="102"/>
        <v>178997.68</v>
      </c>
      <c r="Z157" s="181">
        <f t="shared" si="102"/>
        <v>3517719.9899999998</v>
      </c>
      <c r="AA157" s="181">
        <f t="shared" si="102"/>
        <v>-11170.27</v>
      </c>
      <c r="AB157" s="181">
        <f t="shared" si="102"/>
        <v>41421.78</v>
      </c>
      <c r="AC157" s="181">
        <f t="shared" si="102"/>
        <v>-114596.97</v>
      </c>
      <c r="AD157" s="181">
        <f t="shared" si="102"/>
        <v>-99000.459999999992</v>
      </c>
      <c r="AE157" s="181">
        <f t="shared" si="102"/>
        <v>-194273.68</v>
      </c>
      <c r="AF157" s="181">
        <f t="shared" si="102"/>
        <v>122538.76</v>
      </c>
      <c r="AG157" s="181">
        <f t="shared" si="102"/>
        <v>1107210.3</v>
      </c>
      <c r="AH157" s="181">
        <f t="shared" si="102"/>
        <v>243887.35</v>
      </c>
      <c r="AI157" s="181">
        <f t="shared" si="102"/>
        <v>-5355.96</v>
      </c>
      <c r="AJ157" s="181">
        <f t="shared" si="102"/>
        <v>22586.400000000001</v>
      </c>
      <c r="AK157" s="181">
        <f t="shared" si="102"/>
        <v>153720</v>
      </c>
      <c r="AL157" s="181">
        <f t="shared" si="102"/>
        <v>-32824.589999999997</v>
      </c>
      <c r="AM157" s="181">
        <f t="shared" si="102"/>
        <v>-5589.7700000000041</v>
      </c>
      <c r="AN157" s="181">
        <f t="shared" si="102"/>
        <v>13711.05</v>
      </c>
      <c r="AO157" s="181">
        <f t="shared" si="102"/>
        <v>341994.52</v>
      </c>
      <c r="AP157" s="181">
        <f t="shared" si="102"/>
        <v>197653.74000000002</v>
      </c>
      <c r="AQ157" s="181">
        <f t="shared" si="102"/>
        <v>23915.769999999997</v>
      </c>
      <c r="AR157" s="181">
        <f t="shared" si="102"/>
        <v>50671.79</v>
      </c>
      <c r="AS157" s="181">
        <f t="shared" si="102"/>
        <v>52551.100000000006</v>
      </c>
      <c r="AT157" s="181">
        <f t="shared" si="102"/>
        <v>35118.03</v>
      </c>
      <c r="AU157" s="181">
        <f t="shared" si="102"/>
        <v>112815.42</v>
      </c>
      <c r="AV157" s="181">
        <f t="shared" si="102"/>
        <v>-268507.58</v>
      </c>
      <c r="AW157" s="181">
        <f t="shared" si="102"/>
        <v>-9064.0300000000025</v>
      </c>
      <c r="AX157" s="181">
        <f t="shared" si="102"/>
        <v>29819.599999999999</v>
      </c>
      <c r="AY157" s="181">
        <f t="shared" si="102"/>
        <v>73689.049999999988</v>
      </c>
      <c r="AZ157" s="181">
        <f t="shared" si="102"/>
        <v>79042.83</v>
      </c>
      <c r="BA157" s="181">
        <f t="shared" si="102"/>
        <v>160878.04999999999</v>
      </c>
      <c r="BB157" s="181">
        <f t="shared" si="102"/>
        <v>192186.95</v>
      </c>
      <c r="BC157" s="181">
        <f t="shared" si="102"/>
        <v>-14911.230000000001</v>
      </c>
      <c r="BD157" s="181">
        <f t="shared" si="102"/>
        <v>1253727.51</v>
      </c>
      <c r="BE157" s="181">
        <f t="shared" si="102"/>
        <v>49199.93</v>
      </c>
      <c r="BF157" s="181">
        <f t="shared" si="102"/>
        <v>10804534.910000002</v>
      </c>
      <c r="BG157" s="181">
        <f t="shared" si="102"/>
        <v>3478485.71</v>
      </c>
      <c r="BH157" s="181">
        <f t="shared" si="102"/>
        <v>4836251.0600000005</v>
      </c>
      <c r="BI157" s="181">
        <f t="shared" si="102"/>
        <v>2489798.14</v>
      </c>
    </row>
    <row r="158" spans="1:61" x14ac:dyDescent="0.3">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3">
      <c r="D159" s="49"/>
      <c r="E159" s="41">
        <f t="shared" ref="E159:AJ159" si="103">E75-E4</f>
        <v>338069.00000000047</v>
      </c>
      <c r="F159" s="41">
        <f t="shared" si="103"/>
        <v>183367.53000000026</v>
      </c>
      <c r="G159" s="41">
        <f t="shared" si="103"/>
        <v>-29321.279999999795</v>
      </c>
      <c r="H159" s="41">
        <f t="shared" si="103"/>
        <v>21653.660000000149</v>
      </c>
      <c r="I159" s="41">
        <f t="shared" si="103"/>
        <v>461623.63000000268</v>
      </c>
      <c r="J159" s="41">
        <f t="shared" si="103"/>
        <v>1051215.9399999995</v>
      </c>
      <c r="K159" s="41">
        <f t="shared" si="103"/>
        <v>253856.48000000045</v>
      </c>
      <c r="L159" s="41">
        <f t="shared" si="103"/>
        <v>2089673.1800000072</v>
      </c>
      <c r="M159" s="41">
        <f t="shared" si="103"/>
        <v>-1352.859999999404</v>
      </c>
      <c r="N159" s="41">
        <f t="shared" si="103"/>
        <v>-63918.920000000042</v>
      </c>
      <c r="O159" s="41">
        <f t="shared" si="103"/>
        <v>-1177403.4700000025</v>
      </c>
      <c r="P159" s="41">
        <f t="shared" si="103"/>
        <v>-93731.800000000047</v>
      </c>
      <c r="Q159" s="41">
        <f t="shared" si="103"/>
        <v>-9460.8099999999977</v>
      </c>
      <c r="R159" s="41">
        <f t="shared" si="103"/>
        <v>-16853.579999999842</v>
      </c>
      <c r="S159" s="41">
        <f t="shared" si="103"/>
        <v>-13071.370000000112</v>
      </c>
      <c r="T159" s="41">
        <f t="shared" si="103"/>
        <v>262757.41999999993</v>
      </c>
      <c r="U159" s="41">
        <f t="shared" si="103"/>
        <v>9048.7099999999627</v>
      </c>
      <c r="V159" s="41">
        <f t="shared" si="103"/>
        <v>-152377.16000000061</v>
      </c>
      <c r="W159" s="41">
        <f t="shared" si="103"/>
        <v>364711.41000000015</v>
      </c>
      <c r="X159" s="41">
        <f t="shared" si="103"/>
        <v>26286.140000000363</v>
      </c>
      <c r="Y159" s="41">
        <f t="shared" si="103"/>
        <v>178997.6799999997</v>
      </c>
      <c r="Z159" s="41">
        <f t="shared" si="103"/>
        <v>3517719.9900000021</v>
      </c>
      <c r="AA159" s="41">
        <f t="shared" si="103"/>
        <v>-11170.270000000019</v>
      </c>
      <c r="AB159" s="41">
        <f t="shared" si="103"/>
        <v>41421.780000000028</v>
      </c>
      <c r="AC159" s="41">
        <f t="shared" si="103"/>
        <v>-114596.97000000114</v>
      </c>
      <c r="AD159" s="41">
        <f t="shared" si="103"/>
        <v>-99000.460000001825</v>
      </c>
      <c r="AE159" s="41">
        <f t="shared" si="103"/>
        <v>-194273.6799999997</v>
      </c>
      <c r="AF159" s="41">
        <f t="shared" si="103"/>
        <v>122538.75999999978</v>
      </c>
      <c r="AG159" s="41">
        <f t="shared" si="103"/>
        <v>1107210.3000000026</v>
      </c>
      <c r="AH159" s="41">
        <f t="shared" si="103"/>
        <v>243887.34999999776</v>
      </c>
      <c r="AI159" s="41">
        <f t="shared" si="103"/>
        <v>-5355.9599999999627</v>
      </c>
      <c r="AJ159" s="41">
        <f t="shared" si="103"/>
        <v>22586.400000000023</v>
      </c>
      <c r="AK159" s="41">
        <f t="shared" ref="AK159:BI159" si="104">AK75-AK4</f>
        <v>153720.00000000093</v>
      </c>
      <c r="AL159" s="41">
        <f t="shared" si="104"/>
        <v>-32824.590000001714</v>
      </c>
      <c r="AM159" s="41">
        <f t="shared" si="104"/>
        <v>-5589.7700000004843</v>
      </c>
      <c r="AN159" s="41">
        <f t="shared" si="104"/>
        <v>13711.04999999993</v>
      </c>
      <c r="AO159" s="41">
        <f t="shared" si="104"/>
        <v>341994.52000000048</v>
      </c>
      <c r="AP159" s="41">
        <f t="shared" si="104"/>
        <v>197653.74000000069</v>
      </c>
      <c r="AQ159" s="41">
        <f t="shared" si="104"/>
        <v>23915.769999999553</v>
      </c>
      <c r="AR159" s="41">
        <f t="shared" si="104"/>
        <v>50671.790000000969</v>
      </c>
      <c r="AS159" s="41">
        <f t="shared" si="104"/>
        <v>52551.100000000093</v>
      </c>
      <c r="AT159" s="41">
        <f t="shared" si="104"/>
        <v>35118.030000000261</v>
      </c>
      <c r="AU159" s="41">
        <f t="shared" si="104"/>
        <v>112815.41999999993</v>
      </c>
      <c r="AV159" s="41">
        <f t="shared" si="104"/>
        <v>-268507.58000000007</v>
      </c>
      <c r="AW159" s="41">
        <f t="shared" si="104"/>
        <v>-9064.0299999997951</v>
      </c>
      <c r="AX159" s="41">
        <f t="shared" si="104"/>
        <v>29819.600000000093</v>
      </c>
      <c r="AY159" s="41">
        <f t="shared" si="104"/>
        <v>73689.049999999814</v>
      </c>
      <c r="AZ159" s="41">
        <f t="shared" si="104"/>
        <v>79042.830000000075</v>
      </c>
      <c r="BA159" s="41">
        <f t="shared" si="104"/>
        <v>160878.04999999981</v>
      </c>
      <c r="BB159" s="41">
        <f t="shared" si="104"/>
        <v>192186.95000000019</v>
      </c>
      <c r="BC159" s="41">
        <f t="shared" si="104"/>
        <v>-14911.230000000098</v>
      </c>
      <c r="BD159" s="41">
        <f t="shared" si="104"/>
        <v>1253727.5099999979</v>
      </c>
      <c r="BE159" s="41">
        <f t="shared" si="104"/>
        <v>49199.930000000168</v>
      </c>
      <c r="BF159" s="41">
        <f t="shared" si="104"/>
        <v>10804534.909999847</v>
      </c>
      <c r="BG159" s="41">
        <f t="shared" si="104"/>
        <v>3478485.7100000083</v>
      </c>
      <c r="BH159" s="41">
        <f t="shared" si="104"/>
        <v>4836251.0599999949</v>
      </c>
      <c r="BI159" s="41">
        <f t="shared" si="104"/>
        <v>2489798.1400000006</v>
      </c>
    </row>
    <row r="160" spans="1:61" x14ac:dyDescent="0.3">
      <c r="D160" s="49" t="s">
        <v>68</v>
      </c>
      <c r="E160" s="153">
        <f t="shared" ref="E160:AJ160" si="105">E157-E159</f>
        <v>-4.6566128730773926E-10</v>
      </c>
      <c r="F160" s="153">
        <f t="shared" si="105"/>
        <v>-2.3283064365386963E-10</v>
      </c>
      <c r="G160" s="153">
        <f t="shared" si="105"/>
        <v>-2.0372681319713593E-10</v>
      </c>
      <c r="H160" s="153">
        <f t="shared" si="105"/>
        <v>-1.4915713109076023E-10</v>
      </c>
      <c r="I160" s="153">
        <f t="shared" si="105"/>
        <v>-2.7357600629329681E-9</v>
      </c>
      <c r="J160" s="153">
        <f t="shared" si="105"/>
        <v>0</v>
      </c>
      <c r="K160" s="153">
        <f t="shared" si="105"/>
        <v>-4.3655745685100555E-10</v>
      </c>
      <c r="L160" s="153">
        <f t="shared" si="105"/>
        <v>-6.9849193096160889E-9</v>
      </c>
      <c r="M160" s="153">
        <f t="shared" si="105"/>
        <v>-6.1118043959140778E-10</v>
      </c>
      <c r="N160" s="153">
        <f t="shared" si="105"/>
        <v>0</v>
      </c>
      <c r="O160" s="153">
        <f t="shared" si="105"/>
        <v>2.5611370801925659E-9</v>
      </c>
      <c r="P160" s="153">
        <f t="shared" si="105"/>
        <v>0</v>
      </c>
      <c r="Q160" s="153">
        <f t="shared" si="105"/>
        <v>0</v>
      </c>
      <c r="R160" s="153">
        <f t="shared" si="105"/>
        <v>-1.5643308870494366E-10</v>
      </c>
      <c r="S160" s="153">
        <f t="shared" si="105"/>
        <v>1.1641532182693481E-10</v>
      </c>
      <c r="T160" s="153">
        <f t="shared" si="105"/>
        <v>0</v>
      </c>
      <c r="U160" s="153">
        <f t="shared" si="105"/>
        <v>3.637978807091713E-11</v>
      </c>
      <c r="V160" s="153">
        <f t="shared" si="105"/>
        <v>6.1118043959140778E-10</v>
      </c>
      <c r="W160" s="153">
        <f t="shared" si="105"/>
        <v>0</v>
      </c>
      <c r="X160" s="153">
        <f t="shared" si="105"/>
        <v>-3.637978807091713E-10</v>
      </c>
      <c r="Y160" s="153">
        <f t="shared" si="105"/>
        <v>2.9103830456733704E-10</v>
      </c>
      <c r="Z160" s="153">
        <f t="shared" si="105"/>
        <v>0</v>
      </c>
      <c r="AA160" s="153">
        <f t="shared" si="105"/>
        <v>1.8189894035458565E-11</v>
      </c>
      <c r="AB160" s="153">
        <f t="shared" si="105"/>
        <v>0</v>
      </c>
      <c r="AC160" s="153">
        <f t="shared" si="105"/>
        <v>1.1350493878126144E-9</v>
      </c>
      <c r="AD160" s="153">
        <f t="shared" si="105"/>
        <v>1.8335413187742233E-9</v>
      </c>
      <c r="AE160" s="153">
        <f t="shared" si="105"/>
        <v>-2.9103830456733704E-10</v>
      </c>
      <c r="AF160" s="153">
        <f t="shared" si="105"/>
        <v>2.1827872842550278E-10</v>
      </c>
      <c r="AG160" s="153">
        <f t="shared" si="105"/>
        <v>-2.5611370801925659E-9</v>
      </c>
      <c r="AH160" s="153">
        <f t="shared" si="105"/>
        <v>2.2409949451684952E-9</v>
      </c>
      <c r="AI160" s="153">
        <f t="shared" si="105"/>
        <v>-3.7289282772690058E-11</v>
      </c>
      <c r="AJ160" s="153">
        <f t="shared" si="105"/>
        <v>0</v>
      </c>
      <c r="AK160" s="153">
        <f t="shared" ref="AK160:BI160" si="106">AK157-AK159</f>
        <v>-9.3132257461547852E-10</v>
      </c>
      <c r="AL160" s="153">
        <f t="shared" si="106"/>
        <v>1.7171259969472885E-9</v>
      </c>
      <c r="AM160" s="153">
        <f t="shared" si="106"/>
        <v>4.8021320253610611E-10</v>
      </c>
      <c r="AN160" s="153">
        <f t="shared" si="106"/>
        <v>6.9121597334742546E-11</v>
      </c>
      <c r="AO160" s="153">
        <f t="shared" si="106"/>
        <v>-4.6566128730773926E-10</v>
      </c>
      <c r="AP160" s="153">
        <f t="shared" si="106"/>
        <v>-6.6938810050487518E-10</v>
      </c>
      <c r="AQ160" s="153">
        <f t="shared" si="106"/>
        <v>4.4383341446518898E-10</v>
      </c>
      <c r="AR160" s="153">
        <f t="shared" si="106"/>
        <v>-9.6770236268639565E-10</v>
      </c>
      <c r="AS160" s="153">
        <f t="shared" si="106"/>
        <v>-8.7311491370201111E-11</v>
      </c>
      <c r="AT160" s="153">
        <f t="shared" si="106"/>
        <v>-2.6193447411060333E-10</v>
      </c>
      <c r="AU160" s="153">
        <f t="shared" si="106"/>
        <v>0</v>
      </c>
      <c r="AV160" s="153">
        <f t="shared" si="106"/>
        <v>0</v>
      </c>
      <c r="AW160" s="153">
        <f t="shared" si="106"/>
        <v>-2.0736479200422764E-10</v>
      </c>
      <c r="AX160" s="153">
        <f t="shared" si="106"/>
        <v>-9.4587448984384537E-11</v>
      </c>
      <c r="AY160" s="153">
        <f t="shared" si="106"/>
        <v>1.7462298274040222E-10</v>
      </c>
      <c r="AZ160" s="153">
        <f t="shared" si="106"/>
        <v>0</v>
      </c>
      <c r="BA160" s="153">
        <f t="shared" si="106"/>
        <v>0</v>
      </c>
      <c r="BB160" s="153">
        <f t="shared" si="106"/>
        <v>0</v>
      </c>
      <c r="BC160" s="153">
        <f t="shared" si="106"/>
        <v>9.6406438387930393E-11</v>
      </c>
      <c r="BD160" s="153">
        <f t="shared" si="106"/>
        <v>2.0954757928848267E-9</v>
      </c>
      <c r="BE160" s="153">
        <f t="shared" si="106"/>
        <v>-1.673470251262188E-10</v>
      </c>
      <c r="BF160" s="153">
        <f t="shared" si="106"/>
        <v>1.5459954738616943E-7</v>
      </c>
      <c r="BG160" s="153">
        <f t="shared" si="106"/>
        <v>-8.3819031715393066E-9</v>
      </c>
      <c r="BH160" s="153">
        <f t="shared" si="106"/>
        <v>0</v>
      </c>
      <c r="BI160" s="153">
        <f t="shared" si="106"/>
        <v>0</v>
      </c>
    </row>
    <row r="162" spans="3:61" x14ac:dyDescent="0.3">
      <c r="D162" s="69" t="s">
        <v>463</v>
      </c>
    </row>
    <row r="163" spans="3:61" x14ac:dyDescent="0.3">
      <c r="C163">
        <v>4021</v>
      </c>
      <c r="D163" t="s">
        <v>217</v>
      </c>
      <c r="E163" s="4">
        <v>136818.1</v>
      </c>
      <c r="F163">
        <v>110605.35</v>
      </c>
      <c r="G163" s="4">
        <v>64027.05</v>
      </c>
      <c r="H163" s="4">
        <v>87134.65</v>
      </c>
      <c r="I163" s="4">
        <v>655908.5</v>
      </c>
      <c r="J163" s="4">
        <v>433702.35</v>
      </c>
      <c r="K163" s="4">
        <v>376321.51</v>
      </c>
      <c r="L163" s="4">
        <v>2923006.55</v>
      </c>
      <c r="M163" s="4">
        <v>230188.1</v>
      </c>
      <c r="N163" s="4">
        <v>193.7</v>
      </c>
      <c r="O163" s="4">
        <v>1165063.3999999999</v>
      </c>
      <c r="P163" s="4">
        <v>140796.79999999999</v>
      </c>
      <c r="Q163" s="4">
        <v>19138.599999999999</v>
      </c>
      <c r="R163" s="4">
        <v>68199.05</v>
      </c>
      <c r="S163" s="4">
        <v>76902.3</v>
      </c>
      <c r="T163" s="4">
        <v>100223.75</v>
      </c>
      <c r="U163" s="4">
        <v>40995.15</v>
      </c>
      <c r="V163" s="4">
        <v>89022.15</v>
      </c>
      <c r="W163" s="4">
        <v>587588.75</v>
      </c>
      <c r="X163" s="4">
        <v>55025</v>
      </c>
      <c r="Y163" s="4">
        <v>170833.4</v>
      </c>
      <c r="Z163" s="4">
        <v>232910.65</v>
      </c>
      <c r="AA163" s="4">
        <v>34230.6</v>
      </c>
      <c r="AB163" s="4">
        <v>38855.25</v>
      </c>
      <c r="AC163" s="4">
        <v>90045.05</v>
      </c>
      <c r="AD163" s="4">
        <v>123413.1</v>
      </c>
      <c r="AE163" s="4">
        <v>136351.04999999999</v>
      </c>
      <c r="AF163" s="4">
        <v>148840.25</v>
      </c>
      <c r="AG163" s="4">
        <v>422329.4</v>
      </c>
      <c r="AH163" s="4">
        <v>478413.05</v>
      </c>
      <c r="AI163" s="4">
        <v>39731.449999999997</v>
      </c>
      <c r="AJ163" s="4">
        <v>66017.5</v>
      </c>
      <c r="AK163" s="4">
        <v>445116.75</v>
      </c>
      <c r="AL163" s="4">
        <v>292567.55</v>
      </c>
      <c r="AM163" s="4">
        <v>200641.45</v>
      </c>
      <c r="AN163" s="4">
        <v>25863.7</v>
      </c>
      <c r="AO163" s="4">
        <v>274845.7</v>
      </c>
      <c r="AP163" s="4">
        <v>139690.73000000001</v>
      </c>
      <c r="AQ163" s="4">
        <v>108070.85</v>
      </c>
      <c r="AR163">
        <v>363845.15</v>
      </c>
      <c r="AS163" s="4">
        <v>200635</v>
      </c>
      <c r="AT163" s="4">
        <v>225327.35</v>
      </c>
      <c r="AU163" s="4">
        <v>41130.699999999997</v>
      </c>
      <c r="AV163" s="4">
        <v>230891.35</v>
      </c>
      <c r="AW163" s="4">
        <v>165820.5</v>
      </c>
      <c r="AX163" s="4">
        <v>46406.05</v>
      </c>
      <c r="AY163" s="4">
        <v>88950.35</v>
      </c>
      <c r="AZ163" s="4">
        <v>310651.5</v>
      </c>
      <c r="BA163" s="4">
        <v>112134.6</v>
      </c>
      <c r="BB163" s="4">
        <v>302472.24</v>
      </c>
      <c r="BC163" s="4">
        <v>31918.1</v>
      </c>
      <c r="BD163" s="4">
        <v>1668766.05</v>
      </c>
      <c r="BE163" s="4">
        <v>119792.6</v>
      </c>
      <c r="BF163" s="4">
        <f t="shared" ref="BF163:BF175" si="107">SUM(E163:BE163)</f>
        <v>14738369.829999996</v>
      </c>
      <c r="BG163" s="4">
        <f t="shared" ref="BG163:BG175" si="108">SUM(E163:W163)</f>
        <v>7305835.8099999996</v>
      </c>
      <c r="BH163" s="4">
        <f t="shared" ref="BH163:BH175" si="109">SUM(X163:AJ163)</f>
        <v>2036995.75</v>
      </c>
      <c r="BI163" s="4">
        <f t="shared" ref="BI163:BI175" si="110">SUM(AK163:BE163)</f>
        <v>5395538.2700000005</v>
      </c>
    </row>
    <row r="164" spans="3:61" x14ac:dyDescent="0.3">
      <c r="C164">
        <v>4490</v>
      </c>
      <c r="D164" t="s">
        <v>218</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390</v>
      </c>
      <c r="AH164" s="4">
        <v>0</v>
      </c>
      <c r="AI164" s="4">
        <v>0</v>
      </c>
      <c r="AJ164" s="4">
        <v>0</v>
      </c>
      <c r="AK164" s="4">
        <v>0</v>
      </c>
      <c r="AL164" s="4">
        <v>0</v>
      </c>
      <c r="AM164" s="4">
        <v>0</v>
      </c>
      <c r="AN164" s="4">
        <v>0</v>
      </c>
      <c r="AO164" s="4">
        <v>0</v>
      </c>
      <c r="AP164" s="4">
        <v>0</v>
      </c>
      <c r="AQ164" s="4">
        <v>0</v>
      </c>
      <c r="AR164" s="4">
        <v>0</v>
      </c>
      <c r="AS164" s="4">
        <v>0</v>
      </c>
      <c r="AT164" s="4">
        <v>0</v>
      </c>
      <c r="AU164" s="4">
        <v>0</v>
      </c>
      <c r="AV164" s="4">
        <v>299999</v>
      </c>
      <c r="AW164" s="4">
        <v>0</v>
      </c>
      <c r="AX164" s="4">
        <v>0</v>
      </c>
      <c r="AY164" s="4">
        <v>0</v>
      </c>
      <c r="AZ164" s="4">
        <v>0</v>
      </c>
      <c r="BA164" s="4">
        <v>0</v>
      </c>
      <c r="BB164" s="4">
        <v>0</v>
      </c>
      <c r="BC164" s="4">
        <v>0</v>
      </c>
      <c r="BD164" s="4">
        <v>0</v>
      </c>
      <c r="BE164" s="4">
        <v>0</v>
      </c>
      <c r="BF164" s="4">
        <f t="shared" si="107"/>
        <v>300389</v>
      </c>
      <c r="BG164" s="4">
        <f t="shared" si="108"/>
        <v>0</v>
      </c>
      <c r="BH164" s="4">
        <f t="shared" si="109"/>
        <v>390</v>
      </c>
      <c r="BI164" s="4">
        <f t="shared" si="110"/>
        <v>299999</v>
      </c>
    </row>
    <row r="165" spans="3:61" x14ac:dyDescent="0.3">
      <c r="C165">
        <v>46227</v>
      </c>
      <c r="D165" t="s">
        <v>278</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07"/>
        <v>0</v>
      </c>
      <c r="BG165" s="4">
        <f t="shared" si="108"/>
        <v>0</v>
      </c>
      <c r="BH165" s="4">
        <f t="shared" si="109"/>
        <v>0</v>
      </c>
      <c r="BI165" s="4">
        <f t="shared" si="110"/>
        <v>0</v>
      </c>
    </row>
    <row r="166" spans="3:61" x14ac:dyDescent="0.3">
      <c r="C166">
        <v>46228</v>
      </c>
      <c r="D166" t="s">
        <v>279</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07"/>
        <v>0</v>
      </c>
      <c r="BG166" s="4">
        <f t="shared" si="108"/>
        <v>0</v>
      </c>
      <c r="BH166" s="4">
        <f t="shared" si="109"/>
        <v>0</v>
      </c>
      <c r="BI166" s="4">
        <f t="shared" si="110"/>
        <v>0</v>
      </c>
    </row>
    <row r="167" spans="3:61" x14ac:dyDescent="0.3">
      <c r="C167">
        <v>4896</v>
      </c>
      <c r="D167" t="s">
        <v>280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4">
        <v>0</v>
      </c>
      <c r="AG167" s="4">
        <v>0</v>
      </c>
      <c r="AH167" s="4">
        <v>0</v>
      </c>
      <c r="AI167" s="4">
        <v>0</v>
      </c>
      <c r="AJ167" s="4">
        <v>0</v>
      </c>
      <c r="AK167" s="4">
        <v>0</v>
      </c>
      <c r="AL167" s="4">
        <v>0</v>
      </c>
      <c r="AM167" s="4">
        <v>0</v>
      </c>
      <c r="AN167" s="4">
        <v>0</v>
      </c>
      <c r="AO167" s="4">
        <v>0</v>
      </c>
      <c r="AP167" s="4">
        <v>0</v>
      </c>
      <c r="AQ167" s="4">
        <v>0</v>
      </c>
      <c r="AR167" s="4">
        <v>0</v>
      </c>
      <c r="AS167" s="4">
        <v>0</v>
      </c>
      <c r="AT167" s="4">
        <v>0</v>
      </c>
      <c r="AU167" s="4">
        <v>0</v>
      </c>
      <c r="AV167" s="4">
        <v>0</v>
      </c>
      <c r="AW167" s="4">
        <v>0</v>
      </c>
      <c r="AX167" s="4">
        <v>0</v>
      </c>
      <c r="AY167" s="4">
        <v>0</v>
      </c>
      <c r="AZ167" s="4">
        <v>0</v>
      </c>
      <c r="BA167" s="4">
        <v>0</v>
      </c>
      <c r="BB167" s="4">
        <v>0</v>
      </c>
      <c r="BC167" s="4">
        <v>0</v>
      </c>
      <c r="BD167" s="4">
        <v>0</v>
      </c>
      <c r="BE167" s="4">
        <v>0</v>
      </c>
      <c r="BF167" s="4">
        <f t="shared" si="107"/>
        <v>0</v>
      </c>
      <c r="BG167" s="4">
        <f t="shared" si="108"/>
        <v>0</v>
      </c>
      <c r="BH167" s="4">
        <f t="shared" si="109"/>
        <v>0</v>
      </c>
      <c r="BI167" s="4">
        <f t="shared" si="110"/>
        <v>0</v>
      </c>
    </row>
    <row r="168" spans="3:61" x14ac:dyDescent="0.3">
      <c r="C168">
        <v>9000</v>
      </c>
      <c r="D168" t="s">
        <v>277</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4">
        <v>0</v>
      </c>
      <c r="AG168" s="4">
        <v>0</v>
      </c>
      <c r="AH168" s="4">
        <v>0</v>
      </c>
      <c r="AI168" s="4">
        <v>0</v>
      </c>
      <c r="AJ168" s="4">
        <v>0</v>
      </c>
      <c r="AK168" s="4">
        <v>0</v>
      </c>
      <c r="AL168" s="4">
        <v>0</v>
      </c>
      <c r="AM168" s="4">
        <v>0</v>
      </c>
      <c r="AN168" s="4">
        <v>0</v>
      </c>
      <c r="AO168" s="4">
        <v>0</v>
      </c>
      <c r="AP168" s="4">
        <v>0</v>
      </c>
      <c r="AQ168" s="4">
        <v>0</v>
      </c>
      <c r="AR168" s="4">
        <v>0</v>
      </c>
      <c r="AS168" s="4">
        <v>0</v>
      </c>
      <c r="AT168" s="4">
        <v>0</v>
      </c>
      <c r="AU168" s="4">
        <v>0</v>
      </c>
      <c r="AV168" s="4">
        <v>0</v>
      </c>
      <c r="AW168" s="4">
        <v>0</v>
      </c>
      <c r="AX168" s="4">
        <v>0</v>
      </c>
      <c r="AY168" s="4">
        <v>0</v>
      </c>
      <c r="AZ168" s="4">
        <v>0</v>
      </c>
      <c r="BA168" s="4">
        <v>0</v>
      </c>
      <c r="BB168" s="4">
        <v>0</v>
      </c>
      <c r="BC168" s="4">
        <v>0</v>
      </c>
      <c r="BD168" s="4">
        <v>0</v>
      </c>
      <c r="BE168" s="4">
        <v>0</v>
      </c>
      <c r="BF168" s="4">
        <f t="shared" si="107"/>
        <v>0</v>
      </c>
      <c r="BG168" s="4">
        <f t="shared" si="108"/>
        <v>0</v>
      </c>
      <c r="BH168" s="4">
        <f t="shared" si="109"/>
        <v>0</v>
      </c>
      <c r="BI168" s="4">
        <f t="shared" si="110"/>
        <v>0</v>
      </c>
    </row>
    <row r="169" spans="3:61" x14ac:dyDescent="0.3">
      <c r="C169">
        <v>9029</v>
      </c>
      <c r="D169" t="s">
        <v>281</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0</v>
      </c>
      <c r="BD169" s="4">
        <v>0</v>
      </c>
      <c r="BE169" s="4">
        <v>0</v>
      </c>
      <c r="BF169" s="4">
        <f t="shared" si="107"/>
        <v>0</v>
      </c>
      <c r="BG169" s="4">
        <f t="shared" si="108"/>
        <v>0</v>
      </c>
      <c r="BH169" s="4">
        <f t="shared" si="109"/>
        <v>0</v>
      </c>
      <c r="BI169" s="4">
        <f t="shared" si="110"/>
        <v>0</v>
      </c>
    </row>
    <row r="170" spans="3:61" x14ac:dyDescent="0.3">
      <c r="C170">
        <v>3180</v>
      </c>
      <c r="D170" t="s">
        <v>304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07"/>
        <v>0</v>
      </c>
      <c r="BG170" s="4">
        <f t="shared" si="108"/>
        <v>0</v>
      </c>
      <c r="BH170" s="4">
        <f t="shared" si="109"/>
        <v>0</v>
      </c>
      <c r="BI170" s="4">
        <f t="shared" si="110"/>
        <v>0</v>
      </c>
    </row>
    <row r="171" spans="3:61" x14ac:dyDescent="0.3">
      <c r="C171">
        <v>36227</v>
      </c>
      <c r="D171" t="s">
        <v>278</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0</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07"/>
        <v>0</v>
      </c>
      <c r="BG171" s="4">
        <f t="shared" si="108"/>
        <v>0</v>
      </c>
      <c r="BH171" s="4">
        <f t="shared" si="109"/>
        <v>0</v>
      </c>
      <c r="BI171" s="4">
        <f t="shared" si="110"/>
        <v>0</v>
      </c>
    </row>
    <row r="172" spans="3:61" x14ac:dyDescent="0.3">
      <c r="C172">
        <v>36228</v>
      </c>
      <c r="D172" t="s">
        <v>279</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07"/>
        <v>0</v>
      </c>
      <c r="BG172" s="4">
        <f t="shared" si="108"/>
        <v>0</v>
      </c>
      <c r="BH172" s="4">
        <f t="shared" si="109"/>
        <v>0</v>
      </c>
      <c r="BI172" s="4">
        <f t="shared" si="110"/>
        <v>0</v>
      </c>
    </row>
    <row r="173" spans="3:61" x14ac:dyDescent="0.3">
      <c r="C173">
        <v>3898</v>
      </c>
      <c r="D173" t="s">
        <v>299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07"/>
        <v>0</v>
      </c>
      <c r="BG173" s="4">
        <f t="shared" si="108"/>
        <v>0</v>
      </c>
      <c r="BH173" s="4">
        <f t="shared" si="109"/>
        <v>0</v>
      </c>
      <c r="BI173" s="4">
        <f t="shared" si="110"/>
        <v>0</v>
      </c>
    </row>
    <row r="174" spans="3:61" x14ac:dyDescent="0.3">
      <c r="C174">
        <v>90010</v>
      </c>
      <c r="D174" t="s">
        <v>305</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07"/>
        <v>0</v>
      </c>
      <c r="BG174" s="4">
        <f t="shared" si="108"/>
        <v>0</v>
      </c>
      <c r="BH174" s="4">
        <f t="shared" si="109"/>
        <v>0</v>
      </c>
      <c r="BI174" s="4">
        <f t="shared" si="110"/>
        <v>0</v>
      </c>
    </row>
    <row r="175" spans="3:61" x14ac:dyDescent="0.3">
      <c r="C175">
        <v>9031</v>
      </c>
      <c r="D175" t="s">
        <v>301</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07"/>
        <v>0</v>
      </c>
      <c r="BG175" s="4">
        <f t="shared" si="108"/>
        <v>0</v>
      </c>
      <c r="BH175" s="4">
        <f t="shared" si="109"/>
        <v>0</v>
      </c>
      <c r="BI175" s="4">
        <f t="shared" si="110"/>
        <v>0</v>
      </c>
    </row>
    <row r="176" spans="3:61" x14ac:dyDescent="0.3">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v>0</v>
      </c>
      <c r="AP176" s="4"/>
      <c r="AQ176" s="4"/>
      <c r="AR176" s="4"/>
      <c r="AS176" s="4"/>
      <c r="AT176" s="4"/>
      <c r="AU176" s="4"/>
      <c r="AV176" s="4"/>
      <c r="AW176" s="4"/>
      <c r="AX176" s="4"/>
      <c r="AY176" s="4"/>
      <c r="AZ176" s="4"/>
      <c r="BA176" s="4"/>
      <c r="BB176" s="4"/>
      <c r="BC176" s="4"/>
      <c r="BD176" s="4"/>
      <c r="BE176" s="4"/>
      <c r="BF176" s="4"/>
      <c r="BG176" s="4"/>
      <c r="BH176" s="4"/>
      <c r="BI176" s="4"/>
    </row>
    <row r="177" spans="1:61" x14ac:dyDescent="0.3">
      <c r="C177" t="s">
        <v>604</v>
      </c>
      <c r="D177" t="s">
        <v>225</v>
      </c>
      <c r="E177" s="4">
        <f>'6.1 Investissements'!E182</f>
        <v>1441429.61</v>
      </c>
      <c r="F177" s="4">
        <f>'6.1 Investissements'!F182</f>
        <v>-213871.9</v>
      </c>
      <c r="G177" s="4">
        <f>'6.1 Investissements'!G182</f>
        <v>1711974.9000000004</v>
      </c>
      <c r="H177" s="4">
        <f>'6.1 Investissements'!H182</f>
        <v>-73816.650000000023</v>
      </c>
      <c r="I177" s="4">
        <f>'6.1 Investissements'!I182</f>
        <v>2181341.7800000003</v>
      </c>
      <c r="J177" s="4">
        <f>'6.1 Investissements'!J182</f>
        <v>1910540.2199999997</v>
      </c>
      <c r="K177" s="4">
        <f>'6.1 Investissements'!K182</f>
        <v>1074389.2400000002</v>
      </c>
      <c r="L177" s="4">
        <f>'6.1 Investissements'!L182</f>
        <v>14843351.189999998</v>
      </c>
      <c r="M177" s="4">
        <f>'6.1 Investissements'!M182</f>
        <v>259678.55</v>
      </c>
      <c r="N177" s="4">
        <f>'6.1 Investissements'!N182</f>
        <v>41267.75</v>
      </c>
      <c r="O177" s="4">
        <f>'6.1 Investissements'!O182</f>
        <v>2584951.25</v>
      </c>
      <c r="P177" s="4">
        <f>'6.1 Investissements'!P182</f>
        <v>31019.23000000001</v>
      </c>
      <c r="Q177" s="4">
        <f>'6.1 Investissements'!Q182</f>
        <v>0</v>
      </c>
      <c r="R177" s="4">
        <f>'6.1 Investissements'!R182</f>
        <v>19797.849999999999</v>
      </c>
      <c r="S177" s="4">
        <f>'6.1 Investissements'!S182</f>
        <v>171236.7</v>
      </c>
      <c r="T177" s="4">
        <f>'6.1 Investissements'!T182</f>
        <v>263158.75</v>
      </c>
      <c r="U177" s="4">
        <f>'6.1 Investissements'!U182</f>
        <v>114020.5</v>
      </c>
      <c r="V177" s="4">
        <f>'6.1 Investissements'!V182</f>
        <v>-95018.589999999967</v>
      </c>
      <c r="W177" s="4">
        <f>'6.1 Investissements'!W182</f>
        <v>340342.60000000033</v>
      </c>
      <c r="X177" s="4">
        <f>'6.1 Investissements'!X182</f>
        <v>67578.350000000006</v>
      </c>
      <c r="Y177" s="4">
        <f>'6.1 Investissements'!Y182</f>
        <v>-1037183.7999999998</v>
      </c>
      <c r="Z177" s="4">
        <f>'6.1 Investissements'!Z182</f>
        <v>503623.38</v>
      </c>
      <c r="AA177" s="4">
        <f>'6.1 Investissements'!AA182</f>
        <v>0</v>
      </c>
      <c r="AB177" s="4">
        <f>'6.1 Investissements'!AB182</f>
        <v>-43584.75</v>
      </c>
      <c r="AC177" s="4">
        <f>'6.1 Investissements'!AC182</f>
        <v>92793.8</v>
      </c>
      <c r="AD177" s="4">
        <f>'6.1 Investissements'!AD182</f>
        <v>563080.98</v>
      </c>
      <c r="AE177" s="4">
        <f>'6.1 Investissements'!AE182</f>
        <v>56302.700000000012</v>
      </c>
      <c r="AF177" s="4">
        <f>'6.1 Investissements'!AF182</f>
        <v>256378.40000000002</v>
      </c>
      <c r="AG177" s="4">
        <f>'6.1 Investissements'!AG182</f>
        <v>402753.39999999997</v>
      </c>
      <c r="AH177" s="4">
        <f>'6.1 Investissements'!AH182</f>
        <v>3937.6500000000233</v>
      </c>
      <c r="AI177" s="4">
        <f>'6.1 Investissements'!AI182</f>
        <v>9496.5499999999993</v>
      </c>
      <c r="AJ177" s="4">
        <f>'6.1 Investissements'!AJ182</f>
        <v>326865</v>
      </c>
      <c r="AK177" s="4">
        <f>'6.1 Investissements'!AK182</f>
        <v>2035877.68</v>
      </c>
      <c r="AL177" s="4">
        <f>'6.1 Investissements'!AL182</f>
        <v>713644.6</v>
      </c>
      <c r="AM177" s="4">
        <f>'6.1 Investissements'!AM182</f>
        <v>332171.75</v>
      </c>
      <c r="AN177" s="4">
        <f>'6.1 Investissements'!AN182</f>
        <v>562754</v>
      </c>
      <c r="AO177" s="4">
        <f>'6.1 Investissements'!AO182</f>
        <v>989111.14999999991</v>
      </c>
      <c r="AP177" s="4">
        <f>'6.1 Investissements'!AP182</f>
        <v>390825.24999999994</v>
      </c>
      <c r="AQ177" s="4">
        <f>'6.1 Investissements'!AQ182</f>
        <v>39386.100000000006</v>
      </c>
      <c r="AR177" s="4">
        <f>'6.1 Investissements'!AR182</f>
        <v>757217.90000000037</v>
      </c>
      <c r="AS177" s="4">
        <f>'6.1 Investissements'!AS182</f>
        <v>-81659.450000000012</v>
      </c>
      <c r="AT177" s="4">
        <f>'6.1 Investissements'!AT182</f>
        <v>183289.8</v>
      </c>
      <c r="AU177" s="4">
        <f>'6.1 Investissements'!AU182</f>
        <v>191917.3</v>
      </c>
      <c r="AV177" s="4">
        <f>'6.1 Investissements'!AV182</f>
        <v>606274.71000000008</v>
      </c>
      <c r="AW177" s="4">
        <f>'6.1 Investissements'!AW182</f>
        <v>53025.600000000006</v>
      </c>
      <c r="AX177" s="4">
        <f>'6.1 Investissements'!AX182</f>
        <v>49000</v>
      </c>
      <c r="AY177" s="4">
        <f>'6.1 Investissements'!AY182</f>
        <v>0</v>
      </c>
      <c r="AZ177" s="4">
        <f>'6.1 Investissements'!AZ182</f>
        <v>281.59999999999854</v>
      </c>
      <c r="BA177" s="4">
        <f>'6.1 Investissements'!BA182</f>
        <v>478773.55000000005</v>
      </c>
      <c r="BB177" s="4">
        <f>'6.1 Investissements'!BB182</f>
        <v>349925.75000000006</v>
      </c>
      <c r="BC177" s="4">
        <f>'6.1 Investissements'!BC182</f>
        <v>0</v>
      </c>
      <c r="BD177" s="4">
        <f>'6.1 Investissements'!BD182</f>
        <v>562904.31999999983</v>
      </c>
      <c r="BE177" s="4">
        <f>'6.1 Investissements'!BE182</f>
        <v>6219.65</v>
      </c>
      <c r="BF177" s="4">
        <f>'6.1 Investissements'!BF182</f>
        <v>36028775.899999999</v>
      </c>
      <c r="BG177" s="4">
        <f>'6.1 Investissements'!BG182</f>
        <v>26605792.979999997</v>
      </c>
      <c r="BH177" s="4">
        <f>'6.1 Investissements'!BH182</f>
        <v>1202041.6600000011</v>
      </c>
      <c r="BI177" s="4">
        <f>'6.1 Investissements'!BI182</f>
        <v>8220941.2600000035</v>
      </c>
    </row>
    <row r="178" spans="1:61" x14ac:dyDescent="0.3">
      <c r="M178" s="4"/>
    </row>
    <row r="179" spans="1:61" x14ac:dyDescent="0.3">
      <c r="D179" s="60" t="s">
        <v>243</v>
      </c>
      <c r="E179" s="61">
        <f>E64-E140</f>
        <v>0</v>
      </c>
      <c r="F179" s="61">
        <f t="shared" ref="F179:BI179" si="111">F64-F140</f>
        <v>0</v>
      </c>
      <c r="G179" s="61">
        <f t="shared" si="111"/>
        <v>0</v>
      </c>
      <c r="H179" s="61">
        <f t="shared" si="111"/>
        <v>-17089.849999999999</v>
      </c>
      <c r="I179" s="198">
        <f t="shared" si="111"/>
        <v>5400</v>
      </c>
      <c r="J179" s="61">
        <f t="shared" si="111"/>
        <v>0</v>
      </c>
      <c r="K179" s="198">
        <f t="shared" si="111"/>
        <v>16855.350000000006</v>
      </c>
      <c r="L179" s="61">
        <f t="shared" si="111"/>
        <v>-15853.609999999404</v>
      </c>
      <c r="M179" s="61">
        <f t="shared" si="111"/>
        <v>0</v>
      </c>
      <c r="N179" s="61">
        <f t="shared" si="111"/>
        <v>0</v>
      </c>
      <c r="O179" s="61">
        <f t="shared" si="111"/>
        <v>0</v>
      </c>
      <c r="P179" s="198">
        <f t="shared" si="111"/>
        <v>400</v>
      </c>
      <c r="Q179" s="61">
        <f t="shared" si="111"/>
        <v>0</v>
      </c>
      <c r="R179" s="61">
        <f t="shared" si="111"/>
        <v>-10064</v>
      </c>
      <c r="S179" s="61">
        <f t="shared" si="111"/>
        <v>0</v>
      </c>
      <c r="T179" s="61">
        <f t="shared" si="111"/>
        <v>-4573.1499999999996</v>
      </c>
      <c r="U179" s="61">
        <f t="shared" si="111"/>
        <v>0</v>
      </c>
      <c r="V179" s="61">
        <f t="shared" si="111"/>
        <v>-1150.8499999999985</v>
      </c>
      <c r="W179" s="61">
        <f t="shared" si="111"/>
        <v>0</v>
      </c>
      <c r="X179" s="61">
        <f t="shared" si="111"/>
        <v>17.510000000000002</v>
      </c>
      <c r="Y179" s="61">
        <f t="shared" si="111"/>
        <v>0</v>
      </c>
      <c r="Z179" s="61">
        <f t="shared" si="111"/>
        <v>0</v>
      </c>
      <c r="AA179" s="61">
        <f t="shared" si="111"/>
        <v>-6113.1500000000015</v>
      </c>
      <c r="AB179" s="61">
        <f t="shared" si="111"/>
        <v>0</v>
      </c>
      <c r="AC179" s="61">
        <f t="shared" si="111"/>
        <v>-26841.7</v>
      </c>
      <c r="AD179" s="61">
        <f t="shared" si="111"/>
        <v>0</v>
      </c>
      <c r="AE179" s="61">
        <f t="shared" si="111"/>
        <v>15.5</v>
      </c>
      <c r="AF179" s="61">
        <f t="shared" si="111"/>
        <v>16068.75</v>
      </c>
      <c r="AG179" s="61">
        <f t="shared" si="111"/>
        <v>0</v>
      </c>
      <c r="AH179" s="61">
        <f t="shared" si="111"/>
        <v>0</v>
      </c>
      <c r="AI179" s="61">
        <f t="shared" si="111"/>
        <v>0</v>
      </c>
      <c r="AJ179" s="61">
        <f t="shared" si="111"/>
        <v>0</v>
      </c>
      <c r="AK179" s="61">
        <f t="shared" si="111"/>
        <v>129925.59</v>
      </c>
      <c r="AL179" s="61">
        <f t="shared" si="111"/>
        <v>0</v>
      </c>
      <c r="AM179" s="61">
        <f t="shared" si="111"/>
        <v>0</v>
      </c>
      <c r="AN179" s="61">
        <f t="shared" si="111"/>
        <v>800</v>
      </c>
      <c r="AO179" s="61">
        <f t="shared" si="111"/>
        <v>0</v>
      </c>
      <c r="AP179" s="61">
        <f t="shared" si="111"/>
        <v>0</v>
      </c>
      <c r="AQ179" s="61">
        <f t="shared" si="111"/>
        <v>0</v>
      </c>
      <c r="AR179" s="61">
        <f t="shared" si="111"/>
        <v>0</v>
      </c>
      <c r="AS179" s="61">
        <f t="shared" si="111"/>
        <v>-227.25</v>
      </c>
      <c r="AT179" s="61">
        <f t="shared" si="111"/>
        <v>0</v>
      </c>
      <c r="AU179" s="61">
        <f t="shared" si="111"/>
        <v>1538.5</v>
      </c>
      <c r="AV179" s="61">
        <f t="shared" si="111"/>
        <v>-6530</v>
      </c>
      <c r="AW179" s="61">
        <f t="shared" si="111"/>
        <v>0</v>
      </c>
      <c r="AX179" s="61">
        <f t="shared" si="111"/>
        <v>0</v>
      </c>
      <c r="AY179" s="61">
        <f t="shared" si="111"/>
        <v>0</v>
      </c>
      <c r="AZ179" s="61">
        <f t="shared" si="111"/>
        <v>0</v>
      </c>
      <c r="BA179" s="61">
        <f t="shared" si="111"/>
        <v>0</v>
      </c>
      <c r="BB179" s="61">
        <f t="shared" si="111"/>
        <v>0</v>
      </c>
      <c r="BC179" s="61">
        <f t="shared" si="111"/>
        <v>2684</v>
      </c>
      <c r="BD179" s="61">
        <f t="shared" si="111"/>
        <v>0</v>
      </c>
      <c r="BE179" s="61">
        <f t="shared" si="111"/>
        <v>0</v>
      </c>
      <c r="BF179" s="61">
        <f t="shared" si="111"/>
        <v>85261.640000000596</v>
      </c>
      <c r="BG179" s="61">
        <f t="shared" si="111"/>
        <v>-26076.110000001267</v>
      </c>
      <c r="BH179" s="61">
        <f t="shared" si="111"/>
        <v>-16853.089999999909</v>
      </c>
      <c r="BI179" s="61">
        <f t="shared" si="111"/>
        <v>128190.83999999997</v>
      </c>
    </row>
    <row r="181" spans="1:61" x14ac:dyDescent="0.3">
      <c r="D181" t="s">
        <v>605</v>
      </c>
      <c r="E181" s="4">
        <f>E5+E15+E27+E39+E43+E53</f>
        <v>3617613.1399999997</v>
      </c>
      <c r="F181" s="4">
        <f t="shared" ref="F181:BI181" si="112">F5+F15+F27+F39+F43+F53</f>
        <v>930360.71</v>
      </c>
      <c r="G181" s="4">
        <f t="shared" si="112"/>
        <v>1625393.24</v>
      </c>
      <c r="H181" s="4">
        <f t="shared" si="112"/>
        <v>1643908.4500000002</v>
      </c>
      <c r="I181" s="4">
        <f t="shared" si="112"/>
        <v>13118164.029999999</v>
      </c>
      <c r="J181" s="4">
        <f t="shared" si="112"/>
        <v>12509663.690000001</v>
      </c>
      <c r="K181" s="4">
        <f t="shared" si="112"/>
        <v>9825418.9699999988</v>
      </c>
      <c r="L181" s="4">
        <f t="shared" si="112"/>
        <v>90567496.069999993</v>
      </c>
      <c r="M181" s="4">
        <f t="shared" si="112"/>
        <v>7000865.8300000001</v>
      </c>
      <c r="N181" s="4">
        <f t="shared" si="112"/>
        <v>457494.83999999997</v>
      </c>
      <c r="O181" s="4">
        <f t="shared" si="112"/>
        <v>25093142.5</v>
      </c>
      <c r="P181" s="4">
        <f t="shared" si="112"/>
        <v>1930306.8</v>
      </c>
      <c r="Q181" s="4">
        <f t="shared" si="112"/>
        <v>369289.75</v>
      </c>
      <c r="R181" s="4">
        <f t="shared" si="112"/>
        <v>1481503.7599999998</v>
      </c>
      <c r="S181" s="4">
        <f t="shared" si="112"/>
        <v>1293846.2899999998</v>
      </c>
      <c r="T181" s="4">
        <f t="shared" si="112"/>
        <v>2507580.52</v>
      </c>
      <c r="U181" s="4">
        <f t="shared" si="112"/>
        <v>990788.83999999985</v>
      </c>
      <c r="V181" s="4">
        <f t="shared" si="112"/>
        <v>2296633.7800000003</v>
      </c>
      <c r="W181" s="4">
        <f t="shared" si="112"/>
        <v>10985116.66</v>
      </c>
      <c r="X181" s="4">
        <f t="shared" si="112"/>
        <v>1759357.7000000002</v>
      </c>
      <c r="Y181" s="4">
        <f t="shared" si="112"/>
        <v>5484613.7000000002</v>
      </c>
      <c r="Z181" s="4">
        <f t="shared" si="112"/>
        <v>10787272.960000001</v>
      </c>
      <c r="AA181" s="4">
        <f t="shared" si="112"/>
        <v>620972.15</v>
      </c>
      <c r="AB181" s="4">
        <f t="shared" si="112"/>
        <v>809756.07</v>
      </c>
      <c r="AC181" s="4">
        <f t="shared" si="112"/>
        <v>2671621.3000000007</v>
      </c>
      <c r="AD181" s="4">
        <f t="shared" si="112"/>
        <v>3151761.7800000003</v>
      </c>
      <c r="AE181" s="4">
        <f t="shared" si="112"/>
        <v>2557802.59</v>
      </c>
      <c r="AF181" s="4">
        <f t="shared" si="112"/>
        <v>3175035.6100000003</v>
      </c>
      <c r="AG181" s="4">
        <f t="shared" si="112"/>
        <v>8674187.1699999999</v>
      </c>
      <c r="AH181" s="4">
        <f t="shared" si="112"/>
        <v>11053395.649999999</v>
      </c>
      <c r="AI181" s="4">
        <f t="shared" si="112"/>
        <v>984377.99</v>
      </c>
      <c r="AJ181" s="4">
        <f t="shared" si="112"/>
        <v>597467.72</v>
      </c>
      <c r="AK181" s="4">
        <f t="shared" si="112"/>
        <v>7370253.0699999994</v>
      </c>
      <c r="AL181" s="4">
        <f t="shared" si="112"/>
        <v>5298440.87</v>
      </c>
      <c r="AM181" s="4">
        <f t="shared" si="112"/>
        <v>4445127.07</v>
      </c>
      <c r="AN181" s="4">
        <f t="shared" si="112"/>
        <v>534184.9</v>
      </c>
      <c r="AO181" s="4">
        <f t="shared" si="112"/>
        <v>8047298.0800000001</v>
      </c>
      <c r="AP181" s="4">
        <f t="shared" si="112"/>
        <v>3318169.5799999996</v>
      </c>
      <c r="AQ181" s="4">
        <f t="shared" si="112"/>
        <v>2329035.81</v>
      </c>
      <c r="AR181" s="4">
        <f t="shared" si="112"/>
        <v>6384200.5399999991</v>
      </c>
      <c r="AS181" s="4">
        <f t="shared" si="112"/>
        <v>2830873.05</v>
      </c>
      <c r="AT181" s="4">
        <f t="shared" si="112"/>
        <v>4175642.7800000003</v>
      </c>
      <c r="AU181" s="4">
        <f t="shared" si="112"/>
        <v>1794919.23</v>
      </c>
      <c r="AV181" s="4">
        <f t="shared" si="112"/>
        <v>8700000.4100000001</v>
      </c>
      <c r="AW181" s="4">
        <f t="shared" si="112"/>
        <v>2884622.71</v>
      </c>
      <c r="AX181" s="4">
        <f t="shared" si="112"/>
        <v>716676.2</v>
      </c>
      <c r="AY181" s="4">
        <f t="shared" si="112"/>
        <v>1412950.74</v>
      </c>
      <c r="AZ181" s="4">
        <f t="shared" si="112"/>
        <v>6390464.2199999988</v>
      </c>
      <c r="BA181" s="4">
        <f t="shared" si="112"/>
        <v>1527550.97</v>
      </c>
      <c r="BB181" s="4">
        <f t="shared" si="112"/>
        <v>5410990.6999999993</v>
      </c>
      <c r="BC181" s="4">
        <f t="shared" si="112"/>
        <v>633218.63000000012</v>
      </c>
      <c r="BD181" s="4">
        <f t="shared" si="112"/>
        <v>38679492.579999998</v>
      </c>
      <c r="BE181" s="4">
        <f t="shared" si="112"/>
        <v>2309846.46</v>
      </c>
      <c r="BF181" s="4">
        <f t="shared" si="112"/>
        <v>355766168.86000013</v>
      </c>
      <c r="BG181" s="4">
        <f t="shared" si="112"/>
        <v>188244587.87</v>
      </c>
      <c r="BH181" s="4">
        <f t="shared" si="112"/>
        <v>52327622.390000008</v>
      </c>
      <c r="BI181" s="4">
        <f t="shared" si="112"/>
        <v>115193958.59999999</v>
      </c>
    </row>
    <row r="182" spans="1:61" x14ac:dyDescent="0.3">
      <c r="D182" t="s">
        <v>606</v>
      </c>
      <c r="E182" s="4">
        <f>E76+E82+E88+E99+E117+E121+E128</f>
        <v>4265052.63</v>
      </c>
      <c r="F182" s="4">
        <f t="shared" ref="F182:BI182" si="113">F76+F82+F88+F99+F117+F121+F128</f>
        <v>1141248.2</v>
      </c>
      <c r="G182" s="4">
        <f t="shared" si="113"/>
        <v>1593824.25</v>
      </c>
      <c r="H182" s="4">
        <f t="shared" si="113"/>
        <v>1595363.6600000001</v>
      </c>
      <c r="I182" s="4">
        <f t="shared" si="113"/>
        <v>13259498.690000001</v>
      </c>
      <c r="J182" s="4">
        <f t="shared" si="113"/>
        <v>13987816.640000001</v>
      </c>
      <c r="K182" s="4">
        <f t="shared" si="113"/>
        <v>10022859.140000001</v>
      </c>
      <c r="L182" s="4">
        <f t="shared" si="113"/>
        <v>90610178.069999993</v>
      </c>
      <c r="M182" s="4">
        <f t="shared" si="113"/>
        <v>6951955.5099999998</v>
      </c>
      <c r="N182" s="4">
        <f t="shared" si="113"/>
        <v>382050.31999999995</v>
      </c>
      <c r="O182" s="4">
        <f t="shared" si="113"/>
        <v>23839201.419999998</v>
      </c>
      <c r="P182" s="4">
        <f t="shared" si="113"/>
        <v>1826004.87</v>
      </c>
      <c r="Q182" s="4">
        <f t="shared" si="113"/>
        <v>330909.35000000003</v>
      </c>
      <c r="R182" s="4">
        <f t="shared" si="113"/>
        <v>1468224.53</v>
      </c>
      <c r="S182" s="4">
        <f t="shared" si="113"/>
        <v>1314078.3999999999</v>
      </c>
      <c r="T182" s="4">
        <f t="shared" si="113"/>
        <v>2783578.99</v>
      </c>
      <c r="U182" s="4">
        <f t="shared" si="113"/>
        <v>960853.00999999989</v>
      </c>
      <c r="V182" s="4">
        <f t="shared" si="113"/>
        <v>2150070.09</v>
      </c>
      <c r="W182" s="4">
        <f t="shared" si="113"/>
        <v>11372275.68</v>
      </c>
      <c r="X182" s="4">
        <f t="shared" si="113"/>
        <v>1808653.15</v>
      </c>
      <c r="Y182" s="4">
        <f t="shared" si="113"/>
        <v>5738447.6799999997</v>
      </c>
      <c r="Z182" s="4">
        <f t="shared" si="113"/>
        <v>14207643.250000004</v>
      </c>
      <c r="AA182" s="4">
        <f t="shared" si="113"/>
        <v>568518.39999999991</v>
      </c>
      <c r="AB182" s="4">
        <f t="shared" si="113"/>
        <v>838058.35</v>
      </c>
      <c r="AC182" s="4">
        <f t="shared" si="113"/>
        <v>2295460.7999999998</v>
      </c>
      <c r="AD182" s="4">
        <f t="shared" si="113"/>
        <v>2783751.5799999991</v>
      </c>
      <c r="AE182" s="4">
        <f t="shared" si="113"/>
        <v>2333775.34</v>
      </c>
      <c r="AF182" s="4">
        <f t="shared" si="113"/>
        <v>3620674.2700000005</v>
      </c>
      <c r="AG182" s="4">
        <f t="shared" si="113"/>
        <v>9710681.660000002</v>
      </c>
      <c r="AH182" s="4">
        <f t="shared" si="113"/>
        <v>11352466.959999999</v>
      </c>
      <c r="AI182" s="4">
        <f t="shared" si="113"/>
        <v>1117516.96</v>
      </c>
      <c r="AJ182" s="4">
        <f t="shared" si="113"/>
        <v>617290.80000000005</v>
      </c>
      <c r="AK182" s="4">
        <f t="shared" si="113"/>
        <v>8010887.2199999997</v>
      </c>
      <c r="AL182" s="4">
        <f t="shared" si="113"/>
        <v>5074841.63</v>
      </c>
      <c r="AM182" s="4">
        <f t="shared" si="113"/>
        <v>4434287.3</v>
      </c>
      <c r="AN182" s="4">
        <f t="shared" si="113"/>
        <v>551467.38</v>
      </c>
      <c r="AO182" s="4">
        <f t="shared" si="113"/>
        <v>8302194.3600000003</v>
      </c>
      <c r="AP182" s="4">
        <f t="shared" si="113"/>
        <v>3761771.5500000003</v>
      </c>
      <c r="AQ182" s="4">
        <f t="shared" si="113"/>
        <v>2484937.2399999998</v>
      </c>
      <c r="AR182" s="4">
        <f t="shared" si="113"/>
        <v>6601393.5</v>
      </c>
      <c r="AS182" s="4">
        <f t="shared" si="113"/>
        <v>2762464.5700000003</v>
      </c>
      <c r="AT182" s="4">
        <f t="shared" si="113"/>
        <v>4108531.0200000005</v>
      </c>
      <c r="AU182" s="4">
        <f t="shared" si="113"/>
        <v>2715600.1999999997</v>
      </c>
      <c r="AV182" s="4">
        <f t="shared" si="113"/>
        <v>7770133.5799999982</v>
      </c>
      <c r="AW182" s="4">
        <f t="shared" si="113"/>
        <v>2880509.56</v>
      </c>
      <c r="AX182" s="4">
        <f t="shared" si="113"/>
        <v>726661.46</v>
      </c>
      <c r="AY182" s="4">
        <f t="shared" si="113"/>
        <v>1501540.0499999998</v>
      </c>
      <c r="AZ182" s="4">
        <f t="shared" si="113"/>
        <v>6773249.0899999999</v>
      </c>
      <c r="BA182" s="4">
        <f t="shared" si="113"/>
        <v>1854476.15</v>
      </c>
      <c r="BB182" s="4">
        <f t="shared" si="113"/>
        <v>5527342.54</v>
      </c>
      <c r="BC182" s="4">
        <f t="shared" si="113"/>
        <v>607232.1</v>
      </c>
      <c r="BD182" s="4">
        <f t="shared" si="113"/>
        <v>39124722.530000001</v>
      </c>
      <c r="BE182" s="4">
        <f t="shared" si="113"/>
        <v>2345594.25</v>
      </c>
      <c r="BF182" s="4">
        <f t="shared" si="113"/>
        <v>364767819.93000001</v>
      </c>
      <c r="BG182" s="4">
        <f t="shared" si="113"/>
        <v>189855043.44999999</v>
      </c>
      <c r="BH182" s="4">
        <f t="shared" si="113"/>
        <v>56992939.200000003</v>
      </c>
      <c r="BI182" s="4">
        <f t="shared" si="113"/>
        <v>117919837.27999999</v>
      </c>
    </row>
    <row r="184" spans="1:61" x14ac:dyDescent="0.3">
      <c r="L184" s="4"/>
    </row>
    <row r="185" spans="1:61" x14ac:dyDescent="0.3">
      <c r="A185">
        <v>4</v>
      </c>
      <c r="B185">
        <v>40</v>
      </c>
      <c r="C185">
        <v>40330</v>
      </c>
      <c r="D185" t="s">
        <v>765</v>
      </c>
      <c r="L185">
        <v>65445.55</v>
      </c>
      <c r="N185">
        <v>970</v>
      </c>
      <c r="R185">
        <v>3841.55</v>
      </c>
      <c r="T185">
        <v>3130</v>
      </c>
      <c r="U185">
        <v>3280</v>
      </c>
      <c r="X185">
        <v>2900</v>
      </c>
      <c r="Y185">
        <v>7625</v>
      </c>
      <c r="AA185">
        <v>650</v>
      </c>
      <c r="AC185">
        <v>4960</v>
      </c>
      <c r="AE185">
        <v>5130</v>
      </c>
      <c r="AF185">
        <v>2800</v>
      </c>
      <c r="AH185">
        <v>16400</v>
      </c>
      <c r="AI185">
        <v>2820</v>
      </c>
      <c r="AJ185">
        <v>1550</v>
      </c>
      <c r="AL185">
        <v>14650</v>
      </c>
      <c r="AM185">
        <v>7933.8</v>
      </c>
      <c r="AO185">
        <v>1320</v>
      </c>
      <c r="AP185">
        <v>4520</v>
      </c>
      <c r="AQ185">
        <v>5140</v>
      </c>
      <c r="AR185">
        <v>9480</v>
      </c>
      <c r="AS185">
        <v>5100</v>
      </c>
      <c r="AT185">
        <v>7410</v>
      </c>
      <c r="AV185">
        <v>5565</v>
      </c>
      <c r="AW185">
        <v>3900</v>
      </c>
      <c r="AX185">
        <v>810.3</v>
      </c>
      <c r="AY185">
        <v>4500</v>
      </c>
      <c r="AZ185">
        <v>11060</v>
      </c>
      <c r="BC185">
        <v>1350</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F155" sqref="F155"/>
    </sheetView>
  </sheetViews>
  <sheetFormatPr baseColWidth="10" defaultRowHeight="14.4" x14ac:dyDescent="0.3"/>
  <cols>
    <col min="1" max="1" width="9.109375" customWidth="1"/>
    <col min="2" max="2" width="38.5546875" customWidth="1"/>
    <col min="3" max="3" width="22.88671875" customWidth="1"/>
  </cols>
  <sheetData>
    <row r="1" spans="1:3" ht="25.8" x14ac:dyDescent="0.5">
      <c r="A1" s="42" t="s">
        <v>226</v>
      </c>
    </row>
    <row r="3" spans="1:3" x14ac:dyDescent="0.3">
      <c r="A3" s="7" t="s">
        <v>776</v>
      </c>
    </row>
    <row r="5" spans="1:3" x14ac:dyDescent="0.3">
      <c r="A5" s="51" t="s">
        <v>219</v>
      </c>
      <c r="B5" s="51" t="s">
        <v>204</v>
      </c>
      <c r="C5" s="51" t="s">
        <v>220</v>
      </c>
    </row>
    <row r="6" spans="1:3" x14ac:dyDescent="0.3">
      <c r="A6" s="52">
        <v>90</v>
      </c>
      <c r="B6" s="53" t="s">
        <v>222</v>
      </c>
      <c r="C6" s="56">
        <f>'Bourgeoisies Comptes 2020'!R153</f>
        <v>196670.41999999998</v>
      </c>
    </row>
    <row r="7" spans="1:3" x14ac:dyDescent="0.3">
      <c r="A7" s="52">
        <v>900</v>
      </c>
      <c r="B7" s="53" t="s">
        <v>223</v>
      </c>
      <c r="C7" s="56">
        <f>'Bourgeoisies Comptes 2020'!R154</f>
        <v>196670.41999999998</v>
      </c>
    </row>
    <row r="8" spans="1:3" x14ac:dyDescent="0.3">
      <c r="A8" s="52">
        <v>901</v>
      </c>
      <c r="B8" s="53" t="s">
        <v>224</v>
      </c>
      <c r="C8" s="56">
        <f>'Bourgeoisies Comptes 2020'!R155</f>
        <v>0</v>
      </c>
    </row>
    <row r="9" spans="1:3" x14ac:dyDescent="0.3">
      <c r="A9" s="52" t="s">
        <v>221</v>
      </c>
      <c r="B9" s="53" t="s">
        <v>225</v>
      </c>
      <c r="C9" s="56">
        <f>'Bourgeoisie investissement'!R182</f>
        <v>1464421.3</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F155" sqref="F155"/>
    </sheetView>
  </sheetViews>
  <sheetFormatPr baseColWidth="10" defaultRowHeight="14.4" x14ac:dyDescent="0.3"/>
  <cols>
    <col min="1" max="1" width="9.33203125" customWidth="1"/>
    <col min="2" max="2" width="39.6640625" customWidth="1"/>
    <col min="3" max="3" width="27.88671875" customWidth="1"/>
    <col min="4" max="4" width="23" customWidth="1"/>
  </cols>
  <sheetData>
    <row r="1" spans="1:3" ht="25.8" x14ac:dyDescent="0.5">
      <c r="A1" s="42" t="s">
        <v>758</v>
      </c>
    </row>
    <row r="4" spans="1:3" ht="15" thickBot="1" x14ac:dyDescent="0.35">
      <c r="B4" t="s">
        <v>778</v>
      </c>
    </row>
    <row r="5" spans="1:3" ht="15" thickBot="1" x14ac:dyDescent="0.35">
      <c r="B5" s="174" t="s">
        <v>28</v>
      </c>
    </row>
    <row r="8" spans="1:3" x14ac:dyDescent="0.3">
      <c r="A8" s="51" t="s">
        <v>219</v>
      </c>
      <c r="B8" s="51" t="s">
        <v>204</v>
      </c>
      <c r="C8" s="51" t="s">
        <v>220</v>
      </c>
    </row>
    <row r="9" spans="1:3" x14ac:dyDescent="0.3">
      <c r="A9" s="52">
        <v>90</v>
      </c>
      <c r="B9" s="53" t="s">
        <v>222</v>
      </c>
      <c r="C9" s="56">
        <f>HLOOKUP($B$5,'Bourgeoisies Comptes 2020'!$E$3:$R$165,151,0)</f>
        <v>157274</v>
      </c>
    </row>
    <row r="10" spans="1:3" x14ac:dyDescent="0.3">
      <c r="A10" s="52">
        <v>900</v>
      </c>
      <c r="B10" s="53" t="s">
        <v>223</v>
      </c>
      <c r="C10" s="56">
        <f>HLOOKUP($B$5,'Bourgeoisies Comptes 2020'!$E$3:$R$165,152,0)</f>
        <v>157274</v>
      </c>
    </row>
    <row r="11" spans="1:3" x14ac:dyDescent="0.3">
      <c r="A11" s="52">
        <v>901</v>
      </c>
      <c r="B11" s="53" t="s">
        <v>224</v>
      </c>
      <c r="C11" s="56">
        <f>HLOOKUP($B$5,'Bourgeoisies Comptes 2020'!$E$3:$R$165,153,0)</f>
        <v>0</v>
      </c>
    </row>
    <row r="12" spans="1:3" x14ac:dyDescent="0.3">
      <c r="A12" s="52" t="s">
        <v>221</v>
      </c>
      <c r="B12" s="53" t="s">
        <v>225</v>
      </c>
      <c r="C12" s="56">
        <f>HLOOKUP($B$5,'Bourgeoisie investissement'!$E$3:$R$184,180,0)</f>
        <v>208472.60000000003</v>
      </c>
    </row>
    <row r="14" spans="1:3" x14ac:dyDescent="0.3">
      <c r="C14" s="1"/>
    </row>
    <row r="15" spans="1:3" x14ac:dyDescent="0.3">
      <c r="C15" s="4"/>
    </row>
    <row r="16" spans="1:3" x14ac:dyDescent="0.3">
      <c r="C16" s="4"/>
    </row>
    <row r="17" spans="3:3" x14ac:dyDescent="0.3">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2020'!$E$3:$R$3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F155" sqref="F155"/>
    </sheetView>
  </sheetViews>
  <sheetFormatPr baseColWidth="10" defaultRowHeight="14.4" x14ac:dyDescent="0.3"/>
  <cols>
    <col min="1" max="1" width="22.6640625" customWidth="1"/>
    <col min="2" max="2" width="34.44140625" customWidth="1"/>
    <col min="3" max="3" width="23" customWidth="1"/>
  </cols>
  <sheetData>
    <row r="1" spans="1:3" ht="25.8" x14ac:dyDescent="0.5">
      <c r="A1" s="42" t="s">
        <v>200</v>
      </c>
    </row>
    <row r="4" spans="1:3" x14ac:dyDescent="0.3">
      <c r="A4" s="7" t="s">
        <v>777</v>
      </c>
    </row>
    <row r="5" spans="1:3" x14ac:dyDescent="0.3">
      <c r="A5" s="7" t="s">
        <v>202</v>
      </c>
    </row>
    <row r="7" spans="1:3" x14ac:dyDescent="0.3">
      <c r="A7" s="51" t="s">
        <v>203</v>
      </c>
      <c r="B7" s="51" t="s">
        <v>204</v>
      </c>
      <c r="C7" s="51" t="s">
        <v>205</v>
      </c>
    </row>
    <row r="8" spans="1:3" x14ac:dyDescent="0.3">
      <c r="A8" s="52" t="s">
        <v>212</v>
      </c>
      <c r="B8" s="53" t="s">
        <v>206</v>
      </c>
      <c r="C8" s="56">
        <f>'Bourgeoisies Comptes 2020'!R5+'Bourgeoisies Comptes 2020'!R15+'Bourgeoisies Comptes 2020'!R27+'Bourgeoisies Comptes 2020'!R39+'Bourgeoisies Comptes 2020'!R43+'Bourgeoisies Comptes 2020'!R53</f>
        <v>2934264.5700000003</v>
      </c>
    </row>
    <row r="9" spans="1:3" x14ac:dyDescent="0.3">
      <c r="A9" s="52" t="s">
        <v>213</v>
      </c>
      <c r="B9" s="53" t="s">
        <v>207</v>
      </c>
      <c r="C9" s="56">
        <f>'Bourgeoisies Comptes 2020'!R76+'Bourgeoisies Comptes 2020'!R82+'Bourgeoisies Comptes 2020'!R88+'Bourgeoisies Comptes 2020'!R99+'Bourgeoisies Comptes 2020'!R117+'Bourgeoisies Comptes 2020'!R121+'Bourgeoisies Comptes 2020'!R128</f>
        <v>1644904.92</v>
      </c>
    </row>
    <row r="10" spans="1:3" x14ac:dyDescent="0.3">
      <c r="A10" s="53"/>
      <c r="B10" s="55" t="s">
        <v>208</v>
      </c>
      <c r="C10" s="62">
        <f>C9-C8</f>
        <v>-1289359.6500000004</v>
      </c>
    </row>
    <row r="11" spans="1:3" x14ac:dyDescent="0.3">
      <c r="A11" s="53"/>
      <c r="B11" s="53"/>
      <c r="C11" s="53"/>
    </row>
    <row r="12" spans="1:3" x14ac:dyDescent="0.3">
      <c r="A12" s="53">
        <v>34</v>
      </c>
      <c r="B12" s="53" t="s">
        <v>101</v>
      </c>
      <c r="C12" s="56">
        <f>'Bourgeoisies Comptes 2020'!R31</f>
        <v>219321.37000000002</v>
      </c>
    </row>
    <row r="13" spans="1:3" x14ac:dyDescent="0.3">
      <c r="A13" s="53">
        <v>44</v>
      </c>
      <c r="B13" s="53" t="s">
        <v>162</v>
      </c>
      <c r="C13" s="56">
        <f>'Bourgeoisies Comptes 2020'!R105</f>
        <v>1609492.04</v>
      </c>
    </row>
    <row r="14" spans="1:3" x14ac:dyDescent="0.3">
      <c r="A14" s="53"/>
      <c r="B14" s="55" t="s">
        <v>244</v>
      </c>
      <c r="C14" s="62">
        <f>C13-C12</f>
        <v>1390170.67</v>
      </c>
    </row>
    <row r="15" spans="1:3" x14ac:dyDescent="0.3">
      <c r="A15" s="53"/>
      <c r="B15" s="53"/>
      <c r="C15" s="53"/>
    </row>
    <row r="16" spans="1:3" x14ac:dyDescent="0.3">
      <c r="A16" s="53"/>
      <c r="B16" s="55" t="s">
        <v>209</v>
      </c>
      <c r="C16" s="62">
        <f>C10+C14</f>
        <v>100811.01999999955</v>
      </c>
    </row>
    <row r="17" spans="1:3" x14ac:dyDescent="0.3">
      <c r="A17" s="53"/>
      <c r="B17" s="53"/>
      <c r="C17" s="53"/>
    </row>
    <row r="18" spans="1:3" x14ac:dyDescent="0.3">
      <c r="A18" s="53">
        <v>38</v>
      </c>
      <c r="B18" s="53" t="s">
        <v>121</v>
      </c>
      <c r="C18" s="56">
        <f>'Bourgeoisies Comptes 2020'!R56</f>
        <v>0</v>
      </c>
    </row>
    <row r="19" spans="1:3" x14ac:dyDescent="0.3">
      <c r="A19" s="53">
        <v>48</v>
      </c>
      <c r="B19" s="53" t="s">
        <v>181</v>
      </c>
      <c r="C19" s="56">
        <f>'Bourgeoisies Comptes 2020'!R131</f>
        <v>71400</v>
      </c>
    </row>
    <row r="20" spans="1:3" x14ac:dyDescent="0.3">
      <c r="A20" s="53"/>
      <c r="B20" s="55" t="s">
        <v>210</v>
      </c>
      <c r="C20" s="62">
        <f>C19-C18</f>
        <v>71400</v>
      </c>
    </row>
    <row r="21" spans="1:3" x14ac:dyDescent="0.3">
      <c r="A21" s="53"/>
      <c r="B21" s="53"/>
      <c r="C21" s="53"/>
    </row>
    <row r="22" spans="1:3" x14ac:dyDescent="0.3">
      <c r="A22" s="53"/>
      <c r="B22" s="55" t="s">
        <v>211</v>
      </c>
      <c r="C22" s="62">
        <f>C16+C20</f>
        <v>172211.01999999955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F155" sqref="F155"/>
    </sheetView>
  </sheetViews>
  <sheetFormatPr baseColWidth="10" defaultRowHeight="14.4" x14ac:dyDescent="0.3"/>
  <cols>
    <col min="1" max="1" width="21.88671875" customWidth="1"/>
    <col min="2" max="2" width="40.44140625" customWidth="1"/>
    <col min="3" max="3" width="22.88671875" customWidth="1"/>
  </cols>
  <sheetData>
    <row r="1" spans="1:3" ht="25.8" x14ac:dyDescent="0.5">
      <c r="A1" s="42" t="s">
        <v>200</v>
      </c>
    </row>
    <row r="4" spans="1:3" ht="15" thickBot="1" x14ac:dyDescent="0.35">
      <c r="B4" t="s">
        <v>778</v>
      </c>
    </row>
    <row r="5" spans="1:3" ht="15" thickBot="1" x14ac:dyDescent="0.35">
      <c r="B5" s="174" t="s">
        <v>28</v>
      </c>
    </row>
    <row r="7" spans="1:3" x14ac:dyDescent="0.3">
      <c r="A7" s="51" t="s">
        <v>203</v>
      </c>
      <c r="B7" s="51" t="s">
        <v>204</v>
      </c>
      <c r="C7" s="51" t="s">
        <v>205</v>
      </c>
    </row>
    <row r="8" spans="1:3" x14ac:dyDescent="0.3">
      <c r="A8" s="52" t="s">
        <v>212</v>
      </c>
      <c r="B8" s="53" t="s">
        <v>206</v>
      </c>
      <c r="C8" s="56">
        <f>HLOOKUP($B$5,'Bourgeoisies Comptes 2020'!$E$3:$R$168,162,0)</f>
        <v>1705035.15</v>
      </c>
    </row>
    <row r="9" spans="1:3" x14ac:dyDescent="0.3">
      <c r="A9" s="52" t="s">
        <v>213</v>
      </c>
      <c r="B9" s="53" t="s">
        <v>207</v>
      </c>
      <c r="C9" s="56">
        <f>HLOOKUP($B$5,'Bourgeoisies Comptes 2020'!$E$3:$R$168,163,0)</f>
        <v>855977.3</v>
      </c>
    </row>
    <row r="10" spans="1:3" x14ac:dyDescent="0.3">
      <c r="A10" s="53"/>
      <c r="B10" s="55" t="s">
        <v>208</v>
      </c>
      <c r="C10" s="62">
        <f>C9-C8</f>
        <v>-849057.84999999986</v>
      </c>
    </row>
    <row r="11" spans="1:3" x14ac:dyDescent="0.3">
      <c r="A11" s="53"/>
      <c r="B11" s="53"/>
      <c r="C11" s="53"/>
    </row>
    <row r="12" spans="1:3" x14ac:dyDescent="0.3">
      <c r="A12" s="53">
        <v>34</v>
      </c>
      <c r="B12" s="53" t="s">
        <v>101</v>
      </c>
      <c r="C12" s="56">
        <f>HLOOKUP($B$5,'Bourgeoisies Comptes 2020'!$E$3:$R$168,29,0)</f>
        <v>118687.45</v>
      </c>
    </row>
    <row r="13" spans="1:3" x14ac:dyDescent="0.3">
      <c r="A13" s="53">
        <v>44</v>
      </c>
      <c r="B13" s="53" t="s">
        <v>162</v>
      </c>
      <c r="C13" s="56">
        <f>HLOOKUP($B$5,'Bourgeoisies Comptes 2020'!$E$3:$R$168,103,0)</f>
        <v>1125019.2999999998</v>
      </c>
    </row>
    <row r="14" spans="1:3" x14ac:dyDescent="0.3">
      <c r="A14" s="53"/>
      <c r="B14" s="55" t="s">
        <v>244</v>
      </c>
      <c r="C14" s="62">
        <f>C13-C12</f>
        <v>1006331.8499999999</v>
      </c>
    </row>
    <row r="15" spans="1:3" x14ac:dyDescent="0.3">
      <c r="A15" s="53"/>
      <c r="B15" s="53"/>
      <c r="C15" s="53"/>
    </row>
    <row r="16" spans="1:3" x14ac:dyDescent="0.3">
      <c r="A16" s="53"/>
      <c r="B16" s="55" t="s">
        <v>209</v>
      </c>
      <c r="C16" s="62">
        <f>C10+C14</f>
        <v>157274</v>
      </c>
    </row>
    <row r="17" spans="1:3" x14ac:dyDescent="0.3">
      <c r="A17" s="53"/>
      <c r="B17" s="53"/>
      <c r="C17" s="53"/>
    </row>
    <row r="18" spans="1:3" x14ac:dyDescent="0.3">
      <c r="A18" s="53">
        <v>38</v>
      </c>
      <c r="B18" s="53" t="s">
        <v>121</v>
      </c>
      <c r="C18" s="56">
        <f>HLOOKUP($B$5,'Bourgeoisies Comptes 2020'!$E$3:$R$168,54,0)</f>
        <v>0</v>
      </c>
    </row>
    <row r="19" spans="1:3" x14ac:dyDescent="0.3">
      <c r="A19" s="53">
        <v>48</v>
      </c>
      <c r="B19" s="53" t="s">
        <v>181</v>
      </c>
      <c r="C19" s="56">
        <f>HLOOKUP($B$5,'Bourgeoisies Comptes 2020'!$E$3:$R$168,129,0)</f>
        <v>0</v>
      </c>
    </row>
    <row r="20" spans="1:3" x14ac:dyDescent="0.3">
      <c r="A20" s="53"/>
      <c r="B20" s="55" t="s">
        <v>210</v>
      </c>
      <c r="C20" s="62">
        <f>C19-C18</f>
        <v>0</v>
      </c>
    </row>
    <row r="21" spans="1:3" x14ac:dyDescent="0.3">
      <c r="A21" s="53"/>
      <c r="B21" s="53"/>
      <c r="C21" s="53"/>
    </row>
    <row r="22" spans="1:3" x14ac:dyDescent="0.3">
      <c r="A22" s="53"/>
      <c r="B22" s="55" t="s">
        <v>211</v>
      </c>
      <c r="C22" s="62">
        <f>C16+C20</f>
        <v>157274</v>
      </c>
    </row>
    <row r="25" spans="1:3" x14ac:dyDescent="0.3">
      <c r="C25" s="101"/>
    </row>
    <row r="26" spans="1:3" x14ac:dyDescent="0.3">
      <c r="C26" s="4"/>
    </row>
    <row r="27" spans="1:3" x14ac:dyDescent="0.3">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2020'!$E$3:$R$3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F155" sqref="F155"/>
    </sheetView>
  </sheetViews>
  <sheetFormatPr baseColWidth="10" defaultRowHeight="14.4" x14ac:dyDescent="0.3"/>
  <cols>
    <col min="2" max="2" width="4" customWidth="1"/>
    <col min="3" max="3" width="68.44140625" customWidth="1"/>
    <col min="4" max="4" width="22.88671875" customWidth="1"/>
  </cols>
  <sheetData>
    <row r="1" spans="1:4" ht="25.8" x14ac:dyDescent="0.5">
      <c r="A1" s="42" t="s">
        <v>227</v>
      </c>
    </row>
    <row r="4" spans="1:4" x14ac:dyDescent="0.3">
      <c r="A4" s="7" t="s">
        <v>777</v>
      </c>
    </row>
    <row r="5" spans="1:4" x14ac:dyDescent="0.3">
      <c r="A5" s="7" t="s">
        <v>228</v>
      </c>
    </row>
    <row r="7" spans="1:4" x14ac:dyDescent="0.3">
      <c r="A7" s="51" t="s">
        <v>229</v>
      </c>
      <c r="B7" s="51"/>
      <c r="C7" s="51" t="s">
        <v>204</v>
      </c>
      <c r="D7" s="51" t="s">
        <v>205</v>
      </c>
    </row>
    <row r="8" spans="1:4" x14ac:dyDescent="0.3">
      <c r="A8" s="53">
        <v>90</v>
      </c>
      <c r="B8" s="58"/>
      <c r="C8" s="53" t="s">
        <v>195</v>
      </c>
      <c r="D8" s="56">
        <f>'Bourgeoisies Comptes 2020'!R153</f>
        <v>196670.41999999998</v>
      </c>
    </row>
    <row r="9" spans="1:4" x14ac:dyDescent="0.3">
      <c r="A9" s="53">
        <v>33</v>
      </c>
      <c r="B9" s="58" t="s">
        <v>231</v>
      </c>
      <c r="C9" s="53" t="s">
        <v>98</v>
      </c>
      <c r="D9" s="56">
        <f>'Bourgeoisies Comptes 2020'!R27</f>
        <v>330344.95</v>
      </c>
    </row>
    <row r="10" spans="1:4" x14ac:dyDescent="0.3">
      <c r="A10" s="53">
        <v>35</v>
      </c>
      <c r="B10" s="58" t="s">
        <v>231</v>
      </c>
      <c r="C10" s="53" t="s">
        <v>233</v>
      </c>
      <c r="D10" s="56">
        <f>'Bourgeoisies Comptes 2020'!R39</f>
        <v>499938.45999999996</v>
      </c>
    </row>
    <row r="11" spans="1:4" x14ac:dyDescent="0.3">
      <c r="A11" s="53">
        <v>45</v>
      </c>
      <c r="B11" s="58" t="s">
        <v>232</v>
      </c>
      <c r="C11" s="53" t="s">
        <v>174</v>
      </c>
      <c r="D11" s="56">
        <f>'Bourgeoisies Comptes 2020'!R117</f>
        <v>138052.44999999998</v>
      </c>
    </row>
    <row r="12" spans="1:4" x14ac:dyDescent="0.3">
      <c r="A12" s="53">
        <v>364</v>
      </c>
      <c r="B12" s="58" t="s">
        <v>231</v>
      </c>
      <c r="C12" s="53" t="s">
        <v>240</v>
      </c>
      <c r="D12" s="56">
        <f>'Bourgeoisies Comptes 2020'!R48</f>
        <v>0</v>
      </c>
    </row>
    <row r="13" spans="1:4" x14ac:dyDescent="0.3">
      <c r="A13" s="53">
        <v>365</v>
      </c>
      <c r="B13" s="58" t="s">
        <v>231</v>
      </c>
      <c r="C13" s="53" t="s">
        <v>241</v>
      </c>
      <c r="D13" s="56">
        <f>'Bourgeoisies Comptes 2020'!R49</f>
        <v>0</v>
      </c>
    </row>
    <row r="14" spans="1:4" x14ac:dyDescent="0.3">
      <c r="A14" s="53">
        <v>366</v>
      </c>
      <c r="B14" s="58" t="s">
        <v>231</v>
      </c>
      <c r="C14" s="53" t="s">
        <v>238</v>
      </c>
      <c r="D14" s="56">
        <f>'Bourgeoisies Comptes 2020'!R50</f>
        <v>0</v>
      </c>
    </row>
    <row r="15" spans="1:4" x14ac:dyDescent="0.3">
      <c r="A15" s="53">
        <v>389</v>
      </c>
      <c r="B15" s="58" t="s">
        <v>231</v>
      </c>
      <c r="C15" s="53" t="s">
        <v>234</v>
      </c>
      <c r="D15" s="56">
        <f>'Bourgeoisies Comptes 2020'!R62</f>
        <v>0</v>
      </c>
    </row>
    <row r="16" spans="1:4" x14ac:dyDescent="0.3">
      <c r="A16" s="53">
        <v>4490</v>
      </c>
      <c r="B16" s="58" t="s">
        <v>232</v>
      </c>
      <c r="C16" s="53" t="s">
        <v>242</v>
      </c>
      <c r="D16" s="56">
        <f>'Bourgeoisies Comptes 2020'!R115</f>
        <v>106</v>
      </c>
    </row>
    <row r="17" spans="1:4" x14ac:dyDescent="0.3">
      <c r="A17" s="53">
        <v>489</v>
      </c>
      <c r="B17" s="58" t="s">
        <v>232</v>
      </c>
      <c r="C17" s="53" t="s">
        <v>239</v>
      </c>
      <c r="D17" s="56">
        <f>'Bourgeoisies Comptes 2020'!R138</f>
        <v>0</v>
      </c>
    </row>
    <row r="18" spans="1:4" x14ac:dyDescent="0.3">
      <c r="A18" s="53"/>
      <c r="B18" s="58"/>
      <c r="C18" s="53"/>
      <c r="D18" s="56"/>
    </row>
    <row r="19" spans="1:4" x14ac:dyDescent="0.3">
      <c r="A19" s="54"/>
      <c r="B19" s="54"/>
      <c r="C19" s="55" t="s">
        <v>235</v>
      </c>
      <c r="D19" s="62">
        <f>D8+D9+D10-D11+D12+D13+D14+D15-D16-D17</f>
        <v>888795.38</v>
      </c>
    </row>
    <row r="20" spans="1:4" x14ac:dyDescent="0.3">
      <c r="A20" s="53"/>
      <c r="B20" s="53"/>
      <c r="C20" s="53"/>
      <c r="D20" s="56"/>
    </row>
    <row r="21" spans="1:4" x14ac:dyDescent="0.3">
      <c r="A21" s="53" t="s">
        <v>230</v>
      </c>
      <c r="B21" s="59" t="s">
        <v>232</v>
      </c>
      <c r="C21" s="53" t="s">
        <v>236</v>
      </c>
      <c r="D21" s="56">
        <f>'Bourgeoisie investissement'!R182</f>
        <v>1464421.3</v>
      </c>
    </row>
    <row r="22" spans="1:4" x14ac:dyDescent="0.3">
      <c r="A22" s="53"/>
      <c r="B22" s="53"/>
      <c r="C22" s="53"/>
      <c r="D22" s="56"/>
    </row>
    <row r="23" spans="1:4" x14ac:dyDescent="0.3">
      <c r="A23" s="54"/>
      <c r="B23" s="54"/>
      <c r="C23" s="55" t="s">
        <v>237</v>
      </c>
      <c r="D23" s="62">
        <f>D19-D21</f>
        <v>-575625.92000000004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F155" sqref="F155"/>
    </sheetView>
  </sheetViews>
  <sheetFormatPr baseColWidth="10" defaultRowHeight="14.4" x14ac:dyDescent="0.3"/>
  <cols>
    <col min="3" max="3" width="6" customWidth="1"/>
    <col min="4" max="4" width="65" customWidth="1"/>
    <col min="5" max="5" width="16.88671875" customWidth="1"/>
  </cols>
  <sheetData>
    <row r="1" spans="1:5" ht="25.8" x14ac:dyDescent="0.5">
      <c r="A1" s="42" t="s">
        <v>757</v>
      </c>
    </row>
    <row r="4" spans="1:5" ht="15" thickBot="1" x14ac:dyDescent="0.35">
      <c r="B4" t="s">
        <v>778</v>
      </c>
    </row>
    <row r="5" spans="1:5" ht="15" thickBot="1" x14ac:dyDescent="0.35">
      <c r="B5" s="214" t="s">
        <v>28</v>
      </c>
      <c r="C5" s="215"/>
      <c r="D5" s="216"/>
    </row>
    <row r="7" spans="1:5" x14ac:dyDescent="0.3">
      <c r="B7" s="51" t="s">
        <v>229</v>
      </c>
      <c r="C7" s="51"/>
      <c r="D7" s="51" t="s">
        <v>204</v>
      </c>
      <c r="E7" s="51" t="s">
        <v>205</v>
      </c>
    </row>
    <row r="8" spans="1:5" x14ac:dyDescent="0.3">
      <c r="B8" s="53">
        <v>90</v>
      </c>
      <c r="C8" s="58"/>
      <c r="D8" s="53" t="s">
        <v>195</v>
      </c>
      <c r="E8" s="56">
        <f>HLOOKUP($B$5,'Bourgeoisies Comptes 2020'!$E$3:$R$167,151,0)</f>
        <v>157274</v>
      </c>
    </row>
    <row r="9" spans="1:5" x14ac:dyDescent="0.3">
      <c r="B9" s="53">
        <v>33</v>
      </c>
      <c r="C9" s="58" t="s">
        <v>231</v>
      </c>
      <c r="D9" s="53" t="s">
        <v>98</v>
      </c>
      <c r="E9" s="56">
        <f>HLOOKUP($B$5,'Bourgeoisies Comptes 2020'!$E$3:$R$167,25,0)</f>
        <v>197327.15</v>
      </c>
    </row>
    <row r="10" spans="1:5" x14ac:dyDescent="0.3">
      <c r="B10" s="53">
        <v>35</v>
      </c>
      <c r="C10" s="58" t="s">
        <v>231</v>
      </c>
      <c r="D10" s="53" t="s">
        <v>233</v>
      </c>
      <c r="E10" s="56">
        <f>HLOOKUP($B$5,'Bourgeoisies Comptes 2020'!$E$3:$R$167,37,0)</f>
        <v>464005.7</v>
      </c>
    </row>
    <row r="11" spans="1:5" x14ac:dyDescent="0.3">
      <c r="B11" s="53">
        <v>45</v>
      </c>
      <c r="C11" s="58" t="s">
        <v>232</v>
      </c>
      <c r="D11" s="53" t="s">
        <v>174</v>
      </c>
      <c r="E11" s="56">
        <f>HLOOKUP($B$5,'Bourgeoisies Comptes 2020'!$E$3:$R$167,115,0)</f>
        <v>64520.05</v>
      </c>
    </row>
    <row r="12" spans="1:5" x14ac:dyDescent="0.3">
      <c r="B12" s="53">
        <v>364</v>
      </c>
      <c r="C12" s="58" t="s">
        <v>231</v>
      </c>
      <c r="D12" s="53" t="s">
        <v>240</v>
      </c>
      <c r="E12" s="56">
        <f>HLOOKUP($B$5,'Bourgeoisies Comptes 2020'!$E$3:$R$167,46,0)</f>
        <v>0</v>
      </c>
    </row>
    <row r="13" spans="1:5" x14ac:dyDescent="0.3">
      <c r="B13" s="53">
        <v>365</v>
      </c>
      <c r="C13" s="58" t="s">
        <v>231</v>
      </c>
      <c r="D13" s="53" t="s">
        <v>241</v>
      </c>
      <c r="E13" s="56">
        <f>HLOOKUP($B$5,'Bourgeoisies Comptes 2020'!$E$3:$R$167,47,0)</f>
        <v>0</v>
      </c>
    </row>
    <row r="14" spans="1:5" x14ac:dyDescent="0.3">
      <c r="B14" s="53">
        <v>366</v>
      </c>
      <c r="C14" s="58" t="s">
        <v>231</v>
      </c>
      <c r="D14" s="53" t="s">
        <v>238</v>
      </c>
      <c r="E14" s="56">
        <f>HLOOKUP($B$5,'Bourgeoisies Comptes 2020'!$E$3:$R$167,48,0)</f>
        <v>0</v>
      </c>
    </row>
    <row r="15" spans="1:5" x14ac:dyDescent="0.3">
      <c r="B15" s="53">
        <v>389</v>
      </c>
      <c r="C15" s="58" t="s">
        <v>231</v>
      </c>
      <c r="D15" s="53" t="s">
        <v>234</v>
      </c>
      <c r="E15" s="56">
        <f>HLOOKUP($B$5,'Bourgeoisies Comptes 2020'!$E$3:$R$167,60,0)</f>
        <v>0</v>
      </c>
    </row>
    <row r="16" spans="1:5" x14ac:dyDescent="0.3">
      <c r="B16" s="53">
        <v>4490</v>
      </c>
      <c r="C16" s="58" t="s">
        <v>232</v>
      </c>
      <c r="D16" s="53" t="s">
        <v>242</v>
      </c>
      <c r="E16" s="56">
        <f>HLOOKUP($B$5,'Bourgeoisies Comptes 2020'!$E$3:$R$167,113,0)</f>
        <v>106</v>
      </c>
    </row>
    <row r="17" spans="2:5" x14ac:dyDescent="0.3">
      <c r="B17" s="53">
        <v>489</v>
      </c>
      <c r="C17" s="58" t="s">
        <v>232</v>
      </c>
      <c r="D17" s="53" t="s">
        <v>239</v>
      </c>
      <c r="E17" s="56">
        <f>HLOOKUP($B$5,'Bourgeoisies Comptes 2020'!$E$3:$R$167,136,0)</f>
        <v>0</v>
      </c>
    </row>
    <row r="18" spans="2:5" x14ac:dyDescent="0.3">
      <c r="B18" s="53"/>
      <c r="C18" s="58"/>
      <c r="D18" s="53"/>
      <c r="E18" s="56"/>
    </row>
    <row r="19" spans="2:5" x14ac:dyDescent="0.3">
      <c r="B19" s="54"/>
      <c r="C19" s="54"/>
      <c r="D19" s="55" t="s">
        <v>235</v>
      </c>
      <c r="E19" s="62">
        <f>E8+E9+E10-E11+E12+E13+E14+E15-E16-E17</f>
        <v>753980.8</v>
      </c>
    </row>
    <row r="20" spans="2:5" x14ac:dyDescent="0.3">
      <c r="B20" s="53"/>
      <c r="C20" s="53"/>
      <c r="D20" s="53"/>
      <c r="E20" s="56"/>
    </row>
    <row r="21" spans="2:5" x14ac:dyDescent="0.3">
      <c r="B21" s="53" t="s">
        <v>230</v>
      </c>
      <c r="C21" s="59" t="s">
        <v>232</v>
      </c>
      <c r="D21" s="53" t="s">
        <v>236</v>
      </c>
      <c r="E21" s="56">
        <f>HLOOKUP($B$5,'Bourgeoisie investissement'!$E$3:$R$183,180,0)</f>
        <v>208472.60000000003</v>
      </c>
    </row>
    <row r="22" spans="2:5" x14ac:dyDescent="0.3">
      <c r="B22" s="53"/>
      <c r="C22" s="53"/>
      <c r="D22" s="53"/>
      <c r="E22" s="56"/>
    </row>
    <row r="23" spans="2:5" x14ac:dyDescent="0.3">
      <c r="B23" s="54"/>
      <c r="C23" s="54"/>
      <c r="D23" s="55" t="s">
        <v>237</v>
      </c>
      <c r="E23" s="62">
        <f>E19-E21</f>
        <v>545508.19999999995</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2020'!$E$3:$R$3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workbookViewId="0">
      <pane xSplit="5" ySplit="3" topLeftCell="K4" activePane="bottomRight" state="frozen"/>
      <selection activeCell="F155" sqref="F155"/>
      <selection pane="topRight" activeCell="F155" sqref="F155"/>
      <selection pane="bottomLeft" activeCell="F155" sqref="F155"/>
      <selection pane="bottomRight" activeCell="F155" sqref="F155"/>
    </sheetView>
  </sheetViews>
  <sheetFormatPr baseColWidth="10" defaultRowHeight="14.4" x14ac:dyDescent="0.3"/>
  <cols>
    <col min="1" max="3" width="4.6640625" customWidth="1"/>
    <col min="4" max="4" width="9" customWidth="1"/>
    <col min="5" max="5" width="63.5546875" customWidth="1"/>
    <col min="6" max="17" width="16.33203125" customWidth="1"/>
    <col min="18" max="18" width="18.109375" customWidth="1"/>
    <col min="19" max="19" width="16.33203125" customWidth="1"/>
  </cols>
  <sheetData>
    <row r="1" spans="1:20" ht="25.8" x14ac:dyDescent="0.5">
      <c r="A1" s="42" t="s">
        <v>245</v>
      </c>
      <c r="B1" s="7"/>
      <c r="C1" s="7"/>
      <c r="D1" s="7"/>
      <c r="E1" s="78"/>
    </row>
    <row r="2" spans="1:20" ht="18" x14ac:dyDescent="0.35">
      <c r="A2" s="201" t="s">
        <v>766</v>
      </c>
      <c r="F2" s="57">
        <v>1</v>
      </c>
      <c r="G2" s="57">
        <v>2</v>
      </c>
      <c r="H2" s="57">
        <v>3</v>
      </c>
      <c r="I2" s="57">
        <v>4</v>
      </c>
      <c r="J2" s="57">
        <v>5</v>
      </c>
      <c r="K2" s="57">
        <v>6</v>
      </c>
      <c r="L2" s="57">
        <v>7</v>
      </c>
      <c r="M2" s="57">
        <v>8</v>
      </c>
      <c r="N2" s="57">
        <v>9</v>
      </c>
      <c r="O2" s="57">
        <v>10</v>
      </c>
      <c r="P2" s="57">
        <v>11</v>
      </c>
      <c r="Q2" s="57">
        <v>12</v>
      </c>
      <c r="R2" s="57">
        <v>13</v>
      </c>
      <c r="S2" s="57">
        <f>SUM(F2:R2)</f>
        <v>91</v>
      </c>
    </row>
    <row r="3" spans="1:20" x14ac:dyDescent="0.3">
      <c r="F3" s="43" t="s">
        <v>56</v>
      </c>
      <c r="G3" s="43" t="s">
        <v>18</v>
      </c>
      <c r="H3" s="43" t="s">
        <v>57</v>
      </c>
      <c r="I3" s="43" t="s">
        <v>770</v>
      </c>
      <c r="J3" s="43" t="s">
        <v>33</v>
      </c>
      <c r="K3" s="43" t="s">
        <v>28</v>
      </c>
      <c r="L3" s="43" t="s">
        <v>771</v>
      </c>
      <c r="M3" s="43" t="s">
        <v>16</v>
      </c>
      <c r="N3" s="43" t="s">
        <v>772</v>
      </c>
      <c r="O3" s="43" t="s">
        <v>773</v>
      </c>
      <c r="P3" s="43" t="s">
        <v>59</v>
      </c>
      <c r="Q3" s="43" t="s">
        <v>774</v>
      </c>
      <c r="R3" s="43" t="s">
        <v>775</v>
      </c>
      <c r="S3" s="47" t="s">
        <v>65</v>
      </c>
    </row>
    <row r="4" spans="1:20" ht="21" x14ac:dyDescent="0.4">
      <c r="A4" s="73">
        <v>1</v>
      </c>
      <c r="B4" s="73"/>
      <c r="C4" s="73"/>
      <c r="D4" s="73"/>
      <c r="E4" s="73" t="s">
        <v>246</v>
      </c>
      <c r="F4" s="87">
        <f>F6+F14+F24+F30+F40+F47+F53+F61+F68+F79+F85+F96+F107</f>
        <v>10598676.65</v>
      </c>
      <c r="G4" s="87">
        <f t="shared" ref="G4:R4" si="0">G6+G14+G24+G30+G40+G47+G53+G61+G68+G79+G85+G96+G107</f>
        <v>0</v>
      </c>
      <c r="H4" s="87">
        <f t="shared" si="0"/>
        <v>1075855.0699999998</v>
      </c>
      <c r="I4" s="87">
        <f t="shared" si="0"/>
        <v>846345.96</v>
      </c>
      <c r="J4" s="87">
        <f t="shared" si="0"/>
        <v>2741475.79</v>
      </c>
      <c r="K4" s="87">
        <f t="shared" si="0"/>
        <v>33840776.82</v>
      </c>
      <c r="L4" s="87">
        <f t="shared" si="0"/>
        <v>0</v>
      </c>
      <c r="M4" s="87">
        <f t="shared" si="0"/>
        <v>0</v>
      </c>
      <c r="N4" s="87">
        <f t="shared" si="0"/>
        <v>0</v>
      </c>
      <c r="O4" s="87">
        <f t="shared" si="0"/>
        <v>0</v>
      </c>
      <c r="P4" s="87">
        <f t="shared" si="0"/>
        <v>2594873.75</v>
      </c>
      <c r="Q4" s="87">
        <f t="shared" si="0"/>
        <v>0</v>
      </c>
      <c r="R4" s="87">
        <f t="shared" si="0"/>
        <v>0</v>
      </c>
      <c r="S4" s="87">
        <f t="shared" ref="S4:S12" si="1">SUM(F4:R4)</f>
        <v>51698004.039999999</v>
      </c>
      <c r="T4">
        <v>2</v>
      </c>
    </row>
    <row r="5" spans="1:20" x14ac:dyDescent="0.3">
      <c r="A5" s="78"/>
      <c r="B5" s="74">
        <v>10</v>
      </c>
      <c r="C5" s="74"/>
      <c r="D5" s="74"/>
      <c r="E5" s="74" t="s">
        <v>247</v>
      </c>
      <c r="F5" s="75">
        <f>F6+F14+F24+F30+F40+F47+F53+F61</f>
        <v>8294311.7999999998</v>
      </c>
      <c r="G5" s="75">
        <f t="shared" ref="G5:R5" si="2">G6+G14+G24+G30+G40+G47+G53+G61</f>
        <v>0</v>
      </c>
      <c r="H5" s="75">
        <f t="shared" si="2"/>
        <v>426496.12</v>
      </c>
      <c r="I5" s="75">
        <f t="shared" si="2"/>
        <v>274576.96000000002</v>
      </c>
      <c r="J5" s="75">
        <f t="shared" si="2"/>
        <v>1295252.44</v>
      </c>
      <c r="K5" s="75">
        <f t="shared" si="2"/>
        <v>31488589.369999997</v>
      </c>
      <c r="L5" s="75">
        <f t="shared" si="2"/>
        <v>0</v>
      </c>
      <c r="M5" s="75">
        <f t="shared" si="2"/>
        <v>0</v>
      </c>
      <c r="N5" s="75">
        <f t="shared" si="2"/>
        <v>0</v>
      </c>
      <c r="O5" s="75">
        <f t="shared" si="2"/>
        <v>0</v>
      </c>
      <c r="P5" s="75">
        <f t="shared" si="2"/>
        <v>1298489.6000000001</v>
      </c>
      <c r="Q5" s="75">
        <f t="shared" si="2"/>
        <v>0</v>
      </c>
      <c r="R5" s="75">
        <f t="shared" si="2"/>
        <v>0</v>
      </c>
      <c r="S5" s="75">
        <f t="shared" si="1"/>
        <v>43077716.289999999</v>
      </c>
      <c r="T5">
        <v>3</v>
      </c>
    </row>
    <row r="6" spans="1:20" x14ac:dyDescent="0.3">
      <c r="A6" s="79"/>
      <c r="B6" s="79"/>
      <c r="C6" s="69">
        <v>100</v>
      </c>
      <c r="D6" s="69"/>
      <c r="E6" s="69" t="s">
        <v>248</v>
      </c>
      <c r="F6" s="70">
        <f>F7+F8+F9+F10+F11+F12</f>
        <v>1238555.7</v>
      </c>
      <c r="G6" s="70">
        <f t="shared" ref="G6:R6" si="3">G7+G8+G9+G10+G11+G12</f>
        <v>0</v>
      </c>
      <c r="H6" s="70">
        <f t="shared" si="3"/>
        <v>135771.22</v>
      </c>
      <c r="I6" s="70">
        <f t="shared" si="3"/>
        <v>261593.04</v>
      </c>
      <c r="J6" s="70">
        <f t="shared" si="3"/>
        <v>578368.74</v>
      </c>
      <c r="K6" s="70">
        <f t="shared" si="3"/>
        <v>1011426.0800000001</v>
      </c>
      <c r="L6" s="70">
        <f t="shared" si="3"/>
        <v>0</v>
      </c>
      <c r="M6" s="70">
        <f t="shared" si="3"/>
        <v>0</v>
      </c>
      <c r="N6" s="70">
        <f t="shared" si="3"/>
        <v>0</v>
      </c>
      <c r="O6" s="70">
        <f t="shared" si="3"/>
        <v>0</v>
      </c>
      <c r="P6" s="70">
        <f t="shared" si="3"/>
        <v>684048.64</v>
      </c>
      <c r="Q6" s="70">
        <f t="shared" si="3"/>
        <v>0</v>
      </c>
      <c r="R6" s="70">
        <f t="shared" si="3"/>
        <v>0</v>
      </c>
      <c r="S6" s="70">
        <f t="shared" si="1"/>
        <v>3909763.4200000004</v>
      </c>
      <c r="T6">
        <v>4</v>
      </c>
    </row>
    <row r="7" spans="1:20" x14ac:dyDescent="0.3">
      <c r="D7">
        <v>1000</v>
      </c>
      <c r="E7" t="s">
        <v>322</v>
      </c>
      <c r="F7" s="4">
        <v>1464.65</v>
      </c>
      <c r="G7" s="4"/>
      <c r="H7" s="4">
        <v>1624.62</v>
      </c>
      <c r="I7" s="4">
        <v>479.2</v>
      </c>
      <c r="J7" s="4">
        <v>190.2</v>
      </c>
      <c r="K7" s="4">
        <v>1966.95</v>
      </c>
      <c r="L7" s="4"/>
      <c r="M7" s="4"/>
      <c r="N7" s="4"/>
      <c r="O7" s="4"/>
      <c r="P7" s="4">
        <v>176.4</v>
      </c>
      <c r="Q7" s="4"/>
      <c r="R7" s="4"/>
      <c r="S7" s="80">
        <f t="shared" si="1"/>
        <v>5902.0199999999995</v>
      </c>
      <c r="T7">
        <v>5</v>
      </c>
    </row>
    <row r="8" spans="1:20" x14ac:dyDescent="0.3">
      <c r="D8">
        <v>1001</v>
      </c>
      <c r="E8" t="s">
        <v>323</v>
      </c>
      <c r="F8" s="4">
        <v>1364.71</v>
      </c>
      <c r="G8" s="4"/>
      <c r="H8" s="4">
        <v>45188.99</v>
      </c>
      <c r="I8" s="4">
        <v>0</v>
      </c>
      <c r="J8" s="4">
        <v>122667.1</v>
      </c>
      <c r="K8" s="4">
        <v>25523.09</v>
      </c>
      <c r="L8" s="4"/>
      <c r="M8" s="4"/>
      <c r="N8" s="4"/>
      <c r="O8" s="4"/>
      <c r="P8" s="4">
        <v>0</v>
      </c>
      <c r="Q8" s="4"/>
      <c r="R8" s="4"/>
      <c r="S8" s="80">
        <f t="shared" si="1"/>
        <v>194743.88999999998</v>
      </c>
      <c r="T8">
        <v>6</v>
      </c>
    </row>
    <row r="9" spans="1:20" x14ac:dyDescent="0.3">
      <c r="D9">
        <v>1002</v>
      </c>
      <c r="E9" t="s">
        <v>331</v>
      </c>
      <c r="F9" s="4">
        <v>1228383.3899999999</v>
      </c>
      <c r="G9" s="4"/>
      <c r="H9" s="4">
        <v>88957.61</v>
      </c>
      <c r="I9" s="4">
        <v>261113.84</v>
      </c>
      <c r="J9" s="4">
        <v>435227.34</v>
      </c>
      <c r="K9" s="4">
        <v>983936.04</v>
      </c>
      <c r="L9" s="4"/>
      <c r="M9" s="4"/>
      <c r="N9" s="4"/>
      <c r="O9" s="4"/>
      <c r="P9" s="4">
        <v>683872.24</v>
      </c>
      <c r="Q9" s="4"/>
      <c r="R9" s="4"/>
      <c r="S9" s="80">
        <f t="shared" si="1"/>
        <v>3681490.46</v>
      </c>
      <c r="T9">
        <v>7</v>
      </c>
    </row>
    <row r="10" spans="1:20" x14ac:dyDescent="0.3">
      <c r="D10">
        <v>1003</v>
      </c>
      <c r="E10" t="s">
        <v>324</v>
      </c>
      <c r="F10" s="4">
        <v>0</v>
      </c>
      <c r="G10" s="4"/>
      <c r="H10" s="4">
        <v>0</v>
      </c>
      <c r="I10" s="4">
        <v>0</v>
      </c>
      <c r="J10" s="4">
        <v>20284.099999999999</v>
      </c>
      <c r="K10" s="4">
        <v>0</v>
      </c>
      <c r="L10" s="4"/>
      <c r="M10" s="4"/>
      <c r="N10" s="4"/>
      <c r="O10" s="4"/>
      <c r="P10" s="4">
        <v>0</v>
      </c>
      <c r="Q10" s="4"/>
      <c r="R10" s="4"/>
      <c r="S10" s="80">
        <f t="shared" si="1"/>
        <v>20284.099999999999</v>
      </c>
      <c r="T10">
        <v>8</v>
      </c>
    </row>
    <row r="11" spans="1:20" x14ac:dyDescent="0.3">
      <c r="D11">
        <v>1004</v>
      </c>
      <c r="E11" t="s">
        <v>325</v>
      </c>
      <c r="F11" s="4">
        <v>7342.95</v>
      </c>
      <c r="G11" s="4"/>
      <c r="H11" s="4">
        <v>0</v>
      </c>
      <c r="I11" s="4">
        <v>0</v>
      </c>
      <c r="J11" s="4">
        <v>0</v>
      </c>
      <c r="K11" s="4">
        <v>0</v>
      </c>
      <c r="L11" s="4"/>
      <c r="M11" s="4"/>
      <c r="N11" s="4"/>
      <c r="O11" s="4"/>
      <c r="P11" s="4">
        <v>0</v>
      </c>
      <c r="Q11" s="4"/>
      <c r="R11" s="4"/>
      <c r="S11" s="80">
        <f t="shared" si="1"/>
        <v>7342.95</v>
      </c>
      <c r="T11">
        <v>9</v>
      </c>
    </row>
    <row r="12" spans="1:20" x14ac:dyDescent="0.3">
      <c r="D12">
        <v>1009</v>
      </c>
      <c r="E12" t="s">
        <v>326</v>
      </c>
      <c r="F12" s="4">
        <v>0</v>
      </c>
      <c r="G12" s="4"/>
      <c r="H12" s="4">
        <v>0</v>
      </c>
      <c r="I12" s="4">
        <v>0</v>
      </c>
      <c r="J12" s="4">
        <v>0</v>
      </c>
      <c r="K12" s="4">
        <v>0</v>
      </c>
      <c r="L12" s="4"/>
      <c r="M12" s="4"/>
      <c r="N12" s="4"/>
      <c r="O12" s="4"/>
      <c r="P12" s="4">
        <v>0</v>
      </c>
      <c r="Q12" s="4"/>
      <c r="R12" s="4"/>
      <c r="S12" s="80">
        <f t="shared" si="1"/>
        <v>0</v>
      </c>
      <c r="T12">
        <v>10</v>
      </c>
    </row>
    <row r="13" spans="1:20" x14ac:dyDescent="0.3">
      <c r="F13" s="4"/>
      <c r="G13" s="4"/>
      <c r="H13" s="4"/>
      <c r="I13" s="4"/>
      <c r="J13" s="4"/>
      <c r="K13" s="4"/>
      <c r="L13" s="4"/>
      <c r="M13" s="4"/>
      <c r="N13" s="4"/>
      <c r="O13" s="4"/>
      <c r="P13" s="4"/>
      <c r="Q13" s="4"/>
      <c r="R13" s="4"/>
      <c r="S13" s="80"/>
      <c r="T13">
        <v>11</v>
      </c>
    </row>
    <row r="14" spans="1:20" x14ac:dyDescent="0.3">
      <c r="A14" s="79"/>
      <c r="B14" s="79"/>
      <c r="C14" s="69">
        <v>101</v>
      </c>
      <c r="D14" s="69"/>
      <c r="E14" s="69" t="s">
        <v>249</v>
      </c>
      <c r="F14" s="70">
        <f>F15+F16+F17+F18+F19+F20+F21+F22</f>
        <v>18007.2</v>
      </c>
      <c r="G14" s="70">
        <f t="shared" ref="G14:R14" si="4">G15+G16+G17+G18+G19+G20+G21+G22</f>
        <v>0</v>
      </c>
      <c r="H14" s="70">
        <f t="shared" si="4"/>
        <v>1.75</v>
      </c>
      <c r="I14" s="70">
        <f t="shared" si="4"/>
        <v>12742.42</v>
      </c>
      <c r="J14" s="70">
        <f t="shared" si="4"/>
        <v>1000</v>
      </c>
      <c r="K14" s="70">
        <f t="shared" si="4"/>
        <v>3389056.94</v>
      </c>
      <c r="L14" s="70">
        <f t="shared" si="4"/>
        <v>0</v>
      </c>
      <c r="M14" s="70">
        <f t="shared" si="4"/>
        <v>0</v>
      </c>
      <c r="N14" s="70">
        <f t="shared" si="4"/>
        <v>0</v>
      </c>
      <c r="O14" s="70">
        <f t="shared" si="4"/>
        <v>0</v>
      </c>
      <c r="P14" s="70">
        <f t="shared" si="4"/>
        <v>0.31</v>
      </c>
      <c r="Q14" s="70">
        <f t="shared" si="4"/>
        <v>0</v>
      </c>
      <c r="R14" s="70">
        <f t="shared" si="4"/>
        <v>0</v>
      </c>
      <c r="S14" s="70">
        <f t="shared" ref="S14:S22" si="5">SUM(F14:R14)</f>
        <v>3420808.62</v>
      </c>
      <c r="T14">
        <v>12</v>
      </c>
    </row>
    <row r="15" spans="1:20" x14ac:dyDescent="0.3">
      <c r="D15">
        <v>1010</v>
      </c>
      <c r="E15" t="s">
        <v>327</v>
      </c>
      <c r="F15" s="4">
        <v>17935.45</v>
      </c>
      <c r="G15" s="4"/>
      <c r="H15" s="4">
        <v>0</v>
      </c>
      <c r="I15" s="4">
        <v>0</v>
      </c>
      <c r="J15" s="4">
        <v>1000</v>
      </c>
      <c r="K15" s="4">
        <v>3389056.94</v>
      </c>
      <c r="L15" s="4"/>
      <c r="M15" s="4"/>
      <c r="N15" s="4"/>
      <c r="O15" s="4"/>
      <c r="P15" s="4">
        <v>0.31</v>
      </c>
      <c r="Q15" s="4"/>
      <c r="R15" s="4"/>
      <c r="S15" s="80">
        <f t="shared" si="5"/>
        <v>3407992.7</v>
      </c>
      <c r="T15">
        <v>13</v>
      </c>
    </row>
    <row r="16" spans="1:20" x14ac:dyDescent="0.3">
      <c r="D16">
        <v>1011</v>
      </c>
      <c r="E16" t="s">
        <v>408</v>
      </c>
      <c r="F16" s="4">
        <v>0</v>
      </c>
      <c r="G16" s="4"/>
      <c r="H16" s="4">
        <v>0</v>
      </c>
      <c r="I16" s="4">
        <v>12742.42</v>
      </c>
      <c r="J16" s="4">
        <v>0</v>
      </c>
      <c r="K16" s="4">
        <v>0</v>
      </c>
      <c r="L16" s="4"/>
      <c r="M16" s="4"/>
      <c r="N16" s="4"/>
      <c r="O16" s="4"/>
      <c r="P16" s="4">
        <v>0</v>
      </c>
      <c r="Q16" s="4"/>
      <c r="R16" s="4"/>
      <c r="S16" s="80">
        <f t="shared" si="5"/>
        <v>12742.42</v>
      </c>
      <c r="T16">
        <v>14</v>
      </c>
    </row>
    <row r="17" spans="3:20" x14ac:dyDescent="0.3">
      <c r="D17">
        <v>1012</v>
      </c>
      <c r="E17" t="s">
        <v>328</v>
      </c>
      <c r="F17" s="4">
        <v>0</v>
      </c>
      <c r="G17" s="4"/>
      <c r="H17" s="4">
        <v>0</v>
      </c>
      <c r="I17" s="4">
        <v>0</v>
      </c>
      <c r="J17" s="4">
        <v>0</v>
      </c>
      <c r="K17" s="4">
        <v>0</v>
      </c>
      <c r="L17" s="4"/>
      <c r="M17" s="4"/>
      <c r="N17" s="4"/>
      <c r="O17" s="4"/>
      <c r="P17" s="4">
        <v>0</v>
      </c>
      <c r="Q17" s="4"/>
      <c r="R17" s="4"/>
      <c r="S17" s="80">
        <f t="shared" si="5"/>
        <v>0</v>
      </c>
      <c r="T17">
        <v>15</v>
      </c>
    </row>
    <row r="18" spans="3:20" x14ac:dyDescent="0.3">
      <c r="D18">
        <v>1013</v>
      </c>
      <c r="E18" t="s">
        <v>329</v>
      </c>
      <c r="F18" s="4">
        <v>0</v>
      </c>
      <c r="G18" s="4"/>
      <c r="H18" s="4">
        <v>0</v>
      </c>
      <c r="I18" s="4">
        <v>0</v>
      </c>
      <c r="J18" s="4">
        <v>0</v>
      </c>
      <c r="K18" s="4">
        <v>0</v>
      </c>
      <c r="L18" s="4"/>
      <c r="M18" s="4"/>
      <c r="N18" s="4"/>
      <c r="O18" s="4"/>
      <c r="P18" s="4">
        <v>0</v>
      </c>
      <c r="Q18" s="4"/>
      <c r="R18" s="4"/>
      <c r="S18" s="80">
        <f t="shared" si="5"/>
        <v>0</v>
      </c>
      <c r="T18">
        <v>16</v>
      </c>
    </row>
    <row r="19" spans="3:20" x14ac:dyDescent="0.3">
      <c r="D19">
        <v>1014</v>
      </c>
      <c r="E19" t="s">
        <v>330</v>
      </c>
      <c r="F19" s="4">
        <v>0</v>
      </c>
      <c r="G19" s="4"/>
      <c r="H19" s="4">
        <v>0</v>
      </c>
      <c r="I19" s="4">
        <v>0</v>
      </c>
      <c r="J19" s="4">
        <v>0</v>
      </c>
      <c r="K19" s="4">
        <v>0</v>
      </c>
      <c r="L19" s="4"/>
      <c r="M19" s="4"/>
      <c r="N19" s="4"/>
      <c r="O19" s="4"/>
      <c r="P19" s="4">
        <v>0</v>
      </c>
      <c r="Q19" s="4"/>
      <c r="R19" s="4"/>
      <c r="S19" s="80">
        <f t="shared" si="5"/>
        <v>0</v>
      </c>
      <c r="T19">
        <v>17</v>
      </c>
    </row>
    <row r="20" spans="3:20" x14ac:dyDescent="0.3">
      <c r="D20">
        <v>1015</v>
      </c>
      <c r="E20" t="s">
        <v>332</v>
      </c>
      <c r="F20" s="4">
        <v>0</v>
      </c>
      <c r="G20" s="4"/>
      <c r="H20" s="4">
        <v>0</v>
      </c>
      <c r="I20" s="4">
        <v>0</v>
      </c>
      <c r="J20" s="4">
        <v>0</v>
      </c>
      <c r="K20" s="4">
        <v>0</v>
      </c>
      <c r="L20" s="4"/>
      <c r="M20" s="4"/>
      <c r="N20" s="4"/>
      <c r="O20" s="4"/>
      <c r="P20" s="4">
        <v>0</v>
      </c>
      <c r="Q20" s="4"/>
      <c r="R20" s="4"/>
      <c r="S20" s="80">
        <f t="shared" si="5"/>
        <v>0</v>
      </c>
      <c r="T20">
        <v>18</v>
      </c>
    </row>
    <row r="21" spans="3:20" x14ac:dyDescent="0.3">
      <c r="D21">
        <v>1016</v>
      </c>
      <c r="E21" t="s">
        <v>333</v>
      </c>
      <c r="F21" s="4">
        <v>0</v>
      </c>
      <c r="G21" s="4"/>
      <c r="H21" s="4">
        <v>0</v>
      </c>
      <c r="I21" s="4">
        <v>0</v>
      </c>
      <c r="J21" s="4">
        <v>0</v>
      </c>
      <c r="K21" s="4">
        <v>0</v>
      </c>
      <c r="L21" s="4"/>
      <c r="M21" s="4"/>
      <c r="N21" s="4"/>
      <c r="O21" s="4"/>
      <c r="P21" s="4">
        <v>0</v>
      </c>
      <c r="Q21" s="4"/>
      <c r="R21" s="4"/>
      <c r="S21" s="80">
        <f t="shared" si="5"/>
        <v>0</v>
      </c>
      <c r="T21">
        <v>19</v>
      </c>
    </row>
    <row r="22" spans="3:20" x14ac:dyDescent="0.3">
      <c r="D22">
        <v>1019</v>
      </c>
      <c r="E22" t="s">
        <v>334</v>
      </c>
      <c r="F22" s="4">
        <v>71.75</v>
      </c>
      <c r="G22" s="4"/>
      <c r="H22" s="4">
        <v>1.75</v>
      </c>
      <c r="I22" s="4">
        <v>0</v>
      </c>
      <c r="J22" s="4">
        <v>0</v>
      </c>
      <c r="K22" s="4">
        <v>0</v>
      </c>
      <c r="L22" s="4"/>
      <c r="M22" s="4"/>
      <c r="N22" s="4"/>
      <c r="O22" s="4"/>
      <c r="P22" s="4">
        <v>0</v>
      </c>
      <c r="Q22" s="4"/>
      <c r="R22" s="4"/>
      <c r="S22" s="80">
        <f t="shared" si="5"/>
        <v>73.5</v>
      </c>
      <c r="T22">
        <v>20</v>
      </c>
    </row>
    <row r="23" spans="3:20" x14ac:dyDescent="0.3">
      <c r="F23" s="4"/>
      <c r="G23" s="4"/>
      <c r="H23" s="4"/>
      <c r="I23" s="4"/>
      <c r="J23" s="4"/>
      <c r="K23" s="4"/>
      <c r="L23" s="4"/>
      <c r="M23" s="4"/>
      <c r="N23" s="4"/>
      <c r="O23" s="4"/>
      <c r="P23" s="4"/>
      <c r="Q23" s="4"/>
      <c r="R23" s="4"/>
      <c r="S23" s="80"/>
      <c r="T23">
        <v>21</v>
      </c>
    </row>
    <row r="24" spans="3:20" x14ac:dyDescent="0.3">
      <c r="C24" s="69">
        <v>102</v>
      </c>
      <c r="D24" s="69"/>
      <c r="E24" s="69" t="s">
        <v>250</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SUM(F24:R24)</f>
        <v>0</v>
      </c>
      <c r="T24">
        <v>22</v>
      </c>
    </row>
    <row r="25" spans="3:20" x14ac:dyDescent="0.3">
      <c r="D25">
        <v>1020</v>
      </c>
      <c r="E25" t="s">
        <v>335</v>
      </c>
      <c r="F25" s="4">
        <v>0</v>
      </c>
      <c r="G25" s="4"/>
      <c r="H25" s="4">
        <v>0</v>
      </c>
      <c r="I25" s="4">
        <v>0</v>
      </c>
      <c r="J25" s="4">
        <v>0</v>
      </c>
      <c r="K25" s="4">
        <v>0</v>
      </c>
      <c r="L25" s="4"/>
      <c r="M25" s="4"/>
      <c r="N25" s="4"/>
      <c r="O25" s="4"/>
      <c r="P25" s="4">
        <v>0</v>
      </c>
      <c r="Q25" s="4"/>
      <c r="R25" s="4"/>
      <c r="S25" s="80">
        <f>SUM(F25:R25)</f>
        <v>0</v>
      </c>
      <c r="T25">
        <v>23</v>
      </c>
    </row>
    <row r="26" spans="3:20" x14ac:dyDescent="0.3">
      <c r="D26">
        <v>1022</v>
      </c>
      <c r="E26" t="s">
        <v>336</v>
      </c>
      <c r="F26" s="4">
        <v>0</v>
      </c>
      <c r="G26" s="4"/>
      <c r="H26" s="4">
        <v>0</v>
      </c>
      <c r="I26" s="4">
        <v>0</v>
      </c>
      <c r="J26" s="4">
        <v>0</v>
      </c>
      <c r="K26" s="4">
        <v>0</v>
      </c>
      <c r="L26" s="4"/>
      <c r="M26" s="4"/>
      <c r="N26" s="4"/>
      <c r="O26" s="4"/>
      <c r="P26" s="4">
        <v>0</v>
      </c>
      <c r="Q26" s="4"/>
      <c r="R26" s="4"/>
      <c r="S26" s="80">
        <f>SUM(F26:R26)</f>
        <v>0</v>
      </c>
      <c r="T26">
        <v>24</v>
      </c>
    </row>
    <row r="27" spans="3:20" x14ac:dyDescent="0.3">
      <c r="D27">
        <v>1023</v>
      </c>
      <c r="E27" t="s">
        <v>337</v>
      </c>
      <c r="F27" s="4">
        <v>0</v>
      </c>
      <c r="G27" s="4"/>
      <c r="H27" s="4">
        <v>0</v>
      </c>
      <c r="I27" s="4">
        <v>0</v>
      </c>
      <c r="J27" s="4">
        <v>0</v>
      </c>
      <c r="K27" s="4">
        <v>0</v>
      </c>
      <c r="L27" s="4"/>
      <c r="M27" s="4"/>
      <c r="N27" s="4"/>
      <c r="O27" s="4"/>
      <c r="P27" s="4">
        <v>0</v>
      </c>
      <c r="Q27" s="4"/>
      <c r="R27" s="4"/>
      <c r="S27" s="80">
        <f>SUM(F27:R27)</f>
        <v>0</v>
      </c>
      <c r="T27">
        <v>25</v>
      </c>
    </row>
    <row r="28" spans="3:20" x14ac:dyDescent="0.3">
      <c r="D28">
        <v>1029</v>
      </c>
      <c r="E28" t="s">
        <v>338</v>
      </c>
      <c r="F28" s="4">
        <v>0</v>
      </c>
      <c r="G28" s="4"/>
      <c r="H28" s="4">
        <v>0</v>
      </c>
      <c r="I28" s="4">
        <v>0</v>
      </c>
      <c r="J28" s="4">
        <v>0</v>
      </c>
      <c r="K28" s="4">
        <v>0</v>
      </c>
      <c r="L28" s="4"/>
      <c r="M28" s="4"/>
      <c r="N28" s="4"/>
      <c r="O28" s="4"/>
      <c r="P28" s="4">
        <v>0</v>
      </c>
      <c r="Q28" s="4"/>
      <c r="R28" s="4"/>
      <c r="S28" s="80">
        <f>SUM(F28:R28)</f>
        <v>0</v>
      </c>
      <c r="T28">
        <v>26</v>
      </c>
    </row>
    <row r="29" spans="3:20" x14ac:dyDescent="0.3">
      <c r="F29" s="4"/>
      <c r="G29" s="4"/>
      <c r="H29" s="4"/>
      <c r="I29" s="4"/>
      <c r="J29" s="4"/>
      <c r="K29" s="4"/>
      <c r="L29" s="4"/>
      <c r="M29" s="4"/>
      <c r="N29" s="4"/>
      <c r="O29" s="4"/>
      <c r="P29" s="4"/>
      <c r="Q29" s="4"/>
      <c r="R29" s="4"/>
      <c r="S29" s="80"/>
      <c r="T29">
        <v>27</v>
      </c>
    </row>
    <row r="30" spans="3:20" x14ac:dyDescent="0.3">
      <c r="C30" s="69">
        <v>104</v>
      </c>
      <c r="D30" s="69"/>
      <c r="E30" s="69" t="s">
        <v>251</v>
      </c>
      <c r="F30" s="70">
        <f>F31+F32+F33+F34+F35+F36+F37+F38</f>
        <v>12961</v>
      </c>
      <c r="G30" s="70">
        <f t="shared" ref="G30:R30" si="7">G31+G32+G33+G34+G35+G36+G37+G38</f>
        <v>0</v>
      </c>
      <c r="H30" s="70">
        <f t="shared" si="7"/>
        <v>125</v>
      </c>
      <c r="I30" s="70">
        <f t="shared" si="7"/>
        <v>235.5</v>
      </c>
      <c r="J30" s="70">
        <f t="shared" si="7"/>
        <v>4239.7</v>
      </c>
      <c r="K30" s="70">
        <f t="shared" si="7"/>
        <v>406.35</v>
      </c>
      <c r="L30" s="70">
        <f t="shared" si="7"/>
        <v>0</v>
      </c>
      <c r="M30" s="70">
        <f t="shared" si="7"/>
        <v>0</v>
      </c>
      <c r="N30" s="70">
        <f t="shared" si="7"/>
        <v>0</v>
      </c>
      <c r="O30" s="70">
        <f t="shared" si="7"/>
        <v>0</v>
      </c>
      <c r="P30" s="70">
        <f t="shared" si="7"/>
        <v>4688.6499999999996</v>
      </c>
      <c r="Q30" s="70">
        <f t="shared" si="7"/>
        <v>0</v>
      </c>
      <c r="R30" s="70">
        <f t="shared" si="7"/>
        <v>0</v>
      </c>
      <c r="S30" s="70">
        <f t="shared" ref="S30:S38" si="8">SUM(F30:R30)</f>
        <v>22656.199999999997</v>
      </c>
      <c r="T30">
        <v>28</v>
      </c>
    </row>
    <row r="31" spans="3:20" x14ac:dyDescent="0.3">
      <c r="D31">
        <v>1040</v>
      </c>
      <c r="E31" t="s">
        <v>61</v>
      </c>
      <c r="F31" s="4">
        <v>0</v>
      </c>
      <c r="G31" s="4"/>
      <c r="H31" s="4">
        <v>0</v>
      </c>
      <c r="I31" s="4">
        <v>0</v>
      </c>
      <c r="J31" s="4">
        <v>4239.7</v>
      </c>
      <c r="K31" s="4">
        <v>0</v>
      </c>
      <c r="L31" s="4"/>
      <c r="M31" s="4"/>
      <c r="N31" s="4"/>
      <c r="O31" s="4"/>
      <c r="P31" s="4">
        <v>0</v>
      </c>
      <c r="Q31" s="4"/>
      <c r="R31" s="4"/>
      <c r="S31" s="80">
        <f t="shared" si="8"/>
        <v>4239.7</v>
      </c>
      <c r="T31">
        <v>29</v>
      </c>
    </row>
    <row r="32" spans="3:20" x14ac:dyDescent="0.3">
      <c r="D32">
        <v>1041</v>
      </c>
      <c r="E32" t="s">
        <v>339</v>
      </c>
      <c r="F32" s="4">
        <v>12961</v>
      </c>
      <c r="G32" s="4"/>
      <c r="H32" s="4">
        <v>0</v>
      </c>
      <c r="I32" s="4">
        <v>0</v>
      </c>
      <c r="J32" s="4">
        <v>0</v>
      </c>
      <c r="K32" s="4">
        <v>0</v>
      </c>
      <c r="L32" s="4"/>
      <c r="M32" s="4"/>
      <c r="N32" s="4"/>
      <c r="O32" s="4"/>
      <c r="P32" s="4">
        <v>0</v>
      </c>
      <c r="Q32" s="4"/>
      <c r="R32" s="4"/>
      <c r="S32" s="80">
        <f t="shared" si="8"/>
        <v>12961</v>
      </c>
      <c r="T32">
        <v>30</v>
      </c>
    </row>
    <row r="33" spans="3:20" x14ac:dyDescent="0.3">
      <c r="D33">
        <v>1042</v>
      </c>
      <c r="E33" t="s">
        <v>340</v>
      </c>
      <c r="F33" s="4">
        <v>0</v>
      </c>
      <c r="G33" s="4"/>
      <c r="H33" s="4">
        <v>0</v>
      </c>
      <c r="I33" s="4">
        <v>0</v>
      </c>
      <c r="J33" s="4">
        <v>0</v>
      </c>
      <c r="K33" s="4">
        <v>0</v>
      </c>
      <c r="L33" s="4"/>
      <c r="M33" s="4"/>
      <c r="N33" s="4"/>
      <c r="O33" s="4"/>
      <c r="P33" s="4">
        <v>0</v>
      </c>
      <c r="Q33" s="4"/>
      <c r="R33" s="4"/>
      <c r="S33" s="80">
        <f t="shared" si="8"/>
        <v>0</v>
      </c>
      <c r="T33">
        <v>31</v>
      </c>
    </row>
    <row r="34" spans="3:20" x14ac:dyDescent="0.3">
      <c r="D34">
        <v>1043</v>
      </c>
      <c r="E34" t="s">
        <v>341</v>
      </c>
      <c r="F34" s="4">
        <v>0</v>
      </c>
      <c r="G34" s="4"/>
      <c r="H34" s="4">
        <v>0</v>
      </c>
      <c r="I34" s="4">
        <v>0</v>
      </c>
      <c r="J34" s="4">
        <v>0</v>
      </c>
      <c r="K34" s="4">
        <v>0</v>
      </c>
      <c r="L34" s="4"/>
      <c r="M34" s="4"/>
      <c r="N34" s="4"/>
      <c r="O34" s="4"/>
      <c r="P34" s="4">
        <v>0</v>
      </c>
      <c r="Q34" s="4"/>
      <c r="R34" s="4"/>
      <c r="S34" s="80">
        <f t="shared" si="8"/>
        <v>0</v>
      </c>
      <c r="T34">
        <v>32</v>
      </c>
    </row>
    <row r="35" spans="3:20" x14ac:dyDescent="0.3">
      <c r="D35">
        <v>1044</v>
      </c>
      <c r="E35" t="s">
        <v>342</v>
      </c>
      <c r="F35" s="4">
        <v>0</v>
      </c>
      <c r="G35" s="4"/>
      <c r="H35" s="4">
        <v>125</v>
      </c>
      <c r="I35" s="4">
        <v>0</v>
      </c>
      <c r="J35" s="4">
        <v>0</v>
      </c>
      <c r="K35" s="4">
        <v>0</v>
      </c>
      <c r="L35" s="4"/>
      <c r="M35" s="4"/>
      <c r="N35" s="4"/>
      <c r="O35" s="4"/>
      <c r="P35" s="4">
        <v>0</v>
      </c>
      <c r="Q35" s="4"/>
      <c r="R35" s="4"/>
      <c r="S35" s="80">
        <f t="shared" si="8"/>
        <v>125</v>
      </c>
      <c r="T35">
        <v>33</v>
      </c>
    </row>
    <row r="36" spans="3:20" x14ac:dyDescent="0.3">
      <c r="D36">
        <v>1045</v>
      </c>
      <c r="E36" t="s">
        <v>343</v>
      </c>
      <c r="F36" s="4">
        <v>0</v>
      </c>
      <c r="G36" s="4"/>
      <c r="H36" s="4">
        <v>0</v>
      </c>
      <c r="I36" s="4">
        <v>0</v>
      </c>
      <c r="J36" s="4">
        <v>0</v>
      </c>
      <c r="K36" s="4">
        <v>0</v>
      </c>
      <c r="L36" s="4"/>
      <c r="M36" s="4"/>
      <c r="N36" s="4"/>
      <c r="O36" s="4"/>
      <c r="P36" s="4">
        <v>0</v>
      </c>
      <c r="Q36" s="4"/>
      <c r="R36" s="4"/>
      <c r="S36" s="80">
        <f t="shared" si="8"/>
        <v>0</v>
      </c>
      <c r="T36">
        <v>34</v>
      </c>
    </row>
    <row r="37" spans="3:20" x14ac:dyDescent="0.3">
      <c r="D37">
        <v>1046</v>
      </c>
      <c r="E37" t="s">
        <v>344</v>
      </c>
      <c r="F37" s="4">
        <v>0</v>
      </c>
      <c r="G37" s="4"/>
      <c r="H37" s="4">
        <v>0</v>
      </c>
      <c r="I37" s="4">
        <v>0</v>
      </c>
      <c r="J37" s="4">
        <v>0</v>
      </c>
      <c r="K37" s="4">
        <v>0</v>
      </c>
      <c r="L37" s="4"/>
      <c r="M37" s="4"/>
      <c r="N37" s="4"/>
      <c r="O37" s="4"/>
      <c r="P37" s="4">
        <v>0</v>
      </c>
      <c r="Q37" s="4"/>
      <c r="R37" s="4"/>
      <c r="S37" s="80">
        <f t="shared" si="8"/>
        <v>0</v>
      </c>
      <c r="T37">
        <v>35</v>
      </c>
    </row>
    <row r="38" spans="3:20" x14ac:dyDescent="0.3">
      <c r="D38">
        <v>1049</v>
      </c>
      <c r="E38" t="s">
        <v>345</v>
      </c>
      <c r="F38" s="4">
        <v>0</v>
      </c>
      <c r="G38" s="4"/>
      <c r="H38" s="4">
        <v>0</v>
      </c>
      <c r="I38" s="4">
        <v>235.5</v>
      </c>
      <c r="J38" s="4">
        <v>0</v>
      </c>
      <c r="K38" s="4">
        <v>406.35</v>
      </c>
      <c r="L38" s="4"/>
      <c r="M38" s="4"/>
      <c r="N38" s="4"/>
      <c r="O38" s="4"/>
      <c r="P38" s="4">
        <v>4688.6499999999996</v>
      </c>
      <c r="Q38" s="4"/>
      <c r="R38" s="4"/>
      <c r="S38" s="80">
        <f t="shared" si="8"/>
        <v>5330.5</v>
      </c>
      <c r="T38">
        <v>36</v>
      </c>
    </row>
    <row r="39" spans="3:20" x14ac:dyDescent="0.3">
      <c r="F39" s="4"/>
      <c r="G39" s="4"/>
      <c r="H39" s="4"/>
      <c r="I39" s="4"/>
      <c r="J39" s="4"/>
      <c r="K39" s="4"/>
      <c r="L39" s="4"/>
      <c r="M39" s="4"/>
      <c r="N39" s="4"/>
      <c r="O39" s="4"/>
      <c r="P39" s="4"/>
      <c r="Q39" s="4"/>
      <c r="R39" s="4"/>
      <c r="S39" s="80"/>
      <c r="T39">
        <v>37</v>
      </c>
    </row>
    <row r="40" spans="3:20" x14ac:dyDescent="0.3">
      <c r="C40" s="69">
        <v>106</v>
      </c>
      <c r="D40" s="69"/>
      <c r="E40" s="69" t="s">
        <v>252</v>
      </c>
      <c r="F40" s="70">
        <f>F41+F42+F43+F44+F45</f>
        <v>102863.3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102863.3</v>
      </c>
      <c r="T40">
        <v>38</v>
      </c>
    </row>
    <row r="41" spans="3:20" x14ac:dyDescent="0.3">
      <c r="D41">
        <v>1060</v>
      </c>
      <c r="E41" t="s">
        <v>346</v>
      </c>
      <c r="F41" s="4">
        <v>102863.3</v>
      </c>
      <c r="G41" s="4"/>
      <c r="H41" s="4">
        <v>0</v>
      </c>
      <c r="I41" s="4">
        <v>0</v>
      </c>
      <c r="J41" s="4">
        <v>0</v>
      </c>
      <c r="K41" s="4">
        <v>0</v>
      </c>
      <c r="L41" s="4"/>
      <c r="M41" s="4"/>
      <c r="N41" s="4"/>
      <c r="O41" s="4"/>
      <c r="P41" s="4">
        <v>0</v>
      </c>
      <c r="Q41" s="4"/>
      <c r="R41" s="4"/>
      <c r="S41" s="80">
        <f t="shared" si="10"/>
        <v>102863.3</v>
      </c>
      <c r="T41">
        <v>39</v>
      </c>
    </row>
    <row r="42" spans="3:20" x14ac:dyDescent="0.3">
      <c r="D42">
        <v>1061</v>
      </c>
      <c r="E42" t="s">
        <v>347</v>
      </c>
      <c r="F42" s="4">
        <v>0</v>
      </c>
      <c r="G42" s="4"/>
      <c r="H42" s="4">
        <v>0</v>
      </c>
      <c r="I42" s="4">
        <v>0</v>
      </c>
      <c r="J42" s="4">
        <v>0</v>
      </c>
      <c r="K42" s="4">
        <v>0</v>
      </c>
      <c r="L42" s="4"/>
      <c r="M42" s="4"/>
      <c r="N42" s="4"/>
      <c r="O42" s="4"/>
      <c r="P42" s="4">
        <v>0</v>
      </c>
      <c r="Q42" s="4"/>
      <c r="R42" s="4"/>
      <c r="S42" s="80">
        <f t="shared" si="10"/>
        <v>0</v>
      </c>
      <c r="T42">
        <v>40</v>
      </c>
    </row>
    <row r="43" spans="3:20" x14ac:dyDescent="0.3">
      <c r="D43">
        <v>1062</v>
      </c>
      <c r="E43" t="s">
        <v>348</v>
      </c>
      <c r="F43" s="4">
        <v>0</v>
      </c>
      <c r="G43" s="4"/>
      <c r="H43" s="4">
        <v>0</v>
      </c>
      <c r="I43" s="4">
        <v>0</v>
      </c>
      <c r="J43" s="4">
        <v>0</v>
      </c>
      <c r="K43" s="4">
        <v>0</v>
      </c>
      <c r="L43" s="4"/>
      <c r="M43" s="4"/>
      <c r="N43" s="4"/>
      <c r="O43" s="4"/>
      <c r="P43" s="4">
        <v>0</v>
      </c>
      <c r="Q43" s="4"/>
      <c r="R43" s="4"/>
      <c r="S43" s="80">
        <f t="shared" si="10"/>
        <v>0</v>
      </c>
      <c r="T43">
        <v>41</v>
      </c>
    </row>
    <row r="44" spans="3:20" x14ac:dyDescent="0.3">
      <c r="D44">
        <v>1063</v>
      </c>
      <c r="E44" t="s">
        <v>349</v>
      </c>
      <c r="F44" s="4">
        <v>0</v>
      </c>
      <c r="G44" s="4"/>
      <c r="H44" s="4">
        <v>0</v>
      </c>
      <c r="I44" s="4">
        <v>0</v>
      </c>
      <c r="J44" s="4">
        <v>0</v>
      </c>
      <c r="K44" s="4">
        <v>0</v>
      </c>
      <c r="L44" s="4"/>
      <c r="M44" s="4"/>
      <c r="N44" s="4"/>
      <c r="O44" s="4"/>
      <c r="P44" s="4">
        <v>0</v>
      </c>
      <c r="Q44" s="4"/>
      <c r="R44" s="4"/>
      <c r="S44" s="80">
        <f t="shared" si="10"/>
        <v>0</v>
      </c>
      <c r="T44">
        <v>42</v>
      </c>
    </row>
    <row r="45" spans="3:20" x14ac:dyDescent="0.3">
      <c r="D45">
        <v>1068</v>
      </c>
      <c r="E45" t="s">
        <v>350</v>
      </c>
      <c r="F45" s="4">
        <v>0</v>
      </c>
      <c r="G45" s="4"/>
      <c r="H45" s="4">
        <v>0</v>
      </c>
      <c r="I45" s="4">
        <v>0</v>
      </c>
      <c r="J45" s="4">
        <v>0</v>
      </c>
      <c r="K45" s="4">
        <v>0</v>
      </c>
      <c r="L45" s="4"/>
      <c r="M45" s="4"/>
      <c r="N45" s="4"/>
      <c r="O45" s="4"/>
      <c r="P45" s="4">
        <v>0</v>
      </c>
      <c r="Q45" s="4"/>
      <c r="R45" s="4"/>
      <c r="S45" s="80">
        <f t="shared" si="10"/>
        <v>0</v>
      </c>
      <c r="T45">
        <v>43</v>
      </c>
    </row>
    <row r="46" spans="3:20" x14ac:dyDescent="0.3">
      <c r="F46" s="4"/>
      <c r="G46" s="4"/>
      <c r="H46" s="4"/>
      <c r="I46" s="4"/>
      <c r="J46" s="4"/>
      <c r="K46" s="4"/>
      <c r="L46" s="4"/>
      <c r="M46" s="4"/>
      <c r="N46" s="4"/>
      <c r="O46" s="4"/>
      <c r="P46" s="4"/>
      <c r="Q46" s="4"/>
      <c r="R46" s="4"/>
      <c r="S46" s="80"/>
      <c r="T46">
        <v>44</v>
      </c>
    </row>
    <row r="47" spans="3:20" x14ac:dyDescent="0.3">
      <c r="C47" s="69">
        <v>107</v>
      </c>
      <c r="D47" s="69"/>
      <c r="E47" s="69" t="s">
        <v>355</v>
      </c>
      <c r="F47" s="70">
        <f>F48+F49+F50+F51</f>
        <v>13945.25</v>
      </c>
      <c r="G47" s="70">
        <f t="shared" ref="G47:R47" si="11">G48+G49+G50+G51</f>
        <v>0</v>
      </c>
      <c r="H47" s="70">
        <f t="shared" si="11"/>
        <v>702</v>
      </c>
      <c r="I47" s="70">
        <f t="shared" si="11"/>
        <v>6</v>
      </c>
      <c r="J47" s="70">
        <f t="shared" si="11"/>
        <v>1200</v>
      </c>
      <c r="K47" s="70">
        <f t="shared" si="11"/>
        <v>161350</v>
      </c>
      <c r="L47" s="70">
        <f t="shared" si="11"/>
        <v>0</v>
      </c>
      <c r="M47" s="70">
        <f t="shared" si="11"/>
        <v>0</v>
      </c>
      <c r="N47" s="70">
        <f t="shared" si="11"/>
        <v>0</v>
      </c>
      <c r="O47" s="70">
        <f t="shared" si="11"/>
        <v>0</v>
      </c>
      <c r="P47" s="70">
        <f t="shared" si="11"/>
        <v>452</v>
      </c>
      <c r="Q47" s="70">
        <f t="shared" si="11"/>
        <v>0</v>
      </c>
      <c r="R47" s="70">
        <f t="shared" si="11"/>
        <v>0</v>
      </c>
      <c r="S47" s="70">
        <f t="shared" ref="S47:S52" si="12">SUM(F47:R47)</f>
        <v>177655.25</v>
      </c>
      <c r="T47">
        <v>45</v>
      </c>
    </row>
    <row r="48" spans="3:20" x14ac:dyDescent="0.3">
      <c r="D48">
        <v>1070</v>
      </c>
      <c r="E48" t="s">
        <v>351</v>
      </c>
      <c r="F48" s="4">
        <v>13945.25</v>
      </c>
      <c r="G48" s="4"/>
      <c r="H48" s="4">
        <v>702</v>
      </c>
      <c r="I48" s="4">
        <v>6</v>
      </c>
      <c r="J48" s="4">
        <v>1200</v>
      </c>
      <c r="K48" s="4">
        <v>161350</v>
      </c>
      <c r="L48" s="4"/>
      <c r="M48" s="4"/>
      <c r="N48" s="4"/>
      <c r="O48" s="4"/>
      <c r="P48" s="4">
        <v>452</v>
      </c>
      <c r="Q48" s="4"/>
      <c r="R48" s="4"/>
      <c r="S48" s="80">
        <f t="shared" si="12"/>
        <v>177655.25</v>
      </c>
      <c r="T48">
        <v>46</v>
      </c>
    </row>
    <row r="49" spans="3:20" x14ac:dyDescent="0.3">
      <c r="D49">
        <v>1071</v>
      </c>
      <c r="E49" t="s">
        <v>352</v>
      </c>
      <c r="F49" s="4">
        <v>0</v>
      </c>
      <c r="G49" s="4"/>
      <c r="H49" s="4">
        <v>0</v>
      </c>
      <c r="I49" s="4">
        <v>0</v>
      </c>
      <c r="J49" s="4">
        <v>0</v>
      </c>
      <c r="K49" s="4">
        <v>0</v>
      </c>
      <c r="L49" s="4"/>
      <c r="M49" s="4"/>
      <c r="N49" s="4"/>
      <c r="O49" s="4"/>
      <c r="P49" s="4">
        <v>0</v>
      </c>
      <c r="Q49" s="4"/>
      <c r="R49" s="4"/>
      <c r="S49" s="80">
        <f t="shared" si="12"/>
        <v>0</v>
      </c>
      <c r="T49">
        <v>47</v>
      </c>
    </row>
    <row r="50" spans="3:20" x14ac:dyDescent="0.3">
      <c r="D50">
        <v>1072</v>
      </c>
      <c r="E50" t="s">
        <v>353</v>
      </c>
      <c r="F50" s="4">
        <v>0</v>
      </c>
      <c r="G50" s="4"/>
      <c r="H50" s="4">
        <v>0</v>
      </c>
      <c r="I50" s="4">
        <v>0</v>
      </c>
      <c r="J50" s="4">
        <v>0</v>
      </c>
      <c r="K50" s="4">
        <v>0</v>
      </c>
      <c r="L50" s="4"/>
      <c r="M50" s="4"/>
      <c r="N50" s="4"/>
      <c r="O50" s="4"/>
      <c r="P50" s="4">
        <v>0</v>
      </c>
      <c r="Q50" s="4"/>
      <c r="R50" s="4"/>
      <c r="S50" s="80">
        <f t="shared" si="12"/>
        <v>0</v>
      </c>
      <c r="T50">
        <v>48</v>
      </c>
    </row>
    <row r="51" spans="3:20" x14ac:dyDescent="0.3">
      <c r="D51">
        <v>1079</v>
      </c>
      <c r="E51" t="s">
        <v>354</v>
      </c>
      <c r="F51" s="4">
        <v>0</v>
      </c>
      <c r="G51" s="4"/>
      <c r="H51" s="4">
        <v>0</v>
      </c>
      <c r="I51" s="4">
        <v>0</v>
      </c>
      <c r="J51" s="4">
        <v>0</v>
      </c>
      <c r="K51" s="4">
        <v>0</v>
      </c>
      <c r="L51" s="4"/>
      <c r="M51" s="4"/>
      <c r="N51" s="4"/>
      <c r="O51" s="4"/>
      <c r="P51" s="4">
        <v>0</v>
      </c>
      <c r="Q51" s="4"/>
      <c r="R51" s="4"/>
      <c r="S51" s="80">
        <f t="shared" si="12"/>
        <v>0</v>
      </c>
      <c r="T51">
        <v>49</v>
      </c>
    </row>
    <row r="52" spans="3:20" x14ac:dyDescent="0.3">
      <c r="F52" s="4">
        <v>0</v>
      </c>
      <c r="G52" s="4"/>
      <c r="H52" s="4"/>
      <c r="I52" s="4"/>
      <c r="J52" s="4"/>
      <c r="K52" s="4"/>
      <c r="L52" s="4"/>
      <c r="M52" s="4"/>
      <c r="N52" s="4"/>
      <c r="O52" s="4"/>
      <c r="P52" s="4"/>
      <c r="Q52" s="4"/>
      <c r="R52" s="4"/>
      <c r="S52" s="80">
        <f t="shared" si="12"/>
        <v>0</v>
      </c>
      <c r="T52">
        <v>50</v>
      </c>
    </row>
    <row r="53" spans="3:20" x14ac:dyDescent="0.3">
      <c r="C53" s="69">
        <v>108</v>
      </c>
      <c r="D53" s="69"/>
      <c r="E53" s="69" t="s">
        <v>253</v>
      </c>
      <c r="F53" s="70">
        <f>F54+F55+F56+F57+F58+F59</f>
        <v>6907979.3499999996</v>
      </c>
      <c r="G53" s="70">
        <f t="shared" ref="G53:R53" si="13">G54+G55+G56+G57+G58+G59</f>
        <v>0</v>
      </c>
      <c r="H53" s="70">
        <f t="shared" si="13"/>
        <v>289896.15000000002</v>
      </c>
      <c r="I53" s="70">
        <f t="shared" si="13"/>
        <v>0</v>
      </c>
      <c r="J53" s="70">
        <f t="shared" si="13"/>
        <v>710444</v>
      </c>
      <c r="K53" s="70">
        <f t="shared" si="13"/>
        <v>26926350</v>
      </c>
      <c r="L53" s="70">
        <f t="shared" si="13"/>
        <v>0</v>
      </c>
      <c r="M53" s="70">
        <f t="shared" si="13"/>
        <v>0</v>
      </c>
      <c r="N53" s="70">
        <f t="shared" si="13"/>
        <v>0</v>
      </c>
      <c r="O53" s="70">
        <f t="shared" si="13"/>
        <v>0</v>
      </c>
      <c r="P53" s="70">
        <f t="shared" si="13"/>
        <v>609300</v>
      </c>
      <c r="Q53" s="70">
        <f t="shared" si="13"/>
        <v>0</v>
      </c>
      <c r="R53" s="70">
        <f t="shared" si="13"/>
        <v>0</v>
      </c>
      <c r="S53" s="70">
        <f t="shared" ref="S53:S59" si="14">SUM(F53:R53)</f>
        <v>35443969.5</v>
      </c>
      <c r="T53">
        <v>51</v>
      </c>
    </row>
    <row r="54" spans="3:20" x14ac:dyDescent="0.3">
      <c r="D54">
        <v>1080</v>
      </c>
      <c r="E54" t="s">
        <v>356</v>
      </c>
      <c r="F54" s="4">
        <v>509535</v>
      </c>
      <c r="G54" s="4"/>
      <c r="H54" s="4">
        <v>0</v>
      </c>
      <c r="I54" s="4">
        <v>0</v>
      </c>
      <c r="J54" s="4">
        <v>44284</v>
      </c>
      <c r="K54" s="4">
        <v>21626550</v>
      </c>
      <c r="L54" s="4"/>
      <c r="M54" s="4"/>
      <c r="N54" s="4"/>
      <c r="O54" s="4"/>
      <c r="P54" s="4">
        <v>0</v>
      </c>
      <c r="Q54" s="4"/>
      <c r="R54" s="4"/>
      <c r="S54" s="80">
        <f t="shared" si="14"/>
        <v>22180369</v>
      </c>
      <c r="T54">
        <v>52</v>
      </c>
    </row>
    <row r="55" spans="3:20" x14ac:dyDescent="0.3">
      <c r="D55">
        <v>1084</v>
      </c>
      <c r="E55" t="s">
        <v>357</v>
      </c>
      <c r="F55" s="4">
        <v>1273320</v>
      </c>
      <c r="G55" s="4"/>
      <c r="H55" s="4">
        <v>289896.15000000002</v>
      </c>
      <c r="I55" s="4">
        <v>0</v>
      </c>
      <c r="J55" s="4">
        <v>666160</v>
      </c>
      <c r="K55" s="4">
        <v>5299800</v>
      </c>
      <c r="L55" s="4"/>
      <c r="M55" s="4"/>
      <c r="N55" s="4"/>
      <c r="O55" s="4"/>
      <c r="P55" s="4">
        <v>609300</v>
      </c>
      <c r="Q55" s="4"/>
      <c r="R55" s="4"/>
      <c r="S55" s="80">
        <f t="shared" si="14"/>
        <v>8138476.1500000004</v>
      </c>
      <c r="T55">
        <v>53</v>
      </c>
    </row>
    <row r="56" spans="3:20" x14ac:dyDescent="0.3">
      <c r="D56">
        <v>1086</v>
      </c>
      <c r="E56" t="s">
        <v>358</v>
      </c>
      <c r="F56" s="4">
        <v>0</v>
      </c>
      <c r="G56" s="4"/>
      <c r="H56" s="4">
        <v>0</v>
      </c>
      <c r="I56" s="4">
        <v>0</v>
      </c>
      <c r="J56" s="4">
        <v>0</v>
      </c>
      <c r="K56" s="4">
        <v>0</v>
      </c>
      <c r="L56" s="4"/>
      <c r="M56" s="4"/>
      <c r="N56" s="4"/>
      <c r="O56" s="4"/>
      <c r="P56" s="4">
        <v>0</v>
      </c>
      <c r="Q56" s="4"/>
      <c r="R56" s="4"/>
      <c r="S56" s="80">
        <f t="shared" si="14"/>
        <v>0</v>
      </c>
      <c r="T56">
        <v>54</v>
      </c>
    </row>
    <row r="57" spans="3:20" x14ac:dyDescent="0.3">
      <c r="D57">
        <v>1087</v>
      </c>
      <c r="E57" t="s">
        <v>359</v>
      </c>
      <c r="F57" s="4">
        <v>4967124.3499999996</v>
      </c>
      <c r="G57" s="4"/>
      <c r="H57" s="4">
        <v>0</v>
      </c>
      <c r="I57" s="4">
        <v>0</v>
      </c>
      <c r="J57" s="4">
        <v>0</v>
      </c>
      <c r="K57" s="4">
        <v>0</v>
      </c>
      <c r="L57" s="4"/>
      <c r="M57" s="4"/>
      <c r="N57" s="4"/>
      <c r="O57" s="4"/>
      <c r="P57" s="4">
        <v>0</v>
      </c>
      <c r="Q57" s="4"/>
      <c r="R57" s="4"/>
      <c r="S57" s="80">
        <f t="shared" si="14"/>
        <v>4967124.3499999996</v>
      </c>
      <c r="T57">
        <v>55</v>
      </c>
    </row>
    <row r="58" spans="3:20" x14ac:dyDescent="0.3">
      <c r="D58">
        <v>1088</v>
      </c>
      <c r="E58" t="s">
        <v>360</v>
      </c>
      <c r="F58" s="4">
        <v>0</v>
      </c>
      <c r="G58" s="4"/>
      <c r="H58" s="4">
        <v>0</v>
      </c>
      <c r="I58" s="4">
        <v>0</v>
      </c>
      <c r="J58" s="4">
        <v>0</v>
      </c>
      <c r="K58" s="4">
        <v>0</v>
      </c>
      <c r="L58" s="4"/>
      <c r="M58" s="4"/>
      <c r="N58" s="4"/>
      <c r="O58" s="4"/>
      <c r="P58" s="4">
        <v>0</v>
      </c>
      <c r="Q58" s="4"/>
      <c r="R58" s="4"/>
      <c r="S58" s="80">
        <f t="shared" si="14"/>
        <v>0</v>
      </c>
      <c r="T58">
        <v>56</v>
      </c>
    </row>
    <row r="59" spans="3:20" x14ac:dyDescent="0.3">
      <c r="D59">
        <v>1089</v>
      </c>
      <c r="E59" t="s">
        <v>361</v>
      </c>
      <c r="F59" s="4">
        <v>158000</v>
      </c>
      <c r="G59" s="4"/>
      <c r="H59" s="4">
        <v>0</v>
      </c>
      <c r="I59" s="4">
        <v>0</v>
      </c>
      <c r="J59" s="4">
        <v>0</v>
      </c>
      <c r="K59" s="4">
        <v>0</v>
      </c>
      <c r="L59" s="4"/>
      <c r="M59" s="4"/>
      <c r="N59" s="4"/>
      <c r="O59" s="4"/>
      <c r="P59" s="4">
        <v>0</v>
      </c>
      <c r="Q59" s="4"/>
      <c r="R59" s="4"/>
      <c r="S59" s="80">
        <f t="shared" si="14"/>
        <v>158000</v>
      </c>
      <c r="T59">
        <v>57</v>
      </c>
    </row>
    <row r="60" spans="3:20" x14ac:dyDescent="0.3">
      <c r="F60" s="4"/>
      <c r="G60" s="4"/>
      <c r="H60" s="4"/>
      <c r="I60" s="4"/>
      <c r="J60" s="4"/>
      <c r="K60" s="4"/>
      <c r="L60" s="4"/>
      <c r="M60" s="4"/>
      <c r="N60" s="4"/>
      <c r="O60" s="4"/>
      <c r="P60" s="4"/>
      <c r="Q60" s="4"/>
      <c r="R60" s="4"/>
      <c r="S60" s="80"/>
      <c r="T60">
        <v>58</v>
      </c>
    </row>
    <row r="61" spans="3:20" x14ac:dyDescent="0.3">
      <c r="C61" s="69">
        <v>109</v>
      </c>
      <c r="D61" s="69"/>
      <c r="E61" s="69" t="s">
        <v>362</v>
      </c>
      <c r="F61" s="70">
        <f>F62+F63+F64+F65</f>
        <v>0</v>
      </c>
      <c r="G61" s="70">
        <f t="shared" ref="G61:R61" si="15">G62+G63+G64+G65</f>
        <v>0</v>
      </c>
      <c r="H61" s="70">
        <f t="shared" si="15"/>
        <v>0</v>
      </c>
      <c r="I61" s="70">
        <f t="shared" si="15"/>
        <v>0</v>
      </c>
      <c r="J61" s="70">
        <f t="shared" si="15"/>
        <v>0</v>
      </c>
      <c r="K61" s="70">
        <f t="shared" si="15"/>
        <v>0</v>
      </c>
      <c r="L61" s="70">
        <f t="shared" si="15"/>
        <v>0</v>
      </c>
      <c r="M61" s="70">
        <f t="shared" si="15"/>
        <v>0</v>
      </c>
      <c r="N61" s="70">
        <f t="shared" si="15"/>
        <v>0</v>
      </c>
      <c r="O61" s="70">
        <f t="shared" si="15"/>
        <v>0</v>
      </c>
      <c r="P61" s="70">
        <f t="shared" si="15"/>
        <v>0</v>
      </c>
      <c r="Q61" s="70">
        <f t="shared" si="15"/>
        <v>0</v>
      </c>
      <c r="R61" s="70">
        <f t="shared" si="15"/>
        <v>0</v>
      </c>
      <c r="S61" s="70">
        <f t="shared" ref="S61:S66" si="16">SUM(F61:R61)</f>
        <v>0</v>
      </c>
      <c r="T61">
        <v>59</v>
      </c>
    </row>
    <row r="62" spans="3:20" x14ac:dyDescent="0.3">
      <c r="D62">
        <v>1090</v>
      </c>
      <c r="E62" t="s">
        <v>362</v>
      </c>
      <c r="F62" s="4">
        <v>0</v>
      </c>
      <c r="G62" s="4"/>
      <c r="H62" s="4">
        <v>0</v>
      </c>
      <c r="I62" s="4">
        <v>0</v>
      </c>
      <c r="J62" s="4">
        <v>0</v>
      </c>
      <c r="K62" s="4">
        <v>0</v>
      </c>
      <c r="L62" s="4"/>
      <c r="M62" s="4"/>
      <c r="N62" s="4"/>
      <c r="O62" s="4"/>
      <c r="P62" s="4">
        <v>0</v>
      </c>
      <c r="Q62" s="4"/>
      <c r="R62" s="4"/>
      <c r="S62" s="80">
        <f t="shared" si="16"/>
        <v>0</v>
      </c>
      <c r="T62">
        <v>60</v>
      </c>
    </row>
    <row r="63" spans="3:20" x14ac:dyDescent="0.3">
      <c r="D63">
        <v>1091</v>
      </c>
      <c r="E63" t="s">
        <v>363</v>
      </c>
      <c r="F63" s="4">
        <v>0</v>
      </c>
      <c r="G63" s="4"/>
      <c r="H63" s="4">
        <v>0</v>
      </c>
      <c r="I63" s="4">
        <v>0</v>
      </c>
      <c r="J63" s="4">
        <v>0</v>
      </c>
      <c r="K63" s="4">
        <v>0</v>
      </c>
      <c r="L63" s="4"/>
      <c r="M63" s="4"/>
      <c r="N63" s="4"/>
      <c r="O63" s="4"/>
      <c r="P63" s="4">
        <v>0</v>
      </c>
      <c r="Q63" s="4"/>
      <c r="R63" s="4"/>
      <c r="S63" s="80">
        <f t="shared" si="16"/>
        <v>0</v>
      </c>
      <c r="T63">
        <v>61</v>
      </c>
    </row>
    <row r="64" spans="3:20" x14ac:dyDescent="0.3">
      <c r="D64">
        <v>1092</v>
      </c>
      <c r="E64" t="s">
        <v>364</v>
      </c>
      <c r="F64" s="4">
        <v>0</v>
      </c>
      <c r="G64" s="4"/>
      <c r="H64" s="4">
        <v>0</v>
      </c>
      <c r="I64" s="4">
        <v>0</v>
      </c>
      <c r="J64" s="4">
        <v>0</v>
      </c>
      <c r="K64" s="4">
        <v>0</v>
      </c>
      <c r="L64" s="4"/>
      <c r="M64" s="4"/>
      <c r="N64" s="4"/>
      <c r="O64" s="4"/>
      <c r="P64" s="4">
        <v>0</v>
      </c>
      <c r="Q64" s="4"/>
      <c r="R64" s="4"/>
      <c r="S64" s="80">
        <f t="shared" si="16"/>
        <v>0</v>
      </c>
      <c r="T64">
        <v>62</v>
      </c>
    </row>
    <row r="65" spans="2:20" x14ac:dyDescent="0.3">
      <c r="D65">
        <v>1093</v>
      </c>
      <c r="E65" t="s">
        <v>365</v>
      </c>
      <c r="F65" s="4">
        <v>0</v>
      </c>
      <c r="G65" s="4"/>
      <c r="H65" s="4">
        <v>0</v>
      </c>
      <c r="I65" s="4">
        <v>0</v>
      </c>
      <c r="J65" s="4">
        <v>0</v>
      </c>
      <c r="K65" s="4">
        <v>0</v>
      </c>
      <c r="L65" s="4"/>
      <c r="M65" s="4"/>
      <c r="N65" s="4"/>
      <c r="O65" s="4"/>
      <c r="P65" s="4">
        <v>0</v>
      </c>
      <c r="Q65" s="4"/>
      <c r="R65" s="4"/>
      <c r="S65" s="80">
        <f t="shared" si="16"/>
        <v>0</v>
      </c>
      <c r="T65">
        <v>63</v>
      </c>
    </row>
    <row r="66" spans="2:20" x14ac:dyDescent="0.3">
      <c r="F66" s="4"/>
      <c r="G66" s="4"/>
      <c r="H66" s="4"/>
      <c r="I66" s="4"/>
      <c r="J66" s="4"/>
      <c r="K66" s="4"/>
      <c r="L66" s="4"/>
      <c r="M66" s="4"/>
      <c r="N66" s="4"/>
      <c r="O66" s="4"/>
      <c r="P66" s="4"/>
      <c r="Q66" s="4"/>
      <c r="R66" s="4"/>
      <c r="S66" s="80">
        <f t="shared" si="16"/>
        <v>0</v>
      </c>
      <c r="T66">
        <v>64</v>
      </c>
    </row>
    <row r="67" spans="2:20" x14ac:dyDescent="0.3">
      <c r="B67" s="76">
        <v>14</v>
      </c>
      <c r="C67" s="76"/>
      <c r="D67" s="76"/>
      <c r="E67" s="76" t="s">
        <v>254</v>
      </c>
      <c r="F67" s="77">
        <f>F68+F79+F85+F96+F107</f>
        <v>2304364.85</v>
      </c>
      <c r="G67" s="77">
        <f t="shared" ref="G67:R67" si="17">G68+G79+G85+G96+G107</f>
        <v>0</v>
      </c>
      <c r="H67" s="77">
        <f t="shared" si="17"/>
        <v>649358.94999999995</v>
      </c>
      <c r="I67" s="77">
        <f t="shared" si="17"/>
        <v>571769</v>
      </c>
      <c r="J67" s="77">
        <f t="shared" si="17"/>
        <v>1446223.35</v>
      </c>
      <c r="K67" s="77">
        <f t="shared" si="17"/>
        <v>2352187.4500000002</v>
      </c>
      <c r="L67" s="77">
        <f t="shared" si="17"/>
        <v>0</v>
      </c>
      <c r="M67" s="77">
        <f t="shared" si="17"/>
        <v>0</v>
      </c>
      <c r="N67" s="77">
        <f t="shared" si="17"/>
        <v>0</v>
      </c>
      <c r="O67" s="77">
        <f t="shared" si="17"/>
        <v>0</v>
      </c>
      <c r="P67" s="77">
        <f t="shared" si="17"/>
        <v>1296384.1499999999</v>
      </c>
      <c r="Q67" s="77">
        <f t="shared" si="17"/>
        <v>0</v>
      </c>
      <c r="R67" s="77">
        <f t="shared" si="17"/>
        <v>0</v>
      </c>
      <c r="S67" s="77">
        <f t="shared" ref="S67:S77" si="18">SUM(F67:R67)</f>
        <v>8620287.75</v>
      </c>
      <c r="T67">
        <v>65</v>
      </c>
    </row>
    <row r="68" spans="2:20" x14ac:dyDescent="0.3">
      <c r="C68" s="69">
        <v>140</v>
      </c>
      <c r="D68" s="69"/>
      <c r="E68" s="69" t="s">
        <v>256</v>
      </c>
      <c r="F68" s="70">
        <f>F69+F70+F71+F72+F73+F74+F75+F76+F77</f>
        <v>2235564.85</v>
      </c>
      <c r="G68" s="70">
        <f t="shared" ref="G68:R68" si="19">G69+G70+G71+G72+G73+G74+G75+G76+G77</f>
        <v>0</v>
      </c>
      <c r="H68" s="70">
        <f t="shared" si="19"/>
        <v>649358.94999999995</v>
      </c>
      <c r="I68" s="70">
        <f t="shared" si="19"/>
        <v>571769</v>
      </c>
      <c r="J68" s="70">
        <f t="shared" si="19"/>
        <v>1446223.35</v>
      </c>
      <c r="K68" s="70">
        <f t="shared" si="19"/>
        <v>2280183.4500000002</v>
      </c>
      <c r="L68" s="70">
        <f t="shared" si="19"/>
        <v>0</v>
      </c>
      <c r="M68" s="70">
        <f t="shared" si="19"/>
        <v>0</v>
      </c>
      <c r="N68" s="70">
        <f t="shared" si="19"/>
        <v>0</v>
      </c>
      <c r="O68" s="70">
        <f t="shared" si="19"/>
        <v>0</v>
      </c>
      <c r="P68" s="70">
        <f t="shared" si="19"/>
        <v>1295883.1499999999</v>
      </c>
      <c r="Q68" s="70">
        <f t="shared" si="19"/>
        <v>0</v>
      </c>
      <c r="R68" s="70">
        <f t="shared" si="19"/>
        <v>0</v>
      </c>
      <c r="S68" s="70">
        <f t="shared" si="18"/>
        <v>8478982.75</v>
      </c>
      <c r="T68">
        <v>66</v>
      </c>
    </row>
    <row r="69" spans="2:20" x14ac:dyDescent="0.3">
      <c r="D69">
        <v>1400</v>
      </c>
      <c r="E69" t="s">
        <v>366</v>
      </c>
      <c r="F69" s="4">
        <v>637850</v>
      </c>
      <c r="G69" s="4"/>
      <c r="H69" s="4">
        <v>0</v>
      </c>
      <c r="I69" s="4">
        <v>260230</v>
      </c>
      <c r="J69" s="4">
        <v>336990</v>
      </c>
      <c r="K69" s="4">
        <v>764001</v>
      </c>
      <c r="L69" s="4"/>
      <c r="M69" s="4"/>
      <c r="N69" s="4"/>
      <c r="O69" s="4"/>
      <c r="P69" s="4">
        <v>476564.55</v>
      </c>
      <c r="Q69" s="4"/>
      <c r="R69" s="4"/>
      <c r="S69" s="80">
        <f t="shared" si="18"/>
        <v>2475635.5499999998</v>
      </c>
      <c r="T69">
        <v>67</v>
      </c>
    </row>
    <row r="70" spans="2:20" x14ac:dyDescent="0.3">
      <c r="D70">
        <v>1401</v>
      </c>
      <c r="E70" t="s">
        <v>367</v>
      </c>
      <c r="F70" s="4">
        <v>69823.850000000006</v>
      </c>
      <c r="G70" s="4"/>
      <c r="H70" s="4">
        <v>75906.95</v>
      </c>
      <c r="I70" s="4">
        <v>0</v>
      </c>
      <c r="J70" s="4">
        <v>90000</v>
      </c>
      <c r="K70" s="4">
        <v>1</v>
      </c>
      <c r="L70" s="4"/>
      <c r="M70" s="4"/>
      <c r="N70" s="4"/>
      <c r="O70" s="4"/>
      <c r="P70" s="4">
        <v>103903.2</v>
      </c>
      <c r="Q70" s="4"/>
      <c r="R70" s="4"/>
      <c r="S70" s="80">
        <f t="shared" si="18"/>
        <v>339635</v>
      </c>
      <c r="T70">
        <v>68</v>
      </c>
    </row>
    <row r="71" spans="2:20" x14ac:dyDescent="0.3">
      <c r="D71">
        <v>1402</v>
      </c>
      <c r="E71" t="s">
        <v>368</v>
      </c>
      <c r="F71" s="4">
        <v>0</v>
      </c>
      <c r="G71" s="4"/>
      <c r="H71" s="4">
        <v>1</v>
      </c>
      <c r="I71" s="4">
        <v>0</v>
      </c>
      <c r="J71" s="4">
        <v>0</v>
      </c>
      <c r="K71" s="4">
        <v>0</v>
      </c>
      <c r="L71" s="4"/>
      <c r="M71" s="4"/>
      <c r="N71" s="4"/>
      <c r="O71" s="4"/>
      <c r="P71" s="4">
        <v>0</v>
      </c>
      <c r="Q71" s="4"/>
      <c r="R71" s="4"/>
      <c r="S71" s="80">
        <f t="shared" si="18"/>
        <v>1</v>
      </c>
      <c r="T71">
        <v>69</v>
      </c>
    </row>
    <row r="72" spans="2:20" x14ac:dyDescent="0.3">
      <c r="D72">
        <v>1403</v>
      </c>
      <c r="E72" t="s">
        <v>369</v>
      </c>
      <c r="F72" s="4">
        <v>0</v>
      </c>
      <c r="G72" s="4"/>
      <c r="H72" s="4">
        <v>0</v>
      </c>
      <c r="I72" s="4">
        <v>0</v>
      </c>
      <c r="J72" s="4">
        <v>0</v>
      </c>
      <c r="K72" s="4">
        <v>0</v>
      </c>
      <c r="L72" s="4"/>
      <c r="M72" s="4"/>
      <c r="N72" s="4"/>
      <c r="O72" s="4"/>
      <c r="P72" s="4">
        <v>0</v>
      </c>
      <c r="Q72" s="4"/>
      <c r="R72" s="4"/>
      <c r="S72" s="80">
        <f t="shared" si="18"/>
        <v>0</v>
      </c>
      <c r="T72">
        <v>70</v>
      </c>
    </row>
    <row r="73" spans="2:20" x14ac:dyDescent="0.3">
      <c r="D73">
        <v>1404</v>
      </c>
      <c r="E73" t="s">
        <v>370</v>
      </c>
      <c r="F73" s="4">
        <v>519100</v>
      </c>
      <c r="G73" s="4"/>
      <c r="H73" s="4">
        <v>1</v>
      </c>
      <c r="I73" s="4">
        <v>2</v>
      </c>
      <c r="J73" s="4">
        <v>132617.35</v>
      </c>
      <c r="K73" s="4">
        <v>138011.45000000001</v>
      </c>
      <c r="L73" s="4"/>
      <c r="M73" s="4"/>
      <c r="N73" s="4"/>
      <c r="O73" s="4"/>
      <c r="P73" s="4">
        <v>143549.4</v>
      </c>
      <c r="Q73" s="4"/>
      <c r="R73" s="4"/>
      <c r="S73" s="80">
        <f t="shared" si="18"/>
        <v>933281.20000000007</v>
      </c>
      <c r="T73">
        <v>71</v>
      </c>
    </row>
    <row r="74" spans="2:20" x14ac:dyDescent="0.3">
      <c r="D74">
        <v>1405</v>
      </c>
      <c r="E74" t="s">
        <v>371</v>
      </c>
      <c r="F74" s="4">
        <v>907190</v>
      </c>
      <c r="G74" s="4"/>
      <c r="H74" s="4">
        <v>570450</v>
      </c>
      <c r="I74" s="4">
        <v>311535</v>
      </c>
      <c r="J74" s="4">
        <v>886616</v>
      </c>
      <c r="K74" s="4">
        <v>1378170</v>
      </c>
      <c r="L74" s="4"/>
      <c r="M74" s="4"/>
      <c r="N74" s="4"/>
      <c r="O74" s="4"/>
      <c r="P74" s="4">
        <v>571866</v>
      </c>
      <c r="Q74" s="4"/>
      <c r="R74" s="4"/>
      <c r="S74" s="80">
        <f t="shared" si="18"/>
        <v>4625827</v>
      </c>
      <c r="T74">
        <v>72</v>
      </c>
    </row>
    <row r="75" spans="2:20" x14ac:dyDescent="0.3">
      <c r="D75">
        <v>1406</v>
      </c>
      <c r="E75" t="s">
        <v>372</v>
      </c>
      <c r="F75" s="4">
        <v>101601</v>
      </c>
      <c r="G75" s="4"/>
      <c r="H75" s="4">
        <v>3000</v>
      </c>
      <c r="I75" s="4">
        <v>2</v>
      </c>
      <c r="J75" s="4">
        <v>0</v>
      </c>
      <c r="K75" s="4">
        <v>0</v>
      </c>
      <c r="L75" s="4"/>
      <c r="M75" s="4"/>
      <c r="N75" s="4"/>
      <c r="O75" s="4"/>
      <c r="P75" s="4">
        <v>0</v>
      </c>
      <c r="Q75" s="4"/>
      <c r="R75" s="4"/>
      <c r="S75" s="80">
        <f t="shared" si="18"/>
        <v>104603</v>
      </c>
      <c r="T75">
        <v>73</v>
      </c>
    </row>
    <row r="76" spans="2:20" x14ac:dyDescent="0.3">
      <c r="D76">
        <v>1407</v>
      </c>
      <c r="E76" t="s">
        <v>373</v>
      </c>
      <c r="F76" s="4">
        <v>0</v>
      </c>
      <c r="G76" s="4"/>
      <c r="H76" s="4">
        <v>0</v>
      </c>
      <c r="I76" s="4">
        <v>0</v>
      </c>
      <c r="J76" s="4">
        <v>0</v>
      </c>
      <c r="K76" s="4">
        <v>0</v>
      </c>
      <c r="L76" s="4"/>
      <c r="M76" s="4"/>
      <c r="N76" s="4"/>
      <c r="O76" s="4"/>
      <c r="P76" s="4">
        <v>0</v>
      </c>
      <c r="Q76" s="4"/>
      <c r="R76" s="4"/>
      <c r="S76" s="80">
        <f t="shared" si="18"/>
        <v>0</v>
      </c>
      <c r="T76">
        <v>74</v>
      </c>
    </row>
    <row r="77" spans="2:20" x14ac:dyDescent="0.3">
      <c r="D77">
        <v>1409</v>
      </c>
      <c r="E77" t="s">
        <v>374</v>
      </c>
      <c r="F77" s="4">
        <v>0</v>
      </c>
      <c r="G77" s="4"/>
      <c r="H77" s="4">
        <v>0</v>
      </c>
      <c r="I77" s="4">
        <v>0</v>
      </c>
      <c r="J77" s="4">
        <v>0</v>
      </c>
      <c r="K77" s="4">
        <v>0</v>
      </c>
      <c r="L77" s="4"/>
      <c r="M77" s="4"/>
      <c r="N77" s="4"/>
      <c r="O77" s="4"/>
      <c r="P77" s="4">
        <v>0</v>
      </c>
      <c r="Q77" s="4"/>
      <c r="R77" s="4"/>
      <c r="S77" s="80">
        <f t="shared" si="18"/>
        <v>0</v>
      </c>
      <c r="T77">
        <v>75</v>
      </c>
    </row>
    <row r="78" spans="2:20" x14ac:dyDescent="0.3">
      <c r="F78" s="4"/>
      <c r="G78" s="4"/>
      <c r="H78" s="4"/>
      <c r="I78" s="4"/>
      <c r="J78" s="4"/>
      <c r="K78" s="4"/>
      <c r="L78" s="4"/>
      <c r="M78" s="4"/>
      <c r="N78" s="4"/>
      <c r="O78" s="4"/>
      <c r="P78" s="4"/>
      <c r="Q78" s="4"/>
      <c r="R78" s="4"/>
      <c r="S78" s="80"/>
      <c r="T78">
        <v>76</v>
      </c>
    </row>
    <row r="79" spans="2:20" x14ac:dyDescent="0.3">
      <c r="C79" s="69">
        <v>142</v>
      </c>
      <c r="D79" s="69"/>
      <c r="E79" s="69" t="s">
        <v>594</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3">
      <c r="D80" s="79">
        <v>1420</v>
      </c>
      <c r="E80" s="79" t="s">
        <v>375</v>
      </c>
      <c r="F80" s="4">
        <v>0</v>
      </c>
      <c r="G80" s="4"/>
      <c r="H80" s="4">
        <v>0</v>
      </c>
      <c r="I80" s="4">
        <v>0</v>
      </c>
      <c r="J80" s="4">
        <v>0</v>
      </c>
      <c r="K80" s="4">
        <v>0</v>
      </c>
      <c r="L80" s="4"/>
      <c r="M80" s="4"/>
      <c r="N80" s="4"/>
      <c r="O80" s="4"/>
      <c r="P80" s="4">
        <v>0</v>
      </c>
      <c r="Q80" s="4"/>
      <c r="R80" s="4"/>
      <c r="S80" s="80">
        <f>SUM(F80:R80)</f>
        <v>0</v>
      </c>
      <c r="T80">
        <v>78</v>
      </c>
    </row>
    <row r="81" spans="3:20" x14ac:dyDescent="0.3">
      <c r="D81" s="79">
        <v>1421</v>
      </c>
      <c r="E81" s="79" t="s">
        <v>376</v>
      </c>
      <c r="F81" s="4">
        <v>0</v>
      </c>
      <c r="G81" s="4"/>
      <c r="H81" s="4">
        <v>0</v>
      </c>
      <c r="I81" s="4">
        <v>0</v>
      </c>
      <c r="J81" s="4">
        <v>0</v>
      </c>
      <c r="K81" s="4">
        <v>0</v>
      </c>
      <c r="L81" s="4"/>
      <c r="M81" s="4"/>
      <c r="N81" s="4"/>
      <c r="O81" s="4"/>
      <c r="P81" s="4">
        <v>0</v>
      </c>
      <c r="Q81" s="4"/>
      <c r="R81" s="4"/>
      <c r="S81" s="80">
        <f>SUM(F81:R81)</f>
        <v>0</v>
      </c>
      <c r="T81">
        <v>79</v>
      </c>
    </row>
    <row r="82" spans="3:20" x14ac:dyDescent="0.3">
      <c r="D82" s="79">
        <v>1427</v>
      </c>
      <c r="E82" s="79" t="s">
        <v>593</v>
      </c>
      <c r="F82" s="4">
        <v>0</v>
      </c>
      <c r="G82" s="4"/>
      <c r="H82" s="4">
        <v>0</v>
      </c>
      <c r="I82" s="4">
        <v>0</v>
      </c>
      <c r="J82" s="4">
        <v>0</v>
      </c>
      <c r="K82" s="4">
        <v>0</v>
      </c>
      <c r="L82" s="4"/>
      <c r="M82" s="4"/>
      <c r="N82" s="4"/>
      <c r="O82" s="4"/>
      <c r="P82" s="4">
        <v>0</v>
      </c>
      <c r="Q82" s="4"/>
      <c r="R82" s="4"/>
      <c r="S82" s="80">
        <f>SUM(F82:R82)</f>
        <v>0</v>
      </c>
      <c r="T82">
        <v>80</v>
      </c>
    </row>
    <row r="83" spans="3:20" x14ac:dyDescent="0.3">
      <c r="D83" s="79">
        <v>1429</v>
      </c>
      <c r="E83" s="79" t="s">
        <v>476</v>
      </c>
      <c r="F83" s="4">
        <v>0</v>
      </c>
      <c r="G83" s="4"/>
      <c r="H83" s="4">
        <v>0</v>
      </c>
      <c r="I83" s="196">
        <v>0</v>
      </c>
      <c r="J83" s="4">
        <v>0</v>
      </c>
      <c r="K83" s="4">
        <v>0</v>
      </c>
      <c r="L83" s="4"/>
      <c r="M83" s="4"/>
      <c r="N83" s="4"/>
      <c r="O83" s="4"/>
      <c r="P83" s="4">
        <v>0</v>
      </c>
      <c r="Q83" s="4"/>
      <c r="R83" s="4"/>
      <c r="S83" s="80">
        <f>SUM(F83:R83)</f>
        <v>0</v>
      </c>
      <c r="T83">
        <v>81</v>
      </c>
    </row>
    <row r="84" spans="3:20" x14ac:dyDescent="0.3">
      <c r="F84" s="4"/>
      <c r="G84" s="4"/>
      <c r="H84" s="4"/>
      <c r="I84" s="4"/>
      <c r="J84" s="4"/>
      <c r="K84" s="4"/>
      <c r="L84" s="4"/>
      <c r="M84" s="4"/>
      <c r="N84" s="4"/>
      <c r="O84" s="4"/>
      <c r="P84" s="4"/>
      <c r="Q84" s="4"/>
      <c r="R84" s="4"/>
      <c r="S84" s="80"/>
      <c r="T84">
        <v>82</v>
      </c>
    </row>
    <row r="85" spans="3:20" x14ac:dyDescent="0.3">
      <c r="C85" s="69">
        <v>144</v>
      </c>
      <c r="D85" s="69"/>
      <c r="E85" s="69" t="s">
        <v>257</v>
      </c>
      <c r="F85" s="70">
        <f>F86+F87+F88+F89+F90+F91+F92+F93+F94</f>
        <v>68800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68800</v>
      </c>
      <c r="T85">
        <v>83</v>
      </c>
    </row>
    <row r="86" spans="3:20" x14ac:dyDescent="0.3">
      <c r="D86">
        <v>1440</v>
      </c>
      <c r="E86" t="s">
        <v>377</v>
      </c>
      <c r="F86" s="4">
        <v>0</v>
      </c>
      <c r="G86" s="4"/>
      <c r="H86" s="4">
        <v>0</v>
      </c>
      <c r="I86" s="4">
        <v>0</v>
      </c>
      <c r="J86" s="4">
        <v>0</v>
      </c>
      <c r="K86" s="4">
        <v>0</v>
      </c>
      <c r="L86" s="4"/>
      <c r="M86" s="4"/>
      <c r="N86" s="4"/>
      <c r="O86" s="4"/>
      <c r="P86" s="4">
        <v>0</v>
      </c>
      <c r="Q86" s="4"/>
      <c r="R86" s="4"/>
      <c r="S86" s="80">
        <f t="shared" si="23"/>
        <v>0</v>
      </c>
      <c r="T86">
        <v>84</v>
      </c>
    </row>
    <row r="87" spans="3:20" x14ac:dyDescent="0.3">
      <c r="D87">
        <v>1441</v>
      </c>
      <c r="E87" t="s">
        <v>379</v>
      </c>
      <c r="F87" s="4">
        <v>0</v>
      </c>
      <c r="G87" s="4"/>
      <c r="H87" s="4">
        <v>0</v>
      </c>
      <c r="I87" s="4">
        <v>0</v>
      </c>
      <c r="J87" s="4">
        <v>0</v>
      </c>
      <c r="K87" s="4">
        <v>0</v>
      </c>
      <c r="L87" s="4"/>
      <c r="M87" s="4"/>
      <c r="N87" s="4"/>
      <c r="O87" s="4"/>
      <c r="P87" s="4">
        <v>0</v>
      </c>
      <c r="Q87" s="4"/>
      <c r="R87" s="4"/>
      <c r="S87" s="80">
        <f t="shared" si="23"/>
        <v>0</v>
      </c>
      <c r="T87">
        <v>85</v>
      </c>
    </row>
    <row r="88" spans="3:20" x14ac:dyDescent="0.3">
      <c r="D88">
        <v>1442</v>
      </c>
      <c r="E88" t="s">
        <v>378</v>
      </c>
      <c r="F88" s="4">
        <v>22800</v>
      </c>
      <c r="G88" s="4"/>
      <c r="H88" s="4">
        <v>0</v>
      </c>
      <c r="I88" s="4">
        <v>0</v>
      </c>
      <c r="J88" s="4">
        <v>0</v>
      </c>
      <c r="K88" s="4">
        <v>0</v>
      </c>
      <c r="L88" s="4"/>
      <c r="M88" s="4"/>
      <c r="N88" s="4"/>
      <c r="O88" s="4"/>
      <c r="P88" s="4">
        <v>0</v>
      </c>
      <c r="Q88" s="4"/>
      <c r="R88" s="4"/>
      <c r="S88" s="80">
        <f t="shared" si="23"/>
        <v>22800</v>
      </c>
      <c r="T88">
        <v>86</v>
      </c>
    </row>
    <row r="89" spans="3:20" x14ac:dyDescent="0.3">
      <c r="D89">
        <v>1443</v>
      </c>
      <c r="E89" t="s">
        <v>380</v>
      </c>
      <c r="F89" s="4">
        <v>0</v>
      </c>
      <c r="G89" s="4"/>
      <c r="H89" s="4">
        <v>0</v>
      </c>
      <c r="I89" s="4">
        <v>0</v>
      </c>
      <c r="J89" s="4">
        <v>0</v>
      </c>
      <c r="K89" s="4">
        <v>0</v>
      </c>
      <c r="L89" s="4"/>
      <c r="M89" s="4"/>
      <c r="N89" s="4"/>
      <c r="O89" s="4"/>
      <c r="P89" s="4">
        <v>0</v>
      </c>
      <c r="Q89" s="4"/>
      <c r="R89" s="4"/>
      <c r="S89" s="80">
        <f t="shared" si="23"/>
        <v>0</v>
      </c>
      <c r="T89">
        <v>87</v>
      </c>
    </row>
    <row r="90" spans="3:20" x14ac:dyDescent="0.3">
      <c r="D90">
        <v>1444</v>
      </c>
      <c r="E90" t="s">
        <v>381</v>
      </c>
      <c r="F90" s="4">
        <v>0</v>
      </c>
      <c r="G90" s="4"/>
      <c r="H90" s="4">
        <v>0</v>
      </c>
      <c r="I90" s="4">
        <v>0</v>
      </c>
      <c r="J90" s="4">
        <v>0</v>
      </c>
      <c r="K90" s="4">
        <v>0</v>
      </c>
      <c r="L90" s="4"/>
      <c r="M90" s="4"/>
      <c r="N90" s="4"/>
      <c r="O90" s="4"/>
      <c r="P90" s="4">
        <v>0</v>
      </c>
      <c r="Q90" s="4"/>
      <c r="R90" s="4"/>
      <c r="S90" s="80">
        <f t="shared" si="23"/>
        <v>0</v>
      </c>
      <c r="T90">
        <v>88</v>
      </c>
    </row>
    <row r="91" spans="3:20" x14ac:dyDescent="0.3">
      <c r="D91">
        <v>1445</v>
      </c>
      <c r="E91" t="s">
        <v>382</v>
      </c>
      <c r="F91" s="4">
        <v>0</v>
      </c>
      <c r="G91" s="4"/>
      <c r="H91" s="4">
        <v>0</v>
      </c>
      <c r="I91" s="4">
        <v>0</v>
      </c>
      <c r="J91" s="4">
        <v>0</v>
      </c>
      <c r="K91" s="4">
        <v>0</v>
      </c>
      <c r="L91" s="4"/>
      <c r="M91" s="4"/>
      <c r="N91" s="4"/>
      <c r="O91" s="4"/>
      <c r="P91" s="4">
        <v>0</v>
      </c>
      <c r="Q91" s="4"/>
      <c r="R91" s="4"/>
      <c r="S91" s="80">
        <f t="shared" si="23"/>
        <v>0</v>
      </c>
      <c r="T91">
        <v>89</v>
      </c>
    </row>
    <row r="92" spans="3:20" x14ac:dyDescent="0.3">
      <c r="D92">
        <v>1446</v>
      </c>
      <c r="E92" t="s">
        <v>383</v>
      </c>
      <c r="F92" s="4">
        <v>46000</v>
      </c>
      <c r="G92" s="4"/>
      <c r="H92" s="4">
        <v>0</v>
      </c>
      <c r="I92" s="4">
        <v>0</v>
      </c>
      <c r="J92" s="4">
        <v>0</v>
      </c>
      <c r="K92" s="4">
        <v>0</v>
      </c>
      <c r="L92" s="4"/>
      <c r="M92" s="4"/>
      <c r="N92" s="4"/>
      <c r="O92" s="4"/>
      <c r="P92" s="4">
        <v>0</v>
      </c>
      <c r="Q92" s="4"/>
      <c r="R92" s="4"/>
      <c r="S92" s="80">
        <f t="shared" si="23"/>
        <v>46000</v>
      </c>
      <c r="T92">
        <v>90</v>
      </c>
    </row>
    <row r="93" spans="3:20" x14ac:dyDescent="0.3">
      <c r="D93">
        <v>1447</v>
      </c>
      <c r="E93" t="s">
        <v>384</v>
      </c>
      <c r="F93" s="4">
        <v>0</v>
      </c>
      <c r="G93" s="4"/>
      <c r="H93" s="4">
        <v>0</v>
      </c>
      <c r="I93" s="4">
        <v>0</v>
      </c>
      <c r="J93" s="4">
        <v>0</v>
      </c>
      <c r="K93" s="4">
        <v>0</v>
      </c>
      <c r="L93" s="4"/>
      <c r="M93" s="4"/>
      <c r="N93" s="4"/>
      <c r="O93" s="4"/>
      <c r="P93" s="4">
        <v>0</v>
      </c>
      <c r="Q93" s="4"/>
      <c r="R93" s="4"/>
      <c r="S93" s="80">
        <f t="shared" si="23"/>
        <v>0</v>
      </c>
      <c r="T93">
        <v>91</v>
      </c>
    </row>
    <row r="94" spans="3:20" x14ac:dyDescent="0.3">
      <c r="D94">
        <v>1448</v>
      </c>
      <c r="E94" t="s">
        <v>385</v>
      </c>
      <c r="F94" s="4">
        <v>0</v>
      </c>
      <c r="G94" s="4"/>
      <c r="H94" s="4">
        <v>0</v>
      </c>
      <c r="I94" s="4">
        <v>0</v>
      </c>
      <c r="J94" s="4">
        <v>0</v>
      </c>
      <c r="K94" s="4">
        <v>0</v>
      </c>
      <c r="L94" s="4"/>
      <c r="M94" s="4"/>
      <c r="N94" s="4"/>
      <c r="O94" s="4"/>
      <c r="P94" s="4">
        <v>0</v>
      </c>
      <c r="Q94" s="4"/>
      <c r="R94" s="4"/>
      <c r="S94" s="80">
        <f t="shared" si="23"/>
        <v>0</v>
      </c>
      <c r="T94">
        <v>92</v>
      </c>
    </row>
    <row r="95" spans="3:20" x14ac:dyDescent="0.3">
      <c r="F95" s="4"/>
      <c r="G95" s="4"/>
      <c r="H95" s="4"/>
      <c r="I95" s="4"/>
      <c r="J95" s="4"/>
      <c r="K95" s="4"/>
      <c r="L95" s="4"/>
      <c r="M95" s="4"/>
      <c r="N95" s="4"/>
      <c r="O95" s="4"/>
      <c r="P95" s="4"/>
      <c r="Q95" s="4"/>
      <c r="R95" s="4"/>
      <c r="S95" s="80"/>
      <c r="T95">
        <v>93</v>
      </c>
    </row>
    <row r="96" spans="3:20" x14ac:dyDescent="0.3">
      <c r="C96" s="69">
        <v>145</v>
      </c>
      <c r="D96" s="69"/>
      <c r="E96" s="69" t="s">
        <v>388</v>
      </c>
      <c r="F96" s="70">
        <f>F97+F98+F99+F100+F101+F102+F103+F104+F105</f>
        <v>0</v>
      </c>
      <c r="G96" s="70">
        <f t="shared" ref="G96:R96" si="24">G97+G98+G99+G100+G101+G102+G103+G104+G105</f>
        <v>0</v>
      </c>
      <c r="H96" s="70">
        <f t="shared" si="24"/>
        <v>0</v>
      </c>
      <c r="I96" s="70">
        <f t="shared" si="24"/>
        <v>0</v>
      </c>
      <c r="J96" s="70">
        <f t="shared" si="24"/>
        <v>0</v>
      </c>
      <c r="K96" s="70">
        <f t="shared" si="24"/>
        <v>72004</v>
      </c>
      <c r="L96" s="70">
        <f t="shared" si="24"/>
        <v>0</v>
      </c>
      <c r="M96" s="70">
        <f t="shared" si="24"/>
        <v>0</v>
      </c>
      <c r="N96" s="70">
        <f t="shared" si="24"/>
        <v>0</v>
      </c>
      <c r="O96" s="70">
        <f t="shared" si="24"/>
        <v>0</v>
      </c>
      <c r="P96" s="70">
        <f t="shared" si="24"/>
        <v>0</v>
      </c>
      <c r="Q96" s="70">
        <f t="shared" si="24"/>
        <v>0</v>
      </c>
      <c r="R96" s="70">
        <f t="shared" si="24"/>
        <v>0</v>
      </c>
      <c r="S96" s="70">
        <f t="shared" ref="S96:S105" si="25">SUM(F96:R96)</f>
        <v>72004</v>
      </c>
      <c r="T96">
        <v>94</v>
      </c>
    </row>
    <row r="97" spans="3:20" x14ac:dyDescent="0.3">
      <c r="D97">
        <v>1450</v>
      </c>
      <c r="E97" t="s">
        <v>387</v>
      </c>
      <c r="F97" s="4">
        <v>0</v>
      </c>
      <c r="G97" s="4"/>
      <c r="H97" s="4">
        <v>0</v>
      </c>
      <c r="I97" s="4">
        <v>0</v>
      </c>
      <c r="J97" s="4">
        <v>0</v>
      </c>
      <c r="K97" s="4">
        <v>0</v>
      </c>
      <c r="L97" s="4"/>
      <c r="M97" s="4"/>
      <c r="N97" s="4"/>
      <c r="O97" s="4"/>
      <c r="P97" s="4">
        <v>0</v>
      </c>
      <c r="Q97" s="4"/>
      <c r="R97" s="4"/>
      <c r="S97" s="80">
        <f t="shared" si="25"/>
        <v>0</v>
      </c>
      <c r="T97">
        <v>95</v>
      </c>
    </row>
    <row r="98" spans="3:20" x14ac:dyDescent="0.3">
      <c r="D98">
        <v>1451</v>
      </c>
      <c r="E98" t="s">
        <v>386</v>
      </c>
      <c r="F98" s="4">
        <v>0</v>
      </c>
      <c r="G98" s="4"/>
      <c r="H98" s="4">
        <v>0</v>
      </c>
      <c r="I98" s="4">
        <v>0</v>
      </c>
      <c r="J98" s="4">
        <v>0</v>
      </c>
      <c r="K98" s="4">
        <v>0</v>
      </c>
      <c r="L98" s="4"/>
      <c r="M98" s="4"/>
      <c r="N98" s="4"/>
      <c r="O98" s="4"/>
      <c r="P98" s="4">
        <v>0</v>
      </c>
      <c r="Q98" s="4"/>
      <c r="R98" s="4"/>
      <c r="S98" s="80">
        <f t="shared" si="25"/>
        <v>0</v>
      </c>
      <c r="T98">
        <v>96</v>
      </c>
    </row>
    <row r="99" spans="3:20" x14ac:dyDescent="0.3">
      <c r="D99">
        <v>1452</v>
      </c>
      <c r="E99" t="s">
        <v>389</v>
      </c>
      <c r="F99" s="4">
        <v>0</v>
      </c>
      <c r="G99" s="4"/>
      <c r="H99" s="4">
        <v>0</v>
      </c>
      <c r="I99" s="4">
        <v>0</v>
      </c>
      <c r="J99" s="4">
        <v>0</v>
      </c>
      <c r="K99" s="4">
        <v>0</v>
      </c>
      <c r="L99" s="4"/>
      <c r="M99" s="4"/>
      <c r="N99" s="4"/>
      <c r="O99" s="4"/>
      <c r="P99" s="4">
        <v>0</v>
      </c>
      <c r="Q99" s="4"/>
      <c r="R99" s="4"/>
      <c r="S99" s="80">
        <f t="shared" si="25"/>
        <v>0</v>
      </c>
      <c r="T99">
        <v>97</v>
      </c>
    </row>
    <row r="100" spans="3:20" x14ac:dyDescent="0.3">
      <c r="D100">
        <v>1453</v>
      </c>
      <c r="E100" t="s">
        <v>390</v>
      </c>
      <c r="F100" s="4">
        <v>0</v>
      </c>
      <c r="G100" s="4"/>
      <c r="H100" s="4">
        <v>0</v>
      </c>
      <c r="I100" s="4">
        <v>0</v>
      </c>
      <c r="J100" s="4">
        <v>0</v>
      </c>
      <c r="K100" s="4">
        <v>0</v>
      </c>
      <c r="L100" s="4"/>
      <c r="M100" s="4"/>
      <c r="N100" s="4"/>
      <c r="O100" s="4"/>
      <c r="P100" s="4">
        <v>0</v>
      </c>
      <c r="Q100" s="4"/>
      <c r="R100" s="4"/>
      <c r="S100" s="80">
        <f t="shared" si="25"/>
        <v>0</v>
      </c>
      <c r="T100">
        <v>98</v>
      </c>
    </row>
    <row r="101" spans="3:20" x14ac:dyDescent="0.3">
      <c r="D101">
        <v>1454</v>
      </c>
      <c r="E101" t="s">
        <v>391</v>
      </c>
      <c r="F101" s="4">
        <v>0</v>
      </c>
      <c r="G101" s="4"/>
      <c r="H101" s="4">
        <v>0</v>
      </c>
      <c r="I101" s="4">
        <v>0</v>
      </c>
      <c r="J101" s="4">
        <v>0</v>
      </c>
      <c r="K101" s="4">
        <v>0</v>
      </c>
      <c r="L101" s="4"/>
      <c r="M101" s="4"/>
      <c r="N101" s="4"/>
      <c r="O101" s="4"/>
      <c r="P101" s="4">
        <v>0</v>
      </c>
      <c r="Q101" s="4"/>
      <c r="R101" s="4"/>
      <c r="S101" s="80">
        <f t="shared" si="25"/>
        <v>0</v>
      </c>
      <c r="T101">
        <v>99</v>
      </c>
    </row>
    <row r="102" spans="3:20" x14ac:dyDescent="0.3">
      <c r="D102">
        <v>1455</v>
      </c>
      <c r="E102" t="s">
        <v>392</v>
      </c>
      <c r="F102" s="4">
        <v>0</v>
      </c>
      <c r="G102" s="4"/>
      <c r="H102" s="4">
        <v>0</v>
      </c>
      <c r="I102" s="4">
        <v>0</v>
      </c>
      <c r="J102" s="4">
        <v>0</v>
      </c>
      <c r="K102" s="4">
        <v>72004</v>
      </c>
      <c r="L102" s="4"/>
      <c r="M102" s="4"/>
      <c r="N102" s="4"/>
      <c r="O102" s="4"/>
      <c r="P102" s="4">
        <v>0</v>
      </c>
      <c r="Q102" s="4"/>
      <c r="R102" s="4"/>
      <c r="S102" s="80">
        <f t="shared" si="25"/>
        <v>72004</v>
      </c>
      <c r="T102">
        <v>100</v>
      </c>
    </row>
    <row r="103" spans="3:20" x14ac:dyDescent="0.3">
      <c r="D103">
        <v>1456</v>
      </c>
      <c r="E103" t="s">
        <v>393</v>
      </c>
      <c r="F103" s="4">
        <v>0</v>
      </c>
      <c r="G103" s="4"/>
      <c r="H103" s="4">
        <v>0</v>
      </c>
      <c r="I103" s="4">
        <v>0</v>
      </c>
      <c r="J103" s="4">
        <v>0</v>
      </c>
      <c r="K103" s="4">
        <v>0</v>
      </c>
      <c r="L103" s="4"/>
      <c r="M103" s="4"/>
      <c r="N103" s="4"/>
      <c r="O103" s="4"/>
      <c r="P103" s="4">
        <v>0</v>
      </c>
      <c r="Q103" s="4"/>
      <c r="R103" s="4"/>
      <c r="S103" s="80">
        <f t="shared" si="25"/>
        <v>0</v>
      </c>
      <c r="T103">
        <v>101</v>
      </c>
    </row>
    <row r="104" spans="3:20" x14ac:dyDescent="0.3">
      <c r="D104">
        <v>1457</v>
      </c>
      <c r="E104" t="s">
        <v>394</v>
      </c>
      <c r="F104" s="4">
        <v>0</v>
      </c>
      <c r="G104" s="4"/>
      <c r="H104" s="4">
        <v>0</v>
      </c>
      <c r="I104" s="4">
        <v>0</v>
      </c>
      <c r="J104" s="4">
        <v>0</v>
      </c>
      <c r="K104" s="4">
        <v>0</v>
      </c>
      <c r="L104" s="4"/>
      <c r="M104" s="4"/>
      <c r="N104" s="4"/>
      <c r="O104" s="4"/>
      <c r="P104" s="4">
        <v>0</v>
      </c>
      <c r="Q104" s="4"/>
      <c r="R104" s="4"/>
      <c r="S104" s="80">
        <f t="shared" si="25"/>
        <v>0</v>
      </c>
      <c r="T104">
        <v>102</v>
      </c>
    </row>
    <row r="105" spans="3:20" x14ac:dyDescent="0.3">
      <c r="D105">
        <v>1458</v>
      </c>
      <c r="E105" t="s">
        <v>395</v>
      </c>
      <c r="F105" s="4">
        <v>0</v>
      </c>
      <c r="G105" s="4"/>
      <c r="H105" s="4">
        <v>0</v>
      </c>
      <c r="I105" s="4">
        <v>0</v>
      </c>
      <c r="J105" s="4">
        <v>0</v>
      </c>
      <c r="K105" s="4">
        <v>0</v>
      </c>
      <c r="L105" s="4"/>
      <c r="M105" s="4"/>
      <c r="N105" s="4"/>
      <c r="O105" s="4"/>
      <c r="P105" s="4">
        <v>0</v>
      </c>
      <c r="Q105" s="4"/>
      <c r="R105" s="4"/>
      <c r="S105" s="80">
        <f t="shared" si="25"/>
        <v>0</v>
      </c>
      <c r="T105">
        <v>103</v>
      </c>
    </row>
    <row r="106" spans="3:20" x14ac:dyDescent="0.3">
      <c r="F106" s="4"/>
      <c r="G106" s="4"/>
      <c r="H106" s="4"/>
      <c r="I106" s="4"/>
      <c r="J106" s="4"/>
      <c r="K106" s="4"/>
      <c r="L106" s="4"/>
      <c r="M106" s="4"/>
      <c r="N106" s="4"/>
      <c r="O106" s="4"/>
      <c r="P106" s="4"/>
      <c r="Q106" s="4"/>
      <c r="R106" s="4"/>
      <c r="S106" s="80"/>
      <c r="T106">
        <v>104</v>
      </c>
    </row>
    <row r="107" spans="3:20" x14ac:dyDescent="0.3">
      <c r="C107" s="69">
        <v>146</v>
      </c>
      <c r="D107" s="69"/>
      <c r="E107" s="69" t="s">
        <v>406</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501</v>
      </c>
      <c r="Q107" s="70">
        <f t="shared" si="26"/>
        <v>0</v>
      </c>
      <c r="R107" s="70">
        <f t="shared" si="26"/>
        <v>0</v>
      </c>
      <c r="S107" s="70">
        <f t="shared" ref="S107:S118" si="27">SUM(F107:R107)</f>
        <v>501</v>
      </c>
      <c r="T107">
        <v>105</v>
      </c>
    </row>
    <row r="108" spans="3:20" x14ac:dyDescent="0.3">
      <c r="D108">
        <v>1460</v>
      </c>
      <c r="E108" t="s">
        <v>403</v>
      </c>
      <c r="F108" s="4">
        <v>0</v>
      </c>
      <c r="G108" s="4"/>
      <c r="H108" s="4">
        <v>0</v>
      </c>
      <c r="I108" s="4">
        <v>0</v>
      </c>
      <c r="J108" s="4">
        <v>0</v>
      </c>
      <c r="K108" s="4">
        <v>0</v>
      </c>
      <c r="L108" s="4"/>
      <c r="M108" s="4"/>
      <c r="N108" s="4"/>
      <c r="O108" s="4"/>
      <c r="P108" s="4">
        <v>0</v>
      </c>
      <c r="Q108" s="4"/>
      <c r="R108" s="4"/>
      <c r="S108" s="80">
        <f t="shared" si="27"/>
        <v>0</v>
      </c>
      <c r="T108">
        <v>106</v>
      </c>
    </row>
    <row r="109" spans="3:20" x14ac:dyDescent="0.3">
      <c r="D109">
        <v>1461</v>
      </c>
      <c r="E109" t="s">
        <v>404</v>
      </c>
      <c r="F109" s="4">
        <v>0</v>
      </c>
      <c r="G109" s="4"/>
      <c r="H109" s="4">
        <v>0</v>
      </c>
      <c r="I109" s="4">
        <v>0</v>
      </c>
      <c r="J109" s="4">
        <v>0</v>
      </c>
      <c r="K109" s="4">
        <v>0</v>
      </c>
      <c r="L109" s="4"/>
      <c r="M109" s="4"/>
      <c r="N109" s="4"/>
      <c r="O109" s="4"/>
      <c r="P109" s="4">
        <v>0</v>
      </c>
      <c r="Q109" s="4"/>
      <c r="R109" s="4"/>
      <c r="S109" s="80">
        <f t="shared" si="27"/>
        <v>0</v>
      </c>
      <c r="T109">
        <v>107</v>
      </c>
    </row>
    <row r="110" spans="3:20" x14ac:dyDescent="0.3">
      <c r="D110">
        <v>1462</v>
      </c>
      <c r="E110" t="s">
        <v>396</v>
      </c>
      <c r="F110" s="4">
        <v>0</v>
      </c>
      <c r="G110" s="4"/>
      <c r="H110" s="4">
        <v>0</v>
      </c>
      <c r="I110" s="4">
        <v>0</v>
      </c>
      <c r="J110" s="4">
        <v>0</v>
      </c>
      <c r="K110" s="4">
        <v>0</v>
      </c>
      <c r="L110" s="4"/>
      <c r="M110" s="4"/>
      <c r="N110" s="4"/>
      <c r="O110" s="4"/>
      <c r="P110" s="4">
        <v>0</v>
      </c>
      <c r="Q110" s="4"/>
      <c r="R110" s="4"/>
      <c r="S110" s="80">
        <f t="shared" si="27"/>
        <v>0</v>
      </c>
      <c r="T110">
        <v>108</v>
      </c>
    </row>
    <row r="111" spans="3:20" x14ac:dyDescent="0.3">
      <c r="D111">
        <v>1463</v>
      </c>
      <c r="E111" t="s">
        <v>397</v>
      </c>
      <c r="F111" s="4">
        <v>0</v>
      </c>
      <c r="G111" s="4"/>
      <c r="H111" s="4">
        <v>0</v>
      </c>
      <c r="I111" s="4">
        <v>0</v>
      </c>
      <c r="J111" s="4">
        <v>0</v>
      </c>
      <c r="K111" s="4">
        <v>0</v>
      </c>
      <c r="L111" s="4"/>
      <c r="M111" s="4"/>
      <c r="N111" s="4"/>
      <c r="O111" s="4"/>
      <c r="P111" s="4">
        <v>0</v>
      </c>
      <c r="Q111" s="4"/>
      <c r="R111" s="4"/>
      <c r="S111" s="80">
        <f t="shared" si="27"/>
        <v>0</v>
      </c>
      <c r="T111">
        <v>109</v>
      </c>
    </row>
    <row r="112" spans="3:20" x14ac:dyDescent="0.3">
      <c r="D112">
        <v>1464</v>
      </c>
      <c r="E112" t="s">
        <v>398</v>
      </c>
      <c r="F112" s="4">
        <v>0</v>
      </c>
      <c r="G112" s="4"/>
      <c r="H112" s="4">
        <v>0</v>
      </c>
      <c r="I112" s="4">
        <v>0</v>
      </c>
      <c r="J112" s="4">
        <v>0</v>
      </c>
      <c r="K112" s="4">
        <v>0</v>
      </c>
      <c r="L112" s="4"/>
      <c r="M112" s="4"/>
      <c r="N112" s="4"/>
      <c r="O112" s="4"/>
      <c r="P112" s="4">
        <v>0</v>
      </c>
      <c r="Q112" s="4"/>
      <c r="R112" s="4"/>
      <c r="S112" s="80">
        <f t="shared" si="27"/>
        <v>0</v>
      </c>
      <c r="T112">
        <v>110</v>
      </c>
    </row>
    <row r="113" spans="1:20" x14ac:dyDescent="0.3">
      <c r="D113">
        <v>1465</v>
      </c>
      <c r="E113" t="s">
        <v>399</v>
      </c>
      <c r="F113" s="4">
        <v>0</v>
      </c>
      <c r="G113" s="4"/>
      <c r="H113" s="4">
        <v>0</v>
      </c>
      <c r="I113" s="4">
        <v>0</v>
      </c>
      <c r="J113" s="4">
        <v>0</v>
      </c>
      <c r="K113" s="4">
        <v>0</v>
      </c>
      <c r="L113" s="4"/>
      <c r="M113" s="4"/>
      <c r="N113" s="4"/>
      <c r="O113" s="4"/>
      <c r="P113" s="4">
        <v>0</v>
      </c>
      <c r="Q113" s="4"/>
      <c r="R113" s="4"/>
      <c r="S113" s="80">
        <f t="shared" si="27"/>
        <v>0</v>
      </c>
      <c r="T113">
        <v>111</v>
      </c>
    </row>
    <row r="114" spans="1:20" x14ac:dyDescent="0.3">
      <c r="D114">
        <v>1466</v>
      </c>
      <c r="E114" t="s">
        <v>405</v>
      </c>
      <c r="F114" s="4">
        <v>0</v>
      </c>
      <c r="G114" s="4"/>
      <c r="H114" s="4">
        <v>0</v>
      </c>
      <c r="I114" s="4">
        <v>0</v>
      </c>
      <c r="J114" s="4">
        <v>0</v>
      </c>
      <c r="K114" s="4">
        <v>0</v>
      </c>
      <c r="L114" s="4"/>
      <c r="M114" s="4"/>
      <c r="N114" s="4"/>
      <c r="O114" s="4"/>
      <c r="P114" s="4">
        <v>501</v>
      </c>
      <c r="Q114" s="4"/>
      <c r="R114" s="4"/>
      <c r="S114" s="80">
        <f t="shared" si="27"/>
        <v>501</v>
      </c>
      <c r="T114">
        <v>112</v>
      </c>
    </row>
    <row r="115" spans="1:20" x14ac:dyDescent="0.3">
      <c r="D115">
        <v>1467</v>
      </c>
      <c r="E115" t="s">
        <v>400</v>
      </c>
      <c r="F115" s="4">
        <v>0</v>
      </c>
      <c r="G115" s="4"/>
      <c r="H115" s="4">
        <v>0</v>
      </c>
      <c r="I115" s="4">
        <v>0</v>
      </c>
      <c r="J115" s="4">
        <v>0</v>
      </c>
      <c r="K115" s="4">
        <v>0</v>
      </c>
      <c r="L115" s="4"/>
      <c r="M115" s="4"/>
      <c r="N115" s="4"/>
      <c r="O115" s="4"/>
      <c r="P115" s="4">
        <v>0</v>
      </c>
      <c r="Q115" s="4"/>
      <c r="R115" s="4"/>
      <c r="S115" s="80">
        <f t="shared" si="27"/>
        <v>0</v>
      </c>
      <c r="T115">
        <v>113</v>
      </c>
    </row>
    <row r="116" spans="1:20" x14ac:dyDescent="0.3">
      <c r="D116">
        <v>1468</v>
      </c>
      <c r="E116" t="s">
        <v>401</v>
      </c>
      <c r="F116" s="4">
        <v>0</v>
      </c>
      <c r="G116" s="4"/>
      <c r="H116" s="4">
        <v>0</v>
      </c>
      <c r="I116" s="4">
        <v>0</v>
      </c>
      <c r="J116" s="4">
        <v>0</v>
      </c>
      <c r="K116" s="4">
        <v>0</v>
      </c>
      <c r="L116" s="4"/>
      <c r="M116" s="4"/>
      <c r="N116" s="4"/>
      <c r="O116" s="4"/>
      <c r="P116" s="4">
        <v>0</v>
      </c>
      <c r="Q116" s="4"/>
      <c r="R116" s="4"/>
      <c r="S116" s="80">
        <f t="shared" si="27"/>
        <v>0</v>
      </c>
      <c r="T116">
        <v>114</v>
      </c>
    </row>
    <row r="117" spans="1:20" x14ac:dyDescent="0.3">
      <c r="D117">
        <v>1469</v>
      </c>
      <c r="E117" t="s">
        <v>402</v>
      </c>
      <c r="F117" s="4">
        <v>0</v>
      </c>
      <c r="G117" s="4"/>
      <c r="H117" s="4">
        <v>0</v>
      </c>
      <c r="I117" s="4">
        <v>0</v>
      </c>
      <c r="J117" s="4">
        <v>0</v>
      </c>
      <c r="K117" s="4">
        <v>0</v>
      </c>
      <c r="L117" s="4"/>
      <c r="M117" s="4"/>
      <c r="N117" s="4"/>
      <c r="O117" s="4"/>
      <c r="P117" s="4">
        <v>0</v>
      </c>
      <c r="Q117" s="4"/>
      <c r="R117" s="4"/>
      <c r="S117" s="80">
        <f t="shared" si="27"/>
        <v>0</v>
      </c>
      <c r="T117">
        <v>115</v>
      </c>
    </row>
    <row r="118" spans="1:20" x14ac:dyDescent="0.3">
      <c r="F118" s="4"/>
      <c r="G118" s="4"/>
      <c r="H118" s="4"/>
      <c r="I118" s="4"/>
      <c r="J118" s="4"/>
      <c r="K118" s="4"/>
      <c r="L118" s="4"/>
      <c r="M118" s="4"/>
      <c r="N118" s="4"/>
      <c r="O118" s="4"/>
      <c r="P118" s="4"/>
      <c r="Q118" s="4"/>
      <c r="R118" s="4"/>
      <c r="S118" s="80">
        <f t="shared" si="27"/>
        <v>0</v>
      </c>
      <c r="T118">
        <v>116</v>
      </c>
    </row>
    <row r="119" spans="1:20" x14ac:dyDescent="0.3">
      <c r="F119" s="4"/>
      <c r="G119" s="4"/>
      <c r="H119" s="4"/>
      <c r="I119" s="4"/>
      <c r="J119" s="4"/>
      <c r="K119" s="4"/>
      <c r="L119" s="4"/>
      <c r="M119" s="4"/>
      <c r="N119" s="4"/>
      <c r="O119" s="4"/>
      <c r="P119" s="4"/>
      <c r="Q119" s="4"/>
      <c r="R119" s="4"/>
      <c r="S119" s="80"/>
      <c r="T119">
        <v>117</v>
      </c>
    </row>
    <row r="120" spans="1:20" ht="21" x14ac:dyDescent="0.4">
      <c r="A120" s="81">
        <v>2</v>
      </c>
      <c r="B120" s="81"/>
      <c r="C120" s="81"/>
      <c r="D120" s="81"/>
      <c r="E120" s="81" t="s">
        <v>258</v>
      </c>
      <c r="F120" s="88">
        <f>F122+F132+F142+F152+F164+F172+F183+F190+F193+F197+F200+F203+F206+F209+F212+F215</f>
        <v>10598676.65</v>
      </c>
      <c r="G120" s="88">
        <f t="shared" ref="G120:R120" si="28">G122+G132+G142+G152+G164+G172+G183+G190+G193+G197+G200+G203+G206+G209+G212+G215</f>
        <v>0</v>
      </c>
      <c r="H120" s="88">
        <f t="shared" si="28"/>
        <v>1075855.07</v>
      </c>
      <c r="I120" s="88">
        <f t="shared" si="28"/>
        <v>846345.96000000008</v>
      </c>
      <c r="J120" s="88">
        <f t="shared" si="28"/>
        <v>2741475.79</v>
      </c>
      <c r="K120" s="88">
        <f t="shared" si="28"/>
        <v>33840776.82</v>
      </c>
      <c r="L120" s="88">
        <f t="shared" si="28"/>
        <v>0</v>
      </c>
      <c r="M120" s="88">
        <f t="shared" si="28"/>
        <v>0</v>
      </c>
      <c r="N120" s="88">
        <f t="shared" si="28"/>
        <v>0</v>
      </c>
      <c r="O120" s="88">
        <f t="shared" si="28"/>
        <v>0</v>
      </c>
      <c r="P120" s="88">
        <f t="shared" si="28"/>
        <v>2594873.75</v>
      </c>
      <c r="Q120" s="88">
        <f t="shared" si="28"/>
        <v>0</v>
      </c>
      <c r="R120" s="88">
        <f t="shared" si="28"/>
        <v>0</v>
      </c>
      <c r="S120" s="82">
        <f t="shared" ref="S120:S130" si="29">SUM(F120:R120)</f>
        <v>51698004.040000007</v>
      </c>
      <c r="T120">
        <v>118</v>
      </c>
    </row>
    <row r="121" spans="1:20" x14ac:dyDescent="0.3">
      <c r="A121" s="7"/>
      <c r="B121" s="85">
        <v>20</v>
      </c>
      <c r="C121" s="85"/>
      <c r="D121" s="85"/>
      <c r="E121" s="85" t="s">
        <v>259</v>
      </c>
      <c r="F121" s="86">
        <f>F122+F132+F142+F152+F164+F172+F183</f>
        <v>3140653.1</v>
      </c>
      <c r="G121" s="86">
        <f t="shared" ref="G121:R121" si="30">G122+G132+G142+G152+G164+G172+G183</f>
        <v>0</v>
      </c>
      <c r="H121" s="86">
        <f t="shared" si="30"/>
        <v>326299.3</v>
      </c>
      <c r="I121" s="86">
        <f t="shared" si="30"/>
        <v>177.1</v>
      </c>
      <c r="J121" s="86">
        <f t="shared" si="30"/>
        <v>599187.85</v>
      </c>
      <c r="K121" s="86">
        <f t="shared" si="30"/>
        <v>3922850.45</v>
      </c>
      <c r="L121" s="86">
        <f t="shared" si="30"/>
        <v>0</v>
      </c>
      <c r="M121" s="86">
        <f t="shared" si="30"/>
        <v>0</v>
      </c>
      <c r="N121" s="86">
        <f t="shared" si="30"/>
        <v>0</v>
      </c>
      <c r="O121" s="86">
        <f t="shared" si="30"/>
        <v>0</v>
      </c>
      <c r="P121" s="86">
        <f t="shared" si="30"/>
        <v>25318.6</v>
      </c>
      <c r="Q121" s="86">
        <f t="shared" si="30"/>
        <v>0</v>
      </c>
      <c r="R121" s="86">
        <f t="shared" si="30"/>
        <v>0</v>
      </c>
      <c r="S121" s="86">
        <f t="shared" si="29"/>
        <v>8014486.4000000004</v>
      </c>
      <c r="T121">
        <v>119</v>
      </c>
    </row>
    <row r="122" spans="1:20" x14ac:dyDescent="0.3">
      <c r="C122" s="83">
        <v>200</v>
      </c>
      <c r="D122" s="83"/>
      <c r="E122" s="83" t="s">
        <v>260</v>
      </c>
      <c r="F122" s="84">
        <f>F123+F124+F125+F126+F127+F128+F129+F130</f>
        <v>73180.2</v>
      </c>
      <c r="G122" s="84">
        <f t="shared" ref="G122:R122" si="31">G123+G124+G125+G126+G127+G128+G129+G130</f>
        <v>0</v>
      </c>
      <c r="H122" s="84">
        <f t="shared" si="31"/>
        <v>0</v>
      </c>
      <c r="I122" s="84">
        <f t="shared" si="31"/>
        <v>0</v>
      </c>
      <c r="J122" s="84">
        <f t="shared" si="31"/>
        <v>17194.05</v>
      </c>
      <c r="K122" s="84">
        <f t="shared" si="31"/>
        <v>92626.65</v>
      </c>
      <c r="L122" s="84">
        <f t="shared" si="31"/>
        <v>0</v>
      </c>
      <c r="M122" s="84">
        <f t="shared" si="31"/>
        <v>0</v>
      </c>
      <c r="N122" s="84">
        <f t="shared" si="31"/>
        <v>0</v>
      </c>
      <c r="O122" s="84">
        <f t="shared" si="31"/>
        <v>0</v>
      </c>
      <c r="P122" s="84">
        <f t="shared" si="31"/>
        <v>0</v>
      </c>
      <c r="Q122" s="84">
        <f t="shared" si="31"/>
        <v>0</v>
      </c>
      <c r="R122" s="84">
        <f t="shared" si="31"/>
        <v>0</v>
      </c>
      <c r="S122" s="84">
        <f t="shared" si="29"/>
        <v>183000.9</v>
      </c>
      <c r="T122">
        <v>120</v>
      </c>
    </row>
    <row r="123" spans="1:20" x14ac:dyDescent="0.3">
      <c r="D123">
        <v>2000</v>
      </c>
      <c r="E123" t="s">
        <v>407</v>
      </c>
      <c r="F123" s="4">
        <v>73180.2</v>
      </c>
      <c r="G123" s="4"/>
      <c r="H123" s="4">
        <v>0</v>
      </c>
      <c r="I123" s="4">
        <v>0</v>
      </c>
      <c r="J123" s="4">
        <v>17194.05</v>
      </c>
      <c r="K123" s="4">
        <v>84383.65</v>
      </c>
      <c r="L123" s="4"/>
      <c r="M123" s="4"/>
      <c r="N123" s="4"/>
      <c r="O123" s="4"/>
      <c r="P123" s="4">
        <v>0</v>
      </c>
      <c r="Q123" s="4"/>
      <c r="R123" s="4"/>
      <c r="S123" s="80">
        <f t="shared" si="29"/>
        <v>174757.9</v>
      </c>
      <c r="T123">
        <v>121</v>
      </c>
    </row>
    <row r="124" spans="1:20" x14ac:dyDescent="0.3">
      <c r="D124">
        <v>2001</v>
      </c>
      <c r="E124" t="s">
        <v>408</v>
      </c>
      <c r="F124" s="4">
        <v>0</v>
      </c>
      <c r="G124" s="4"/>
      <c r="H124" s="4">
        <v>0</v>
      </c>
      <c r="I124" s="4">
        <v>0</v>
      </c>
      <c r="J124" s="4">
        <v>0</v>
      </c>
      <c r="K124" s="4">
        <v>0</v>
      </c>
      <c r="L124" s="4"/>
      <c r="M124" s="4"/>
      <c r="N124" s="4"/>
      <c r="O124" s="4"/>
      <c r="P124" s="4">
        <v>0</v>
      </c>
      <c r="Q124" s="4"/>
      <c r="R124" s="4"/>
      <c r="S124" s="80">
        <f t="shared" si="29"/>
        <v>0</v>
      </c>
      <c r="T124">
        <v>122</v>
      </c>
    </row>
    <row r="125" spans="1:20" x14ac:dyDescent="0.3">
      <c r="D125">
        <v>2002</v>
      </c>
      <c r="E125" t="s">
        <v>409</v>
      </c>
      <c r="F125" s="4">
        <v>0</v>
      </c>
      <c r="G125" s="4"/>
      <c r="H125" s="4">
        <v>0</v>
      </c>
      <c r="I125" s="4">
        <v>0</v>
      </c>
      <c r="J125" s="4">
        <v>0</v>
      </c>
      <c r="K125" s="4">
        <v>0</v>
      </c>
      <c r="L125" s="4"/>
      <c r="M125" s="4"/>
      <c r="N125" s="4"/>
      <c r="O125" s="4"/>
      <c r="P125" s="4">
        <v>0</v>
      </c>
      <c r="Q125" s="4"/>
      <c r="R125" s="4"/>
      <c r="S125" s="80">
        <f t="shared" si="29"/>
        <v>0</v>
      </c>
      <c r="T125">
        <v>123</v>
      </c>
    </row>
    <row r="126" spans="1:20" x14ac:dyDescent="0.3">
      <c r="D126">
        <v>2003</v>
      </c>
      <c r="E126" t="s">
        <v>410</v>
      </c>
      <c r="F126" s="4">
        <v>0</v>
      </c>
      <c r="G126" s="4"/>
      <c r="H126" s="4">
        <v>0</v>
      </c>
      <c r="I126" s="4">
        <v>0</v>
      </c>
      <c r="J126" s="4">
        <v>0</v>
      </c>
      <c r="K126" s="4">
        <v>6143</v>
      </c>
      <c r="L126" s="4"/>
      <c r="M126" s="4"/>
      <c r="N126" s="4"/>
      <c r="O126" s="4"/>
      <c r="P126" s="4">
        <v>0</v>
      </c>
      <c r="Q126" s="4"/>
      <c r="R126" s="4"/>
      <c r="S126" s="80">
        <f t="shared" si="29"/>
        <v>6143</v>
      </c>
      <c r="T126">
        <v>124</v>
      </c>
    </row>
    <row r="127" spans="1:20" x14ac:dyDescent="0.3">
      <c r="D127">
        <v>2004</v>
      </c>
      <c r="E127" t="s">
        <v>411</v>
      </c>
      <c r="F127" s="4">
        <v>0</v>
      </c>
      <c r="G127" s="4"/>
      <c r="H127" s="4">
        <v>0</v>
      </c>
      <c r="I127" s="4">
        <v>0</v>
      </c>
      <c r="J127" s="4">
        <v>0</v>
      </c>
      <c r="K127" s="4">
        <v>0</v>
      </c>
      <c r="L127" s="4"/>
      <c r="M127" s="4"/>
      <c r="N127" s="4"/>
      <c r="O127" s="4"/>
      <c r="P127" s="4">
        <v>0</v>
      </c>
      <c r="Q127" s="4"/>
      <c r="R127" s="4"/>
      <c r="S127" s="80">
        <f t="shared" si="29"/>
        <v>0</v>
      </c>
      <c r="T127">
        <v>125</v>
      </c>
    </row>
    <row r="128" spans="1:20" x14ac:dyDescent="0.3">
      <c r="D128">
        <v>2005</v>
      </c>
      <c r="E128" t="s">
        <v>332</v>
      </c>
      <c r="F128" s="4">
        <v>0</v>
      </c>
      <c r="G128" s="4"/>
      <c r="H128" s="4">
        <v>0</v>
      </c>
      <c r="I128" s="4">
        <v>0</v>
      </c>
      <c r="J128" s="4">
        <v>0</v>
      </c>
      <c r="K128" s="4">
        <v>0</v>
      </c>
      <c r="L128" s="4"/>
      <c r="M128" s="4"/>
      <c r="N128" s="4"/>
      <c r="O128" s="4"/>
      <c r="P128" s="4">
        <v>0</v>
      </c>
      <c r="Q128" s="4"/>
      <c r="R128" s="4"/>
      <c r="S128" s="80">
        <f t="shared" si="29"/>
        <v>0</v>
      </c>
      <c r="T128">
        <v>126</v>
      </c>
    </row>
    <row r="129" spans="3:20" x14ac:dyDescent="0.3">
      <c r="D129">
        <v>2006</v>
      </c>
      <c r="E129" t="s">
        <v>456</v>
      </c>
      <c r="F129" s="4">
        <v>0</v>
      </c>
      <c r="G129" s="4"/>
      <c r="H129" s="4">
        <v>0</v>
      </c>
      <c r="I129" s="4">
        <v>0</v>
      </c>
      <c r="J129" s="4">
        <v>0</v>
      </c>
      <c r="K129" s="4">
        <v>2100</v>
      </c>
      <c r="L129" s="4"/>
      <c r="M129" s="4"/>
      <c r="N129" s="4"/>
      <c r="O129" s="4"/>
      <c r="P129" s="4">
        <v>0</v>
      </c>
      <c r="Q129" s="4"/>
      <c r="R129" s="4"/>
      <c r="S129" s="80">
        <f t="shared" si="29"/>
        <v>2100</v>
      </c>
      <c r="T129">
        <v>127</v>
      </c>
    </row>
    <row r="130" spans="3:20" x14ac:dyDescent="0.3">
      <c r="D130">
        <v>2009</v>
      </c>
      <c r="E130" t="s">
        <v>413</v>
      </c>
      <c r="F130" s="4">
        <v>0</v>
      </c>
      <c r="G130" s="4"/>
      <c r="H130" s="4">
        <v>0</v>
      </c>
      <c r="I130" s="4">
        <v>0</v>
      </c>
      <c r="J130" s="4">
        <v>0</v>
      </c>
      <c r="K130" s="4">
        <v>0</v>
      </c>
      <c r="L130" s="4"/>
      <c r="M130" s="4"/>
      <c r="N130" s="4"/>
      <c r="O130" s="4"/>
      <c r="P130" s="4">
        <v>0</v>
      </c>
      <c r="Q130" s="4"/>
      <c r="R130" s="4"/>
      <c r="S130" s="80">
        <f t="shared" si="29"/>
        <v>0</v>
      </c>
      <c r="T130">
        <v>128</v>
      </c>
    </row>
    <row r="131" spans="3:20" x14ac:dyDescent="0.3">
      <c r="F131" s="4"/>
      <c r="G131" s="4"/>
      <c r="H131" s="4"/>
      <c r="I131" s="4"/>
      <c r="J131" s="4"/>
      <c r="K131" s="4"/>
      <c r="L131" s="4"/>
      <c r="M131" s="4"/>
      <c r="N131" s="4"/>
      <c r="O131" s="4"/>
      <c r="P131" s="4"/>
      <c r="Q131" s="4"/>
      <c r="R131" s="4"/>
      <c r="S131" s="80"/>
      <c r="T131">
        <v>129</v>
      </c>
    </row>
    <row r="132" spans="3:20" x14ac:dyDescent="0.3">
      <c r="C132" s="83">
        <v>201</v>
      </c>
      <c r="D132" s="83"/>
      <c r="E132" s="83" t="s">
        <v>261</v>
      </c>
      <c r="F132" s="84">
        <f>F133+F134+F135+F136+F137+F138+F139+F140</f>
        <v>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0</v>
      </c>
      <c r="T132">
        <v>130</v>
      </c>
    </row>
    <row r="133" spans="3:20" x14ac:dyDescent="0.3">
      <c r="D133">
        <v>2010</v>
      </c>
      <c r="E133" t="s">
        <v>414</v>
      </c>
      <c r="F133" s="4">
        <v>0</v>
      </c>
      <c r="G133" s="4"/>
      <c r="H133" s="4">
        <v>0</v>
      </c>
      <c r="I133" s="4">
        <v>0</v>
      </c>
      <c r="J133" s="4">
        <v>0</v>
      </c>
      <c r="K133" s="4">
        <v>0</v>
      </c>
      <c r="L133" s="4"/>
      <c r="M133" s="4"/>
      <c r="N133" s="4"/>
      <c r="O133" s="4"/>
      <c r="P133" s="4">
        <v>0</v>
      </c>
      <c r="Q133" s="4"/>
      <c r="R133" s="4"/>
      <c r="S133" s="80">
        <f t="shared" si="33"/>
        <v>0</v>
      </c>
      <c r="T133">
        <v>131</v>
      </c>
    </row>
    <row r="134" spans="3:20" x14ac:dyDescent="0.3">
      <c r="D134">
        <v>2011</v>
      </c>
      <c r="E134" t="s">
        <v>415</v>
      </c>
      <c r="F134" s="4">
        <v>0</v>
      </c>
      <c r="G134" s="4"/>
      <c r="H134" s="4">
        <v>0</v>
      </c>
      <c r="I134" s="4">
        <v>0</v>
      </c>
      <c r="J134" s="4">
        <v>0</v>
      </c>
      <c r="K134" s="4">
        <v>0</v>
      </c>
      <c r="L134" s="4"/>
      <c r="M134" s="4"/>
      <c r="N134" s="4"/>
      <c r="O134" s="4"/>
      <c r="P134" s="4">
        <v>0</v>
      </c>
      <c r="Q134" s="4"/>
      <c r="R134" s="4"/>
      <c r="S134" s="80">
        <f t="shared" si="33"/>
        <v>0</v>
      </c>
      <c r="T134">
        <v>132</v>
      </c>
    </row>
    <row r="135" spans="3:20" x14ac:dyDescent="0.3">
      <c r="D135">
        <v>2012</v>
      </c>
      <c r="E135" t="s">
        <v>416</v>
      </c>
      <c r="F135" s="4">
        <v>0</v>
      </c>
      <c r="G135" s="4"/>
      <c r="H135" s="4">
        <v>0</v>
      </c>
      <c r="I135" s="4">
        <v>0</v>
      </c>
      <c r="J135" s="4">
        <v>0</v>
      </c>
      <c r="K135" s="4">
        <v>0</v>
      </c>
      <c r="L135" s="4"/>
      <c r="M135" s="4"/>
      <c r="N135" s="4"/>
      <c r="O135" s="4"/>
      <c r="P135" s="4">
        <v>0</v>
      </c>
      <c r="Q135" s="4"/>
      <c r="R135" s="4"/>
      <c r="S135" s="80">
        <f t="shared" si="33"/>
        <v>0</v>
      </c>
      <c r="T135">
        <v>133</v>
      </c>
    </row>
    <row r="136" spans="3:20" x14ac:dyDescent="0.3">
      <c r="D136">
        <v>2013</v>
      </c>
      <c r="E136" t="s">
        <v>417</v>
      </c>
      <c r="F136" s="4">
        <v>0</v>
      </c>
      <c r="G136" s="4"/>
      <c r="H136" s="4">
        <v>0</v>
      </c>
      <c r="I136" s="4">
        <v>0</v>
      </c>
      <c r="J136" s="4">
        <v>0</v>
      </c>
      <c r="K136" s="4">
        <v>0</v>
      </c>
      <c r="L136" s="4"/>
      <c r="M136" s="4"/>
      <c r="N136" s="4"/>
      <c r="O136" s="4"/>
      <c r="P136" s="4">
        <v>0</v>
      </c>
      <c r="Q136" s="4"/>
      <c r="R136" s="4"/>
      <c r="S136" s="80">
        <f t="shared" si="33"/>
        <v>0</v>
      </c>
      <c r="T136">
        <v>134</v>
      </c>
    </row>
    <row r="137" spans="3:20" x14ac:dyDescent="0.3">
      <c r="D137">
        <v>2014</v>
      </c>
      <c r="E137" t="s">
        <v>419</v>
      </c>
      <c r="F137" s="4">
        <v>0</v>
      </c>
      <c r="G137" s="4"/>
      <c r="H137" s="4">
        <v>0</v>
      </c>
      <c r="I137" s="4">
        <v>0</v>
      </c>
      <c r="J137" s="4">
        <v>0</v>
      </c>
      <c r="K137" s="4">
        <v>0</v>
      </c>
      <c r="L137" s="4"/>
      <c r="M137" s="4"/>
      <c r="N137" s="4"/>
      <c r="O137" s="4"/>
      <c r="P137" s="4">
        <v>0</v>
      </c>
      <c r="Q137" s="4"/>
      <c r="R137" s="4"/>
      <c r="S137" s="80">
        <f t="shared" si="33"/>
        <v>0</v>
      </c>
      <c r="T137">
        <v>135</v>
      </c>
    </row>
    <row r="138" spans="3:20" x14ac:dyDescent="0.3">
      <c r="D138">
        <v>2015</v>
      </c>
      <c r="E138" t="s">
        <v>418</v>
      </c>
      <c r="F138" s="4">
        <v>0</v>
      </c>
      <c r="G138" s="4"/>
      <c r="H138" s="4">
        <v>0</v>
      </c>
      <c r="I138" s="4">
        <v>0</v>
      </c>
      <c r="J138" s="4">
        <v>0</v>
      </c>
      <c r="K138" s="4">
        <v>0</v>
      </c>
      <c r="L138" s="4"/>
      <c r="M138" s="4"/>
      <c r="N138" s="4"/>
      <c r="O138" s="4"/>
      <c r="P138" s="4">
        <v>0</v>
      </c>
      <c r="Q138" s="4"/>
      <c r="R138" s="4"/>
      <c r="S138" s="80">
        <f t="shared" si="33"/>
        <v>0</v>
      </c>
      <c r="T138">
        <v>136</v>
      </c>
    </row>
    <row r="139" spans="3:20" x14ac:dyDescent="0.3">
      <c r="D139">
        <v>2016</v>
      </c>
      <c r="E139" t="s">
        <v>276</v>
      </c>
      <c r="F139" s="4">
        <v>0</v>
      </c>
      <c r="G139" s="4"/>
      <c r="H139" s="4">
        <v>0</v>
      </c>
      <c r="I139" s="4">
        <v>0</v>
      </c>
      <c r="J139" s="4">
        <v>0</v>
      </c>
      <c r="K139" s="4">
        <v>0</v>
      </c>
      <c r="L139" s="4"/>
      <c r="M139" s="4"/>
      <c r="N139" s="4"/>
      <c r="O139" s="4"/>
      <c r="P139" s="4">
        <v>0</v>
      </c>
      <c r="Q139" s="4"/>
      <c r="R139" s="4"/>
      <c r="S139" s="80">
        <f t="shared" si="33"/>
        <v>0</v>
      </c>
      <c r="T139">
        <v>137</v>
      </c>
    </row>
    <row r="140" spans="3:20" x14ac:dyDescent="0.3">
      <c r="D140">
        <v>2019</v>
      </c>
      <c r="E140" t="s">
        <v>420</v>
      </c>
      <c r="F140" s="4">
        <v>0</v>
      </c>
      <c r="G140" s="4"/>
      <c r="H140" s="4">
        <v>0</v>
      </c>
      <c r="I140" s="4">
        <v>0</v>
      </c>
      <c r="J140" s="4">
        <v>0</v>
      </c>
      <c r="K140" s="4">
        <v>0</v>
      </c>
      <c r="L140" s="4"/>
      <c r="M140" s="4"/>
      <c r="N140" s="4"/>
      <c r="O140" s="4"/>
      <c r="P140" s="4">
        <v>0</v>
      </c>
      <c r="Q140" s="4"/>
      <c r="R140" s="4"/>
      <c r="S140" s="80">
        <f t="shared" si="33"/>
        <v>0</v>
      </c>
      <c r="T140">
        <v>138</v>
      </c>
    </row>
    <row r="141" spans="3:20" x14ac:dyDescent="0.3">
      <c r="F141" s="4"/>
      <c r="G141" s="4"/>
      <c r="H141" s="4"/>
      <c r="I141" s="4"/>
      <c r="J141" s="4"/>
      <c r="K141" s="4"/>
      <c r="L141" s="4"/>
      <c r="M141" s="4"/>
      <c r="N141" s="4"/>
      <c r="O141" s="4"/>
      <c r="P141" s="4"/>
      <c r="Q141" s="4"/>
      <c r="R141" s="4"/>
      <c r="S141" s="80"/>
      <c r="T141">
        <v>139</v>
      </c>
    </row>
    <row r="142" spans="3:20" x14ac:dyDescent="0.3">
      <c r="C142" s="83">
        <v>204</v>
      </c>
      <c r="D142" s="83"/>
      <c r="E142" s="83" t="s">
        <v>262</v>
      </c>
      <c r="F142" s="84">
        <f>F143+F144+F145+F146+F147+F148+F149+F150</f>
        <v>56886.2</v>
      </c>
      <c r="G142" s="84">
        <f t="shared" ref="G142:R142" si="34">G143+G144+G145+G146+G147+G148+G149+G150</f>
        <v>0</v>
      </c>
      <c r="H142" s="84">
        <f t="shared" si="34"/>
        <v>34873.699999999997</v>
      </c>
      <c r="I142" s="84">
        <f t="shared" si="34"/>
        <v>177.1</v>
      </c>
      <c r="J142" s="84">
        <f t="shared" si="34"/>
        <v>41633.800000000003</v>
      </c>
      <c r="K142" s="84">
        <f t="shared" si="34"/>
        <v>495748.8</v>
      </c>
      <c r="L142" s="84">
        <f t="shared" si="34"/>
        <v>0</v>
      </c>
      <c r="M142" s="84">
        <f t="shared" si="34"/>
        <v>0</v>
      </c>
      <c r="N142" s="84">
        <f t="shared" si="34"/>
        <v>0</v>
      </c>
      <c r="O142" s="84">
        <f t="shared" si="34"/>
        <v>0</v>
      </c>
      <c r="P142" s="84">
        <f t="shared" si="34"/>
        <v>25318.6</v>
      </c>
      <c r="Q142" s="84">
        <f t="shared" si="34"/>
        <v>0</v>
      </c>
      <c r="R142" s="84">
        <f t="shared" si="34"/>
        <v>0</v>
      </c>
      <c r="S142" s="84">
        <f t="shared" ref="S142:S150" si="35">SUM(F142:R142)</f>
        <v>654638.19999999995</v>
      </c>
      <c r="T142">
        <v>140</v>
      </c>
    </row>
    <row r="143" spans="3:20" x14ac:dyDescent="0.3">
      <c r="D143">
        <v>2040</v>
      </c>
      <c r="E143" t="s">
        <v>61</v>
      </c>
      <c r="F143" s="4">
        <v>25428.799999999999</v>
      </c>
      <c r="G143" s="4"/>
      <c r="H143" s="4">
        <v>0</v>
      </c>
      <c r="I143" s="4">
        <v>0</v>
      </c>
      <c r="J143" s="4">
        <v>68.599999999999994</v>
      </c>
      <c r="K143" s="4">
        <v>4127.55</v>
      </c>
      <c r="L143" s="4"/>
      <c r="M143" s="4"/>
      <c r="N143" s="4"/>
      <c r="O143" s="4"/>
      <c r="P143" s="4">
        <v>0</v>
      </c>
      <c r="Q143" s="4"/>
      <c r="R143" s="4"/>
      <c r="S143" s="80">
        <f t="shared" si="35"/>
        <v>29624.949999999997</v>
      </c>
      <c r="T143">
        <v>141</v>
      </c>
    </row>
    <row r="144" spans="3:20" x14ac:dyDescent="0.3">
      <c r="D144">
        <v>2041</v>
      </c>
      <c r="E144" t="s">
        <v>284</v>
      </c>
      <c r="F144" s="4">
        <v>22847.4</v>
      </c>
      <c r="G144" s="4"/>
      <c r="H144" s="4">
        <v>0</v>
      </c>
      <c r="I144" s="4">
        <v>0</v>
      </c>
      <c r="J144" s="4">
        <v>565.20000000000005</v>
      </c>
      <c r="K144" s="4">
        <v>130000</v>
      </c>
      <c r="L144" s="4"/>
      <c r="M144" s="4"/>
      <c r="N144" s="4"/>
      <c r="O144" s="4"/>
      <c r="P144" s="4">
        <v>0</v>
      </c>
      <c r="Q144" s="4"/>
      <c r="R144" s="4"/>
      <c r="S144" s="80">
        <f t="shared" si="35"/>
        <v>153412.6</v>
      </c>
      <c r="T144">
        <v>142</v>
      </c>
    </row>
    <row r="145" spans="3:20" x14ac:dyDescent="0.3">
      <c r="D145">
        <v>2042</v>
      </c>
      <c r="E145" t="s">
        <v>340</v>
      </c>
      <c r="F145" s="4">
        <v>0</v>
      </c>
      <c r="G145" s="4"/>
      <c r="H145" s="4">
        <v>0</v>
      </c>
      <c r="I145" s="4">
        <v>0</v>
      </c>
      <c r="J145" s="4">
        <v>0</v>
      </c>
      <c r="K145" s="4">
        <v>0</v>
      </c>
      <c r="L145" s="4"/>
      <c r="M145" s="4"/>
      <c r="N145" s="4"/>
      <c r="O145" s="4"/>
      <c r="P145" s="4">
        <v>0</v>
      </c>
      <c r="Q145" s="4"/>
      <c r="R145" s="4"/>
      <c r="S145" s="80">
        <f t="shared" si="35"/>
        <v>0</v>
      </c>
      <c r="T145">
        <v>143</v>
      </c>
    </row>
    <row r="146" spans="3:20" x14ac:dyDescent="0.3">
      <c r="D146">
        <v>2043</v>
      </c>
      <c r="E146" t="s">
        <v>341</v>
      </c>
      <c r="F146" s="4">
        <v>0</v>
      </c>
      <c r="G146" s="4"/>
      <c r="H146" s="4">
        <v>0</v>
      </c>
      <c r="I146" s="4">
        <v>0</v>
      </c>
      <c r="J146" s="4">
        <v>0</v>
      </c>
      <c r="K146" s="4">
        <v>0</v>
      </c>
      <c r="L146" s="4"/>
      <c r="M146" s="4"/>
      <c r="N146" s="4"/>
      <c r="O146" s="4"/>
      <c r="P146" s="4">
        <v>0</v>
      </c>
      <c r="Q146" s="4"/>
      <c r="R146" s="4"/>
      <c r="S146" s="80">
        <f t="shared" si="35"/>
        <v>0</v>
      </c>
      <c r="T146">
        <v>144</v>
      </c>
    </row>
    <row r="147" spans="3:20" x14ac:dyDescent="0.3">
      <c r="D147">
        <v>2044</v>
      </c>
      <c r="E147" t="s">
        <v>421</v>
      </c>
      <c r="F147" s="4">
        <v>8610</v>
      </c>
      <c r="G147" s="4"/>
      <c r="H147" s="4">
        <v>34873.699999999997</v>
      </c>
      <c r="I147" s="4">
        <v>0</v>
      </c>
      <c r="J147" s="4">
        <v>41000</v>
      </c>
      <c r="K147" s="4">
        <v>0</v>
      </c>
      <c r="L147" s="4"/>
      <c r="M147" s="4"/>
      <c r="N147" s="4"/>
      <c r="O147" s="4"/>
      <c r="P147" s="4">
        <v>0</v>
      </c>
      <c r="Q147" s="4"/>
      <c r="R147" s="4"/>
      <c r="S147" s="80">
        <f t="shared" si="35"/>
        <v>84483.7</v>
      </c>
      <c r="T147">
        <v>145</v>
      </c>
    </row>
    <row r="148" spans="3:20" x14ac:dyDescent="0.3">
      <c r="D148">
        <v>2045</v>
      </c>
      <c r="E148" t="s">
        <v>343</v>
      </c>
      <c r="F148" s="4">
        <v>0</v>
      </c>
      <c r="G148" s="4"/>
      <c r="H148" s="4">
        <v>0</v>
      </c>
      <c r="I148" s="4">
        <v>0</v>
      </c>
      <c r="J148" s="4">
        <v>0</v>
      </c>
      <c r="K148" s="4">
        <v>0</v>
      </c>
      <c r="L148" s="4"/>
      <c r="M148" s="4"/>
      <c r="N148" s="4"/>
      <c r="O148" s="4"/>
      <c r="P148" s="4">
        <v>0</v>
      </c>
      <c r="Q148" s="4"/>
      <c r="R148" s="4"/>
      <c r="S148" s="80">
        <f t="shared" si="35"/>
        <v>0</v>
      </c>
      <c r="T148">
        <v>146</v>
      </c>
    </row>
    <row r="149" spans="3:20" x14ac:dyDescent="0.3">
      <c r="D149">
        <v>2046</v>
      </c>
      <c r="E149" t="s">
        <v>422</v>
      </c>
      <c r="F149" s="4">
        <v>0</v>
      </c>
      <c r="G149" s="4"/>
      <c r="H149" s="4">
        <v>0</v>
      </c>
      <c r="I149" s="4">
        <v>0</v>
      </c>
      <c r="J149" s="4">
        <v>0</v>
      </c>
      <c r="K149" s="4">
        <v>0</v>
      </c>
      <c r="L149" s="4"/>
      <c r="M149" s="4"/>
      <c r="N149" s="4"/>
      <c r="O149" s="4"/>
      <c r="P149" s="4">
        <v>0</v>
      </c>
      <c r="Q149" s="4"/>
      <c r="R149" s="4"/>
      <c r="S149" s="80">
        <f t="shared" si="35"/>
        <v>0</v>
      </c>
      <c r="T149">
        <v>147</v>
      </c>
    </row>
    <row r="150" spans="3:20" x14ac:dyDescent="0.3">
      <c r="D150">
        <v>2049</v>
      </c>
      <c r="E150" t="s">
        <v>423</v>
      </c>
      <c r="F150" s="4">
        <v>0</v>
      </c>
      <c r="G150" s="4"/>
      <c r="H150" s="4">
        <v>0</v>
      </c>
      <c r="I150" s="4">
        <v>177.1</v>
      </c>
      <c r="J150" s="4">
        <v>0</v>
      </c>
      <c r="K150" s="4">
        <v>361621.25</v>
      </c>
      <c r="L150" s="4"/>
      <c r="M150" s="4"/>
      <c r="N150" s="4"/>
      <c r="O150" s="4"/>
      <c r="P150" s="4">
        <v>25318.6</v>
      </c>
      <c r="Q150" s="4"/>
      <c r="R150" s="4"/>
      <c r="S150" s="80">
        <f t="shared" si="35"/>
        <v>387116.94999999995</v>
      </c>
      <c r="T150">
        <v>148</v>
      </c>
    </row>
    <row r="151" spans="3:20" x14ac:dyDescent="0.3">
      <c r="F151" s="4"/>
      <c r="G151" s="4"/>
      <c r="H151" s="4"/>
      <c r="I151" s="4"/>
      <c r="J151" s="4"/>
      <c r="K151" s="4"/>
      <c r="L151" s="4"/>
      <c r="M151" s="4"/>
      <c r="N151" s="4"/>
      <c r="O151" s="4"/>
      <c r="P151" s="4"/>
      <c r="Q151" s="4"/>
      <c r="R151" s="4"/>
      <c r="S151" s="80"/>
      <c r="T151">
        <v>149</v>
      </c>
    </row>
    <row r="152" spans="3:20" x14ac:dyDescent="0.3">
      <c r="C152" s="83">
        <v>205</v>
      </c>
      <c r="D152" s="83"/>
      <c r="E152" s="83" t="s">
        <v>263</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0</v>
      </c>
      <c r="Q152" s="84">
        <f t="shared" si="36"/>
        <v>0</v>
      </c>
      <c r="R152" s="84">
        <f t="shared" si="36"/>
        <v>0</v>
      </c>
      <c r="S152" s="84">
        <f t="shared" ref="S152:S162" si="37">SUM(F152:R152)</f>
        <v>0</v>
      </c>
      <c r="T152">
        <v>150</v>
      </c>
    </row>
    <row r="153" spans="3:20" x14ac:dyDescent="0.3">
      <c r="D153">
        <v>2050</v>
      </c>
      <c r="E153" t="s">
        <v>424</v>
      </c>
      <c r="F153" s="4">
        <v>0</v>
      </c>
      <c r="G153" s="4"/>
      <c r="H153" s="4">
        <v>0</v>
      </c>
      <c r="I153" s="4">
        <v>0</v>
      </c>
      <c r="J153" s="4">
        <v>0</v>
      </c>
      <c r="K153" s="4">
        <v>0</v>
      </c>
      <c r="L153" s="4"/>
      <c r="M153" s="4"/>
      <c r="N153" s="4"/>
      <c r="O153" s="4"/>
      <c r="P153" s="4">
        <v>0</v>
      </c>
      <c r="Q153" s="4"/>
      <c r="R153" s="4"/>
      <c r="S153" s="80">
        <f t="shared" si="37"/>
        <v>0</v>
      </c>
      <c r="T153">
        <v>151</v>
      </c>
    </row>
    <row r="154" spans="3:20" x14ac:dyDescent="0.3">
      <c r="D154">
        <v>2051</v>
      </c>
      <c r="E154" t="s">
        <v>425</v>
      </c>
      <c r="F154" s="4">
        <v>0</v>
      </c>
      <c r="G154" s="4"/>
      <c r="H154" s="4">
        <v>0</v>
      </c>
      <c r="I154" s="4">
        <v>0</v>
      </c>
      <c r="J154" s="4">
        <v>0</v>
      </c>
      <c r="K154" s="4">
        <v>0</v>
      </c>
      <c r="L154" s="4"/>
      <c r="M154" s="4"/>
      <c r="N154" s="4"/>
      <c r="O154" s="4"/>
      <c r="P154" s="4">
        <v>0</v>
      </c>
      <c r="Q154" s="4"/>
      <c r="R154" s="4"/>
      <c r="S154" s="80">
        <f t="shared" si="37"/>
        <v>0</v>
      </c>
      <c r="T154">
        <v>152</v>
      </c>
    </row>
    <row r="155" spans="3:20" x14ac:dyDescent="0.3">
      <c r="D155">
        <v>2052</v>
      </c>
      <c r="E155" t="s">
        <v>426</v>
      </c>
      <c r="F155" s="4">
        <v>0</v>
      </c>
      <c r="G155" s="4"/>
      <c r="H155" s="4">
        <v>0</v>
      </c>
      <c r="I155" s="4">
        <v>0</v>
      </c>
      <c r="J155" s="4">
        <v>0</v>
      </c>
      <c r="K155" s="4">
        <v>0</v>
      </c>
      <c r="L155" s="4"/>
      <c r="M155" s="4"/>
      <c r="N155" s="4"/>
      <c r="O155" s="4"/>
      <c r="P155" s="4">
        <v>0</v>
      </c>
      <c r="Q155" s="4"/>
      <c r="R155" s="4"/>
      <c r="S155" s="80">
        <f t="shared" si="37"/>
        <v>0</v>
      </c>
      <c r="T155">
        <v>153</v>
      </c>
    </row>
    <row r="156" spans="3:20" x14ac:dyDescent="0.3">
      <c r="D156">
        <v>2053</v>
      </c>
      <c r="E156" t="s">
        <v>430</v>
      </c>
      <c r="F156" s="4">
        <v>0</v>
      </c>
      <c r="G156" s="4"/>
      <c r="H156" s="4">
        <v>0</v>
      </c>
      <c r="I156" s="4">
        <v>0</v>
      </c>
      <c r="J156" s="4">
        <v>0</v>
      </c>
      <c r="K156" s="4">
        <v>0</v>
      </c>
      <c r="L156" s="4"/>
      <c r="M156" s="4"/>
      <c r="N156" s="4"/>
      <c r="O156" s="4"/>
      <c r="P156" s="4">
        <v>0</v>
      </c>
      <c r="Q156" s="4"/>
      <c r="R156" s="4"/>
      <c r="S156" s="80">
        <f t="shared" si="37"/>
        <v>0</v>
      </c>
      <c r="T156">
        <v>154</v>
      </c>
    </row>
    <row r="157" spans="3:20" x14ac:dyDescent="0.3">
      <c r="D157">
        <v>2054</v>
      </c>
      <c r="E157" t="s">
        <v>428</v>
      </c>
      <c r="F157" s="4">
        <v>0</v>
      </c>
      <c r="G157" s="4"/>
      <c r="H157" s="4">
        <v>0</v>
      </c>
      <c r="I157" s="4">
        <v>0</v>
      </c>
      <c r="J157" s="4">
        <v>0</v>
      </c>
      <c r="K157" s="4">
        <v>0</v>
      </c>
      <c r="L157" s="4"/>
      <c r="M157" s="4"/>
      <c r="N157" s="4"/>
      <c r="O157" s="4"/>
      <c r="P157" s="4">
        <v>0</v>
      </c>
      <c r="Q157" s="4"/>
      <c r="R157" s="4"/>
      <c r="S157" s="80">
        <f t="shared" si="37"/>
        <v>0</v>
      </c>
      <c r="T157">
        <v>155</v>
      </c>
    </row>
    <row r="158" spans="3:20" x14ac:dyDescent="0.3">
      <c r="D158">
        <v>2055</v>
      </c>
      <c r="E158" t="s">
        <v>427</v>
      </c>
      <c r="F158" s="4">
        <v>0</v>
      </c>
      <c r="G158" s="4"/>
      <c r="H158" s="4">
        <v>0</v>
      </c>
      <c r="I158" s="4">
        <v>0</v>
      </c>
      <c r="J158" s="4">
        <v>0</v>
      </c>
      <c r="K158" s="4">
        <v>0</v>
      </c>
      <c r="L158" s="4"/>
      <c r="M158" s="4"/>
      <c r="N158" s="4"/>
      <c r="O158" s="4"/>
      <c r="P158" s="4">
        <v>0</v>
      </c>
      <c r="Q158" s="4"/>
      <c r="R158" s="4"/>
      <c r="S158" s="80">
        <f t="shared" si="37"/>
        <v>0</v>
      </c>
      <c r="T158">
        <v>156</v>
      </c>
    </row>
    <row r="159" spans="3:20" x14ac:dyDescent="0.3">
      <c r="D159">
        <v>2056</v>
      </c>
      <c r="E159" t="s">
        <v>429</v>
      </c>
      <c r="F159" s="4">
        <v>0</v>
      </c>
      <c r="G159" s="4"/>
      <c r="H159" s="4">
        <v>0</v>
      </c>
      <c r="I159" s="4">
        <v>0</v>
      </c>
      <c r="J159" s="4">
        <v>0</v>
      </c>
      <c r="K159" s="4">
        <v>0</v>
      </c>
      <c r="L159" s="4"/>
      <c r="M159" s="4"/>
      <c r="N159" s="4"/>
      <c r="O159" s="4"/>
      <c r="P159" s="4">
        <v>0</v>
      </c>
      <c r="Q159" s="4"/>
      <c r="R159" s="4"/>
      <c r="S159" s="80">
        <f t="shared" si="37"/>
        <v>0</v>
      </c>
      <c r="T159">
        <v>157</v>
      </c>
    </row>
    <row r="160" spans="3:20" x14ac:dyDescent="0.3">
      <c r="D160">
        <v>2057</v>
      </c>
      <c r="E160" t="s">
        <v>431</v>
      </c>
      <c r="F160" s="4">
        <v>0</v>
      </c>
      <c r="G160" s="4"/>
      <c r="H160" s="4">
        <v>0</v>
      </c>
      <c r="I160" s="4">
        <v>0</v>
      </c>
      <c r="J160" s="4">
        <v>0</v>
      </c>
      <c r="K160" s="4">
        <v>0</v>
      </c>
      <c r="L160" s="4"/>
      <c r="M160" s="4"/>
      <c r="N160" s="4"/>
      <c r="O160" s="4"/>
      <c r="P160" s="4">
        <v>0</v>
      </c>
      <c r="Q160" s="4"/>
      <c r="R160" s="4"/>
      <c r="S160" s="80">
        <f t="shared" si="37"/>
        <v>0</v>
      </c>
      <c r="T160">
        <v>158</v>
      </c>
    </row>
    <row r="161" spans="3:20" x14ac:dyDescent="0.3">
      <c r="D161">
        <v>2058</v>
      </c>
      <c r="E161" t="s">
        <v>432</v>
      </c>
      <c r="F161" s="4">
        <v>0</v>
      </c>
      <c r="G161" s="4"/>
      <c r="H161" s="4">
        <v>0</v>
      </c>
      <c r="I161" s="4">
        <v>0</v>
      </c>
      <c r="J161" s="4">
        <v>0</v>
      </c>
      <c r="K161" s="4">
        <v>0</v>
      </c>
      <c r="L161" s="4"/>
      <c r="M161" s="4"/>
      <c r="N161" s="4"/>
      <c r="O161" s="4"/>
      <c r="P161" s="4">
        <v>0</v>
      </c>
      <c r="Q161" s="4"/>
      <c r="R161" s="4"/>
      <c r="S161" s="80">
        <f t="shared" si="37"/>
        <v>0</v>
      </c>
      <c r="T161">
        <v>159</v>
      </c>
    </row>
    <row r="162" spans="3:20" x14ac:dyDescent="0.3">
      <c r="D162">
        <v>2059</v>
      </c>
      <c r="E162" t="s">
        <v>433</v>
      </c>
      <c r="F162" s="4">
        <v>0</v>
      </c>
      <c r="G162" s="4"/>
      <c r="H162" s="4">
        <v>0</v>
      </c>
      <c r="I162" s="4">
        <v>0</v>
      </c>
      <c r="J162" s="4">
        <v>0</v>
      </c>
      <c r="K162" s="4">
        <v>0</v>
      </c>
      <c r="L162" s="4"/>
      <c r="M162" s="4"/>
      <c r="N162" s="4"/>
      <c r="O162" s="4"/>
      <c r="P162" s="4">
        <v>0</v>
      </c>
      <c r="Q162" s="4"/>
      <c r="R162" s="4"/>
      <c r="S162" s="80">
        <f t="shared" si="37"/>
        <v>0</v>
      </c>
      <c r="T162">
        <v>160</v>
      </c>
    </row>
    <row r="163" spans="3:20" x14ac:dyDescent="0.3">
      <c r="F163" s="4"/>
      <c r="G163" s="4"/>
      <c r="H163" s="4"/>
      <c r="I163" s="4"/>
      <c r="J163" s="4"/>
      <c r="K163" s="4"/>
      <c r="L163" s="4"/>
      <c r="M163" s="4"/>
      <c r="N163" s="4"/>
      <c r="O163" s="4"/>
      <c r="P163" s="4"/>
      <c r="Q163" s="4"/>
      <c r="R163" s="4"/>
      <c r="S163" s="80"/>
      <c r="T163">
        <v>161</v>
      </c>
    </row>
    <row r="164" spans="3:20" x14ac:dyDescent="0.3">
      <c r="C164" s="83">
        <v>206</v>
      </c>
      <c r="D164" s="83"/>
      <c r="E164" s="83" t="s">
        <v>264</v>
      </c>
      <c r="F164" s="84">
        <f>F165+F166+F167+F168+F169+F170</f>
        <v>3008500</v>
      </c>
      <c r="G164" s="84">
        <f t="shared" ref="G164:R164" si="38">G165+G166+G167+G168+G169+G170</f>
        <v>0</v>
      </c>
      <c r="H164" s="84">
        <f t="shared" si="38"/>
        <v>291425.59999999998</v>
      </c>
      <c r="I164" s="84">
        <f t="shared" si="38"/>
        <v>0</v>
      </c>
      <c r="J164" s="84">
        <f t="shared" si="38"/>
        <v>393600</v>
      </c>
      <c r="K164" s="84">
        <f t="shared" si="38"/>
        <v>3334475</v>
      </c>
      <c r="L164" s="84">
        <f t="shared" si="38"/>
        <v>0</v>
      </c>
      <c r="M164" s="84">
        <f t="shared" si="38"/>
        <v>0</v>
      </c>
      <c r="N164" s="84">
        <f t="shared" si="38"/>
        <v>0</v>
      </c>
      <c r="O164" s="84">
        <f t="shared" si="38"/>
        <v>0</v>
      </c>
      <c r="P164" s="84">
        <f t="shared" si="38"/>
        <v>0</v>
      </c>
      <c r="Q164" s="84">
        <f t="shared" si="38"/>
        <v>0</v>
      </c>
      <c r="R164" s="84">
        <f t="shared" si="38"/>
        <v>0</v>
      </c>
      <c r="S164" s="84">
        <f t="shared" ref="S164:S170" si="39">SUM(F164:R164)</f>
        <v>7028000.5999999996</v>
      </c>
      <c r="T164">
        <v>162</v>
      </c>
    </row>
    <row r="165" spans="3:20" x14ac:dyDescent="0.3">
      <c r="D165">
        <v>2060</v>
      </c>
      <c r="E165" t="s">
        <v>434</v>
      </c>
      <c r="F165" s="4">
        <v>3008500</v>
      </c>
      <c r="G165" s="4"/>
      <c r="H165" s="4">
        <v>0</v>
      </c>
      <c r="I165" s="4">
        <v>0</v>
      </c>
      <c r="J165" s="4">
        <v>0</v>
      </c>
      <c r="K165" s="4">
        <v>3334475</v>
      </c>
      <c r="L165" s="4"/>
      <c r="M165" s="4"/>
      <c r="N165" s="4"/>
      <c r="O165" s="4"/>
      <c r="P165" s="4">
        <v>0</v>
      </c>
      <c r="Q165" s="4"/>
      <c r="R165" s="4"/>
      <c r="S165" s="80">
        <f t="shared" si="39"/>
        <v>6342975</v>
      </c>
      <c r="T165">
        <v>163</v>
      </c>
    </row>
    <row r="166" spans="3:20" x14ac:dyDescent="0.3">
      <c r="D166">
        <v>2062</v>
      </c>
      <c r="E166" t="s">
        <v>435</v>
      </c>
      <c r="F166" s="4">
        <v>0</v>
      </c>
      <c r="G166" s="4"/>
      <c r="H166" s="4">
        <v>0</v>
      </c>
      <c r="I166" s="4">
        <v>0</v>
      </c>
      <c r="J166" s="4">
        <v>0</v>
      </c>
      <c r="K166" s="4">
        <v>0</v>
      </c>
      <c r="L166" s="4"/>
      <c r="M166" s="4"/>
      <c r="N166" s="4"/>
      <c r="O166" s="4"/>
      <c r="P166" s="4">
        <v>0</v>
      </c>
      <c r="Q166" s="4"/>
      <c r="R166" s="4"/>
      <c r="S166" s="80">
        <f t="shared" si="39"/>
        <v>0</v>
      </c>
      <c r="T166">
        <v>164</v>
      </c>
    </row>
    <row r="167" spans="3:20" x14ac:dyDescent="0.3">
      <c r="D167">
        <v>2063</v>
      </c>
      <c r="E167" t="s">
        <v>436</v>
      </c>
      <c r="F167" s="4">
        <v>0</v>
      </c>
      <c r="G167" s="4"/>
      <c r="H167" s="4">
        <v>283000</v>
      </c>
      <c r="I167" s="4">
        <v>0</v>
      </c>
      <c r="J167" s="4">
        <v>393600</v>
      </c>
      <c r="K167" s="4">
        <v>0</v>
      </c>
      <c r="L167" s="4"/>
      <c r="M167" s="4"/>
      <c r="N167" s="4"/>
      <c r="O167" s="4"/>
      <c r="P167" s="4">
        <v>0</v>
      </c>
      <c r="Q167" s="4"/>
      <c r="R167" s="4"/>
      <c r="S167" s="80">
        <f t="shared" si="39"/>
        <v>676600</v>
      </c>
      <c r="T167">
        <v>165</v>
      </c>
    </row>
    <row r="168" spans="3:20" x14ac:dyDescent="0.3">
      <c r="D168">
        <v>2064</v>
      </c>
      <c r="E168" t="s">
        <v>457</v>
      </c>
      <c r="F168" s="4">
        <v>0</v>
      </c>
      <c r="G168" s="4"/>
      <c r="H168" s="4">
        <v>0</v>
      </c>
      <c r="I168" s="4">
        <v>0</v>
      </c>
      <c r="J168" s="4">
        <v>0</v>
      </c>
      <c r="K168" s="4">
        <v>0</v>
      </c>
      <c r="L168" s="4"/>
      <c r="M168" s="4"/>
      <c r="N168" s="4"/>
      <c r="O168" s="4"/>
      <c r="P168" s="4">
        <v>0</v>
      </c>
      <c r="Q168" s="4"/>
      <c r="R168" s="4"/>
      <c r="S168" s="80">
        <f t="shared" si="39"/>
        <v>0</v>
      </c>
      <c r="T168">
        <v>166</v>
      </c>
    </row>
    <row r="169" spans="3:20" x14ac:dyDescent="0.3">
      <c r="D169">
        <v>2067</v>
      </c>
      <c r="E169" t="s">
        <v>438</v>
      </c>
      <c r="F169" s="4">
        <v>0</v>
      </c>
      <c r="G169" s="4"/>
      <c r="H169" s="4">
        <v>0</v>
      </c>
      <c r="I169" s="4">
        <v>0</v>
      </c>
      <c r="J169" s="4">
        <v>0</v>
      </c>
      <c r="K169" s="4">
        <v>0</v>
      </c>
      <c r="L169" s="4"/>
      <c r="M169" s="4"/>
      <c r="N169" s="4"/>
      <c r="O169" s="4"/>
      <c r="P169" s="4">
        <v>0</v>
      </c>
      <c r="Q169" s="4"/>
      <c r="R169" s="4"/>
      <c r="S169" s="80">
        <f t="shared" si="39"/>
        <v>0</v>
      </c>
      <c r="T169">
        <v>167</v>
      </c>
    </row>
    <row r="170" spans="3:20" x14ac:dyDescent="0.3">
      <c r="D170">
        <v>2069</v>
      </c>
      <c r="E170" t="s">
        <v>439</v>
      </c>
      <c r="F170" s="4">
        <v>0</v>
      </c>
      <c r="G170" s="4"/>
      <c r="H170" s="4">
        <v>8425.6</v>
      </c>
      <c r="I170" s="4">
        <v>0</v>
      </c>
      <c r="J170" s="4">
        <v>0</v>
      </c>
      <c r="K170" s="4">
        <v>0</v>
      </c>
      <c r="L170" s="4"/>
      <c r="M170" s="4"/>
      <c r="N170" s="4"/>
      <c r="O170" s="4"/>
      <c r="P170" s="4">
        <v>0</v>
      </c>
      <c r="Q170" s="4"/>
      <c r="R170" s="4"/>
      <c r="S170" s="80">
        <f t="shared" si="39"/>
        <v>8425.6</v>
      </c>
      <c r="T170">
        <v>168</v>
      </c>
    </row>
    <row r="171" spans="3:20" x14ac:dyDescent="0.3">
      <c r="F171" s="4"/>
      <c r="G171" s="4"/>
      <c r="H171" s="4"/>
      <c r="I171" s="4"/>
      <c r="J171" s="4"/>
      <c r="K171" s="4"/>
      <c r="L171" s="4"/>
      <c r="M171" s="4"/>
      <c r="N171" s="4"/>
      <c r="O171" s="4"/>
      <c r="P171" s="4"/>
      <c r="Q171" s="4"/>
      <c r="R171" s="4"/>
      <c r="S171" s="80"/>
      <c r="T171">
        <v>169</v>
      </c>
    </row>
    <row r="172" spans="3:20" x14ac:dyDescent="0.3">
      <c r="C172" s="83">
        <v>208</v>
      </c>
      <c r="D172" s="83"/>
      <c r="E172" s="83" t="s">
        <v>265</v>
      </c>
      <c r="F172" s="84">
        <f>F173+F174+F175+F176+F177+F178+F179+F180+F181</f>
        <v>2086.6999999999998</v>
      </c>
      <c r="G172" s="84">
        <f t="shared" ref="G172:R172" si="40">G173+G174+G175+G176+G177+G178+G179+G180+G181</f>
        <v>0</v>
      </c>
      <c r="H172" s="84">
        <f t="shared" si="40"/>
        <v>0</v>
      </c>
      <c r="I172" s="84">
        <f t="shared" si="40"/>
        <v>0</v>
      </c>
      <c r="J172" s="84">
        <f t="shared" si="40"/>
        <v>21800</v>
      </c>
      <c r="K172" s="84">
        <f t="shared" si="40"/>
        <v>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23886.7</v>
      </c>
      <c r="T172">
        <v>170</v>
      </c>
    </row>
    <row r="173" spans="3:20" x14ac:dyDescent="0.3">
      <c r="D173">
        <v>2081</v>
      </c>
      <c r="E173" t="s">
        <v>440</v>
      </c>
      <c r="F173" s="4">
        <v>0</v>
      </c>
      <c r="G173" s="4"/>
      <c r="H173" s="4">
        <v>0</v>
      </c>
      <c r="I173" s="4">
        <v>0</v>
      </c>
      <c r="J173" s="4">
        <v>0</v>
      </c>
      <c r="K173" s="4">
        <v>0</v>
      </c>
      <c r="L173" s="4"/>
      <c r="M173" s="4"/>
      <c r="N173" s="4"/>
      <c r="O173" s="4"/>
      <c r="P173" s="4">
        <v>0</v>
      </c>
      <c r="Q173" s="4"/>
      <c r="R173" s="4"/>
      <c r="S173" s="80">
        <f t="shared" si="41"/>
        <v>0</v>
      </c>
      <c r="T173">
        <v>171</v>
      </c>
    </row>
    <row r="174" spans="3:20" x14ac:dyDescent="0.3">
      <c r="D174">
        <v>2082</v>
      </c>
      <c r="E174" t="s">
        <v>441</v>
      </c>
      <c r="F174" s="4">
        <v>0</v>
      </c>
      <c r="G174" s="4"/>
      <c r="H174" s="4">
        <v>0</v>
      </c>
      <c r="I174" s="4">
        <v>0</v>
      </c>
      <c r="J174" s="4">
        <v>0</v>
      </c>
      <c r="K174" s="4">
        <v>0</v>
      </c>
      <c r="L174" s="4"/>
      <c r="M174" s="4"/>
      <c r="N174" s="4"/>
      <c r="O174" s="4"/>
      <c r="P174" s="4">
        <v>0</v>
      </c>
      <c r="Q174" s="4"/>
      <c r="R174" s="4"/>
      <c r="S174" s="80">
        <f t="shared" si="41"/>
        <v>0</v>
      </c>
      <c r="T174">
        <v>172</v>
      </c>
    </row>
    <row r="175" spans="3:20" x14ac:dyDescent="0.3">
      <c r="D175">
        <v>2083</v>
      </c>
      <c r="E175" t="s">
        <v>442</v>
      </c>
      <c r="F175" s="4">
        <v>0</v>
      </c>
      <c r="G175" s="4"/>
      <c r="H175" s="4">
        <v>0</v>
      </c>
      <c r="I175" s="4">
        <v>0</v>
      </c>
      <c r="J175" s="4">
        <v>0</v>
      </c>
      <c r="K175" s="4">
        <v>0</v>
      </c>
      <c r="L175" s="4"/>
      <c r="M175" s="4"/>
      <c r="N175" s="4"/>
      <c r="O175" s="4"/>
      <c r="P175" s="4">
        <v>0</v>
      </c>
      <c r="Q175" s="4"/>
      <c r="R175" s="4"/>
      <c r="S175" s="80">
        <f t="shared" si="41"/>
        <v>0</v>
      </c>
      <c r="T175">
        <v>173</v>
      </c>
    </row>
    <row r="176" spans="3:20" x14ac:dyDescent="0.3">
      <c r="D176">
        <v>2084</v>
      </c>
      <c r="E176" t="s">
        <v>443</v>
      </c>
      <c r="F176" s="4">
        <v>0</v>
      </c>
      <c r="G176" s="4"/>
      <c r="H176" s="4">
        <v>0</v>
      </c>
      <c r="I176" s="4">
        <v>0</v>
      </c>
      <c r="J176" s="4">
        <v>0</v>
      </c>
      <c r="K176" s="4">
        <v>0</v>
      </c>
      <c r="L176" s="4"/>
      <c r="M176" s="4"/>
      <c r="N176" s="4"/>
      <c r="O176" s="4"/>
      <c r="P176" s="4">
        <v>0</v>
      </c>
      <c r="Q176" s="4"/>
      <c r="R176" s="4"/>
      <c r="S176" s="80">
        <f t="shared" si="41"/>
        <v>0</v>
      </c>
      <c r="T176">
        <v>174</v>
      </c>
    </row>
    <row r="177" spans="2:20" x14ac:dyDescent="0.3">
      <c r="D177">
        <v>2085</v>
      </c>
      <c r="E177" t="s">
        <v>445</v>
      </c>
      <c r="F177" s="4">
        <v>2086.6999999999998</v>
      </c>
      <c r="G177" s="4"/>
      <c r="H177" s="4">
        <v>0</v>
      </c>
      <c r="I177" s="4">
        <v>0</v>
      </c>
      <c r="J177" s="4">
        <v>21800</v>
      </c>
      <c r="K177" s="4">
        <v>0</v>
      </c>
      <c r="L177" s="4"/>
      <c r="M177" s="4"/>
      <c r="N177" s="4"/>
      <c r="O177" s="4"/>
      <c r="P177" s="4">
        <v>0</v>
      </c>
      <c r="Q177" s="4"/>
      <c r="R177" s="4"/>
      <c r="S177" s="80">
        <f t="shared" si="41"/>
        <v>23886.7</v>
      </c>
      <c r="T177">
        <v>175</v>
      </c>
    </row>
    <row r="178" spans="2:20" x14ac:dyDescent="0.3">
      <c r="D178">
        <v>2086</v>
      </c>
      <c r="E178" t="s">
        <v>444</v>
      </c>
      <c r="F178" s="4">
        <v>0</v>
      </c>
      <c r="G178" s="4"/>
      <c r="H178" s="4">
        <v>0</v>
      </c>
      <c r="I178" s="4">
        <v>0</v>
      </c>
      <c r="J178" s="4">
        <v>0</v>
      </c>
      <c r="K178" s="4">
        <v>0</v>
      </c>
      <c r="L178" s="4"/>
      <c r="M178" s="4"/>
      <c r="N178" s="4"/>
      <c r="O178" s="4"/>
      <c r="P178" s="4">
        <v>0</v>
      </c>
      <c r="Q178" s="4"/>
      <c r="R178" s="4"/>
      <c r="S178" s="80">
        <f t="shared" si="41"/>
        <v>0</v>
      </c>
      <c r="T178">
        <v>176</v>
      </c>
    </row>
    <row r="179" spans="2:20" x14ac:dyDescent="0.3">
      <c r="D179">
        <v>2087</v>
      </c>
      <c r="E179" t="s">
        <v>446</v>
      </c>
      <c r="F179" s="4">
        <v>0</v>
      </c>
      <c r="G179" s="4"/>
      <c r="H179" s="4">
        <v>0</v>
      </c>
      <c r="I179" s="4">
        <v>0</v>
      </c>
      <c r="J179" s="4">
        <v>0</v>
      </c>
      <c r="K179" s="4">
        <v>0</v>
      </c>
      <c r="L179" s="4"/>
      <c r="M179" s="4"/>
      <c r="N179" s="4"/>
      <c r="O179" s="4"/>
      <c r="P179" s="4">
        <v>0</v>
      </c>
      <c r="Q179" s="4"/>
      <c r="R179" s="4"/>
      <c r="S179" s="80">
        <f t="shared" si="41"/>
        <v>0</v>
      </c>
      <c r="T179">
        <v>177</v>
      </c>
    </row>
    <row r="180" spans="2:20" x14ac:dyDescent="0.3">
      <c r="D180">
        <v>2088</v>
      </c>
      <c r="E180" t="s">
        <v>447</v>
      </c>
      <c r="F180" s="4">
        <v>0</v>
      </c>
      <c r="G180" s="4"/>
      <c r="H180" s="4">
        <v>0</v>
      </c>
      <c r="I180" s="4">
        <v>0</v>
      </c>
      <c r="J180" s="4">
        <v>0</v>
      </c>
      <c r="K180" s="4">
        <v>0</v>
      </c>
      <c r="L180" s="4"/>
      <c r="M180" s="4"/>
      <c r="N180" s="4"/>
      <c r="O180" s="4"/>
      <c r="P180" s="4">
        <v>0</v>
      </c>
      <c r="Q180" s="4"/>
      <c r="R180" s="4"/>
      <c r="S180" s="80">
        <f t="shared" si="41"/>
        <v>0</v>
      </c>
      <c r="T180">
        <v>178</v>
      </c>
    </row>
    <row r="181" spans="2:20" x14ac:dyDescent="0.3">
      <c r="D181">
        <v>2089</v>
      </c>
      <c r="E181" t="s">
        <v>448</v>
      </c>
      <c r="F181" s="4">
        <v>0</v>
      </c>
      <c r="G181" s="4"/>
      <c r="H181" s="4">
        <v>0</v>
      </c>
      <c r="I181" s="4">
        <v>0</v>
      </c>
      <c r="J181" s="4">
        <v>0</v>
      </c>
      <c r="K181" s="4">
        <v>0</v>
      </c>
      <c r="L181" s="4"/>
      <c r="M181" s="4"/>
      <c r="N181" s="4"/>
      <c r="O181" s="4"/>
      <c r="P181" s="4">
        <v>0</v>
      </c>
      <c r="Q181" s="4"/>
      <c r="R181" s="4"/>
      <c r="S181" s="80">
        <f t="shared" si="41"/>
        <v>0</v>
      </c>
      <c r="T181">
        <v>179</v>
      </c>
    </row>
    <row r="182" spans="2:20" x14ac:dyDescent="0.3">
      <c r="F182" s="4"/>
      <c r="G182" s="4"/>
      <c r="H182" s="4"/>
      <c r="I182" s="4"/>
      <c r="J182" s="4"/>
      <c r="K182" s="4"/>
      <c r="L182" s="4"/>
      <c r="M182" s="4"/>
      <c r="N182" s="4"/>
      <c r="O182" s="4"/>
      <c r="P182" s="4"/>
      <c r="Q182" s="4"/>
      <c r="R182" s="4"/>
      <c r="S182" s="80"/>
      <c r="T182">
        <v>180</v>
      </c>
    </row>
    <row r="183" spans="2:20" x14ac:dyDescent="0.3">
      <c r="C183" s="83">
        <v>209</v>
      </c>
      <c r="D183" s="83"/>
      <c r="E183" s="83" t="s">
        <v>266</v>
      </c>
      <c r="F183" s="84">
        <f>F184+F185+F186+F187</f>
        <v>0</v>
      </c>
      <c r="G183" s="84">
        <f t="shared" ref="G183:R183" si="42">G184+G185+G186+G187</f>
        <v>0</v>
      </c>
      <c r="H183" s="84">
        <f t="shared" si="42"/>
        <v>0</v>
      </c>
      <c r="I183" s="84">
        <f t="shared" si="42"/>
        <v>0</v>
      </c>
      <c r="J183" s="84">
        <f t="shared" si="42"/>
        <v>124960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124960</v>
      </c>
      <c r="T183">
        <v>181</v>
      </c>
    </row>
    <row r="184" spans="2:20" x14ac:dyDescent="0.3">
      <c r="D184">
        <v>2090</v>
      </c>
      <c r="E184" t="s">
        <v>266</v>
      </c>
      <c r="F184" s="4">
        <v>0</v>
      </c>
      <c r="G184" s="4"/>
      <c r="H184" s="4">
        <v>0</v>
      </c>
      <c r="I184" s="4">
        <v>0</v>
      </c>
      <c r="J184" s="4">
        <v>124960</v>
      </c>
      <c r="K184" s="4">
        <v>0</v>
      </c>
      <c r="L184" s="4"/>
      <c r="M184" s="4"/>
      <c r="N184" s="4"/>
      <c r="O184" s="4"/>
      <c r="P184" s="4">
        <v>0</v>
      </c>
      <c r="Q184" s="4"/>
      <c r="R184" s="4"/>
      <c r="S184" s="80">
        <f>SUM(F184:R184)</f>
        <v>124960</v>
      </c>
      <c r="T184">
        <v>182</v>
      </c>
    </row>
    <row r="185" spans="2:20" x14ac:dyDescent="0.3">
      <c r="D185">
        <v>2091</v>
      </c>
      <c r="E185" t="s">
        <v>449</v>
      </c>
      <c r="F185" s="4">
        <v>0</v>
      </c>
      <c r="G185" s="4"/>
      <c r="H185" s="4">
        <v>0</v>
      </c>
      <c r="I185" s="4">
        <v>0</v>
      </c>
      <c r="J185" s="4">
        <v>0</v>
      </c>
      <c r="K185" s="4">
        <v>0</v>
      </c>
      <c r="L185" s="4"/>
      <c r="M185" s="4"/>
      <c r="N185" s="4"/>
      <c r="O185" s="4"/>
      <c r="P185" s="4">
        <v>0</v>
      </c>
      <c r="Q185" s="4"/>
      <c r="R185" s="4"/>
      <c r="S185" s="80">
        <f>SUM(F185:R185)</f>
        <v>0</v>
      </c>
      <c r="T185">
        <v>183</v>
      </c>
    </row>
    <row r="186" spans="2:20" x14ac:dyDescent="0.3">
      <c r="D186">
        <v>2092</v>
      </c>
      <c r="E186" t="s">
        <v>450</v>
      </c>
      <c r="F186" s="4">
        <v>0</v>
      </c>
      <c r="G186" s="4"/>
      <c r="H186" s="4">
        <v>0</v>
      </c>
      <c r="I186" s="4">
        <v>0</v>
      </c>
      <c r="J186" s="4">
        <v>0</v>
      </c>
      <c r="K186" s="4">
        <v>0</v>
      </c>
      <c r="L186" s="4"/>
      <c r="M186" s="4"/>
      <c r="N186" s="4"/>
      <c r="O186" s="4"/>
      <c r="P186" s="4">
        <v>0</v>
      </c>
      <c r="Q186" s="4"/>
      <c r="R186" s="4"/>
      <c r="S186" s="80">
        <f>SUM(F186:R186)</f>
        <v>0</v>
      </c>
      <c r="T186">
        <v>184</v>
      </c>
    </row>
    <row r="187" spans="2:20" x14ac:dyDescent="0.3">
      <c r="D187">
        <v>2093</v>
      </c>
      <c r="E187" t="s">
        <v>451</v>
      </c>
      <c r="F187" s="4">
        <v>0</v>
      </c>
      <c r="G187" s="4"/>
      <c r="H187" s="4">
        <v>0</v>
      </c>
      <c r="I187" s="4">
        <v>0</v>
      </c>
      <c r="J187" s="4">
        <v>0</v>
      </c>
      <c r="K187" s="4">
        <v>0</v>
      </c>
      <c r="L187" s="4"/>
      <c r="M187" s="4"/>
      <c r="N187" s="4"/>
      <c r="O187" s="4"/>
      <c r="P187" s="4">
        <v>0</v>
      </c>
      <c r="Q187" s="4"/>
      <c r="R187" s="4"/>
      <c r="S187" s="80">
        <f>SUM(F187:R187)</f>
        <v>0</v>
      </c>
      <c r="T187">
        <v>185</v>
      </c>
    </row>
    <row r="188" spans="2:20" x14ac:dyDescent="0.3">
      <c r="F188" s="4"/>
      <c r="G188" s="4"/>
      <c r="H188" s="4"/>
      <c r="I188" s="4"/>
      <c r="J188" s="4"/>
      <c r="K188" s="4"/>
      <c r="L188" s="4"/>
      <c r="M188" s="4"/>
      <c r="N188" s="4"/>
      <c r="O188" s="4"/>
      <c r="P188" s="4"/>
      <c r="Q188" s="4"/>
      <c r="R188" s="4"/>
      <c r="S188" s="80"/>
      <c r="T188">
        <v>186</v>
      </c>
    </row>
    <row r="189" spans="2:20" x14ac:dyDescent="0.3">
      <c r="B189" s="85">
        <v>29</v>
      </c>
      <c r="C189" s="85"/>
      <c r="D189" s="85"/>
      <c r="E189" s="85" t="s">
        <v>267</v>
      </c>
      <c r="F189" s="86">
        <f>F190+F193+F197+F200+F203+F206+F209+F212+F215</f>
        <v>7458023.5500000007</v>
      </c>
      <c r="G189" s="86">
        <f t="shared" ref="G189:S189" si="43">G190+G193+G197+G200+G203+G206+G209+G212+G215</f>
        <v>0</v>
      </c>
      <c r="H189" s="86">
        <f t="shared" si="43"/>
        <v>749555.77</v>
      </c>
      <c r="I189" s="86">
        <f t="shared" si="43"/>
        <v>846168.8600000001</v>
      </c>
      <c r="J189" s="86">
        <f t="shared" si="43"/>
        <v>2142287.94</v>
      </c>
      <c r="K189" s="86">
        <f t="shared" si="43"/>
        <v>29917926.370000001</v>
      </c>
      <c r="L189" s="86">
        <f t="shared" si="43"/>
        <v>0</v>
      </c>
      <c r="M189" s="86">
        <f t="shared" si="43"/>
        <v>0</v>
      </c>
      <c r="N189" s="86">
        <f t="shared" si="43"/>
        <v>0</v>
      </c>
      <c r="O189" s="86">
        <f t="shared" si="43"/>
        <v>0</v>
      </c>
      <c r="P189" s="86">
        <f t="shared" si="43"/>
        <v>2569555.15</v>
      </c>
      <c r="Q189" s="86">
        <f t="shared" si="43"/>
        <v>0</v>
      </c>
      <c r="R189" s="86">
        <f t="shared" si="43"/>
        <v>0</v>
      </c>
      <c r="S189" s="86">
        <f t="shared" si="43"/>
        <v>43683517.640000001</v>
      </c>
      <c r="T189">
        <v>187</v>
      </c>
    </row>
    <row r="190" spans="2:20" x14ac:dyDescent="0.3">
      <c r="C190" s="83">
        <v>290</v>
      </c>
      <c r="D190" s="83"/>
      <c r="E190" s="83" t="s">
        <v>268</v>
      </c>
      <c r="F190" s="84">
        <f>F191</f>
        <v>337949.99</v>
      </c>
      <c r="G190" s="84">
        <f t="shared" ref="G190:R190" si="44">G191</f>
        <v>0</v>
      </c>
      <c r="H190" s="84">
        <f t="shared" si="44"/>
        <v>39384</v>
      </c>
      <c r="I190" s="84">
        <f t="shared" si="44"/>
        <v>12742.42</v>
      </c>
      <c r="J190" s="84">
        <f t="shared" si="44"/>
        <v>342848.15</v>
      </c>
      <c r="K190" s="84">
        <f t="shared" si="44"/>
        <v>2764165</v>
      </c>
      <c r="L190" s="84">
        <f t="shared" si="44"/>
        <v>0</v>
      </c>
      <c r="M190" s="84">
        <f t="shared" si="44"/>
        <v>0</v>
      </c>
      <c r="N190" s="84">
        <f t="shared" si="44"/>
        <v>0</v>
      </c>
      <c r="O190" s="84">
        <f t="shared" si="44"/>
        <v>0</v>
      </c>
      <c r="P190" s="84">
        <f t="shared" si="44"/>
        <v>99258.29</v>
      </c>
      <c r="Q190" s="84">
        <f t="shared" si="44"/>
        <v>0</v>
      </c>
      <c r="R190" s="84">
        <f t="shared" si="44"/>
        <v>0</v>
      </c>
      <c r="S190" s="84">
        <f>SUM(F190:R190)</f>
        <v>3596347.85</v>
      </c>
      <c r="T190">
        <v>188</v>
      </c>
    </row>
    <row r="191" spans="2:20" x14ac:dyDescent="0.3">
      <c r="D191">
        <v>2900</v>
      </c>
      <c r="E191" t="s">
        <v>268</v>
      </c>
      <c r="F191" s="4">
        <v>337949.99</v>
      </c>
      <c r="G191" s="4"/>
      <c r="H191" s="4">
        <v>39384</v>
      </c>
      <c r="I191" s="4">
        <v>12742.42</v>
      </c>
      <c r="J191" s="4">
        <v>342848.15</v>
      </c>
      <c r="K191" s="4">
        <v>2764165</v>
      </c>
      <c r="L191" s="4"/>
      <c r="M191" s="4"/>
      <c r="N191" s="4"/>
      <c r="O191" s="4"/>
      <c r="P191" s="4">
        <v>99258.29</v>
      </c>
      <c r="Q191" s="4"/>
      <c r="R191" s="4"/>
      <c r="S191" s="80">
        <f>SUM(F191:R191)</f>
        <v>3596347.85</v>
      </c>
      <c r="T191">
        <v>189</v>
      </c>
    </row>
    <row r="192" spans="2:20" x14ac:dyDescent="0.3">
      <c r="F192" s="4"/>
      <c r="G192" s="4"/>
      <c r="H192" s="4"/>
      <c r="I192" s="4"/>
      <c r="J192" s="4"/>
      <c r="K192" s="4"/>
      <c r="L192" s="4"/>
      <c r="M192" s="4"/>
      <c r="N192" s="4"/>
      <c r="O192" s="4"/>
      <c r="P192" s="4"/>
      <c r="Q192" s="4"/>
      <c r="R192" s="4"/>
      <c r="S192" s="80"/>
      <c r="T192">
        <v>190</v>
      </c>
    </row>
    <row r="193" spans="3:20" x14ac:dyDescent="0.3">
      <c r="C193" s="83">
        <v>291</v>
      </c>
      <c r="D193" s="83"/>
      <c r="E193" s="83" t="s">
        <v>269</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3">
      <c r="D194">
        <v>2910</v>
      </c>
      <c r="E194" t="s">
        <v>269</v>
      </c>
      <c r="F194" s="4">
        <v>0</v>
      </c>
      <c r="G194" s="4"/>
      <c r="H194" s="4">
        <v>0</v>
      </c>
      <c r="I194" s="4">
        <v>0</v>
      </c>
      <c r="J194" s="4">
        <v>0</v>
      </c>
      <c r="K194" s="4">
        <v>0</v>
      </c>
      <c r="L194" s="4"/>
      <c r="M194" s="4"/>
      <c r="N194" s="4"/>
      <c r="O194" s="4"/>
      <c r="P194" s="4">
        <v>0</v>
      </c>
      <c r="Q194" s="4"/>
      <c r="R194" s="4"/>
      <c r="S194" s="80">
        <f>SUM(F194:R194)</f>
        <v>0</v>
      </c>
      <c r="T194">
        <v>192</v>
      </c>
    </row>
    <row r="195" spans="3:20" x14ac:dyDescent="0.3">
      <c r="D195">
        <v>2911</v>
      </c>
      <c r="E195" t="s">
        <v>452</v>
      </c>
      <c r="F195" s="4">
        <v>0</v>
      </c>
      <c r="G195" s="4"/>
      <c r="H195" s="4">
        <v>0</v>
      </c>
      <c r="I195" s="4">
        <v>0</v>
      </c>
      <c r="J195" s="4">
        <v>0</v>
      </c>
      <c r="K195" s="4">
        <v>0</v>
      </c>
      <c r="L195" s="4"/>
      <c r="M195" s="4"/>
      <c r="N195" s="4"/>
      <c r="O195" s="4"/>
      <c r="P195" s="4">
        <v>0</v>
      </c>
      <c r="Q195" s="4"/>
      <c r="R195" s="4"/>
      <c r="S195" s="80">
        <f>SUM(F195:R195)</f>
        <v>0</v>
      </c>
      <c r="T195">
        <v>193</v>
      </c>
    </row>
    <row r="196" spans="3:20" x14ac:dyDescent="0.3">
      <c r="F196" s="4"/>
      <c r="G196" s="4"/>
      <c r="H196" s="4"/>
      <c r="I196" s="4"/>
      <c r="J196" s="4"/>
      <c r="K196" s="4"/>
      <c r="L196" s="4"/>
      <c r="M196" s="4"/>
      <c r="N196" s="4"/>
      <c r="O196" s="4"/>
      <c r="P196" s="4"/>
      <c r="Q196" s="4"/>
      <c r="R196" s="4"/>
      <c r="S196" s="80"/>
      <c r="T196">
        <v>194</v>
      </c>
    </row>
    <row r="197" spans="3:20" x14ac:dyDescent="0.3">
      <c r="C197" s="83">
        <v>292</v>
      </c>
      <c r="D197" s="83"/>
      <c r="E197" s="83" t="s">
        <v>270</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0</v>
      </c>
      <c r="S197" s="84">
        <f>SUM(F197:R197)</f>
        <v>0</v>
      </c>
      <c r="T197">
        <v>195</v>
      </c>
    </row>
    <row r="198" spans="3:20" x14ac:dyDescent="0.3">
      <c r="D198">
        <v>2920</v>
      </c>
      <c r="E198" t="s">
        <v>270</v>
      </c>
      <c r="F198" s="4">
        <v>0</v>
      </c>
      <c r="G198" s="4"/>
      <c r="H198" s="4">
        <v>0</v>
      </c>
      <c r="I198" s="4">
        <v>0</v>
      </c>
      <c r="J198" s="4">
        <v>0</v>
      </c>
      <c r="K198" s="4">
        <v>0</v>
      </c>
      <c r="L198" s="4"/>
      <c r="M198" s="4"/>
      <c r="N198" s="4"/>
      <c r="O198" s="4"/>
      <c r="P198" s="4">
        <v>0</v>
      </c>
      <c r="Q198" s="4"/>
      <c r="R198" s="4"/>
      <c r="S198" s="80">
        <f>SUM(F198:R198)</f>
        <v>0</v>
      </c>
      <c r="T198">
        <v>196</v>
      </c>
    </row>
    <row r="199" spans="3:20" x14ac:dyDescent="0.3">
      <c r="F199" s="4"/>
      <c r="G199" s="4"/>
      <c r="H199" s="4"/>
      <c r="I199" s="4"/>
      <c r="J199" s="4"/>
      <c r="K199" s="4"/>
      <c r="L199" s="4"/>
      <c r="M199" s="4"/>
      <c r="N199" s="4"/>
      <c r="O199" s="4"/>
      <c r="P199" s="4"/>
      <c r="Q199" s="4"/>
      <c r="R199" s="4"/>
      <c r="S199" s="80"/>
      <c r="T199">
        <v>197</v>
      </c>
    </row>
    <row r="200" spans="3:20" x14ac:dyDescent="0.3">
      <c r="C200" s="83">
        <v>293</v>
      </c>
      <c r="D200" s="83"/>
      <c r="E200" s="83" t="s">
        <v>271</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3">
      <c r="D201">
        <v>2930</v>
      </c>
      <c r="E201" t="s">
        <v>271</v>
      </c>
      <c r="F201" s="4">
        <v>0</v>
      </c>
      <c r="G201" s="4"/>
      <c r="H201" s="4">
        <v>0</v>
      </c>
      <c r="I201" s="4">
        <v>0</v>
      </c>
      <c r="J201" s="4">
        <v>0</v>
      </c>
      <c r="K201" s="4">
        <v>0</v>
      </c>
      <c r="L201" s="4"/>
      <c r="M201" s="4"/>
      <c r="N201" s="4"/>
      <c r="O201" s="4"/>
      <c r="P201" s="4">
        <v>0</v>
      </c>
      <c r="Q201" s="4"/>
      <c r="R201" s="4"/>
      <c r="S201" s="80">
        <f>SUM(F201:R201)</f>
        <v>0</v>
      </c>
      <c r="T201">
        <v>199</v>
      </c>
    </row>
    <row r="202" spans="3:20" x14ac:dyDescent="0.3">
      <c r="F202" s="4"/>
      <c r="G202" s="4"/>
      <c r="H202" s="4"/>
      <c r="I202" s="4"/>
      <c r="J202" s="4"/>
      <c r="K202" s="4"/>
      <c r="L202" s="4"/>
      <c r="M202" s="4"/>
      <c r="N202" s="4"/>
      <c r="O202" s="4"/>
      <c r="P202" s="4"/>
      <c r="Q202" s="4"/>
      <c r="R202" s="4"/>
      <c r="S202" s="80"/>
      <c r="T202">
        <v>200</v>
      </c>
    </row>
    <row r="203" spans="3:20" x14ac:dyDescent="0.3">
      <c r="C203" s="83">
        <v>294</v>
      </c>
      <c r="D203" s="83"/>
      <c r="E203" s="83" t="s">
        <v>272</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3">
      <c r="D204">
        <v>2940</v>
      </c>
      <c r="E204" t="s">
        <v>272</v>
      </c>
      <c r="F204" s="4">
        <v>0</v>
      </c>
      <c r="G204" s="4"/>
      <c r="H204" s="4">
        <v>0</v>
      </c>
      <c r="I204" s="4">
        <v>0</v>
      </c>
      <c r="J204" s="4">
        <v>0</v>
      </c>
      <c r="K204" s="4">
        <v>10000</v>
      </c>
      <c r="L204" s="4"/>
      <c r="M204" s="4"/>
      <c r="N204" s="4"/>
      <c r="O204" s="4"/>
      <c r="P204" s="4">
        <v>45855.4</v>
      </c>
      <c r="Q204" s="4"/>
      <c r="R204" s="4"/>
      <c r="S204" s="80">
        <f>SUM(F204:R204)</f>
        <v>55855.4</v>
      </c>
      <c r="T204">
        <v>202</v>
      </c>
    </row>
    <row r="205" spans="3:20" x14ac:dyDescent="0.3">
      <c r="F205" s="4"/>
      <c r="G205" s="4"/>
      <c r="H205" s="4"/>
      <c r="I205" s="4"/>
      <c r="J205" s="4"/>
      <c r="K205" s="4"/>
      <c r="L205" s="4"/>
      <c r="M205" s="4"/>
      <c r="N205" s="4"/>
      <c r="O205" s="4"/>
      <c r="P205" s="4"/>
      <c r="Q205" s="4"/>
      <c r="R205" s="4"/>
      <c r="S205" s="80"/>
      <c r="T205">
        <v>203</v>
      </c>
    </row>
    <row r="206" spans="3:20" x14ac:dyDescent="0.3">
      <c r="C206" s="83">
        <v>295</v>
      </c>
      <c r="D206" s="83"/>
      <c r="E206" s="83" t="s">
        <v>273</v>
      </c>
      <c r="F206" s="84">
        <f>F207</f>
        <v>1000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0</v>
      </c>
      <c r="Q206" s="84">
        <f t="shared" si="49"/>
        <v>0</v>
      </c>
      <c r="R206" s="84">
        <f t="shared" si="49"/>
        <v>0</v>
      </c>
      <c r="S206" s="84">
        <f>SUM(F206:R206)</f>
        <v>1000</v>
      </c>
      <c r="T206">
        <v>204</v>
      </c>
    </row>
    <row r="207" spans="3:20" x14ac:dyDescent="0.3">
      <c r="D207">
        <v>2950</v>
      </c>
      <c r="E207" t="s">
        <v>273</v>
      </c>
      <c r="F207" s="4">
        <v>1000</v>
      </c>
      <c r="G207" s="4"/>
      <c r="H207" s="4">
        <v>0</v>
      </c>
      <c r="I207" s="4">
        <v>0</v>
      </c>
      <c r="J207" s="4">
        <v>0</v>
      </c>
      <c r="K207" s="4">
        <v>0</v>
      </c>
      <c r="L207" s="4"/>
      <c r="M207" s="4"/>
      <c r="N207" s="4"/>
      <c r="O207" s="4"/>
      <c r="P207" s="4">
        <v>0</v>
      </c>
      <c r="Q207" s="4"/>
      <c r="R207" s="4"/>
      <c r="S207" s="80">
        <f>SUM(F207:R207)</f>
        <v>1000</v>
      </c>
      <c r="T207">
        <v>205</v>
      </c>
    </row>
    <row r="208" spans="3:20" x14ac:dyDescent="0.3">
      <c r="F208" s="4"/>
      <c r="G208" s="4"/>
      <c r="H208" s="4"/>
      <c r="I208" s="4"/>
      <c r="J208" s="4"/>
      <c r="K208" s="4"/>
      <c r="L208" s="4"/>
      <c r="M208" s="4"/>
      <c r="N208" s="4"/>
      <c r="O208" s="4"/>
      <c r="P208" s="4"/>
      <c r="Q208" s="4"/>
      <c r="R208" s="4"/>
      <c r="S208" s="80"/>
      <c r="T208">
        <v>206</v>
      </c>
    </row>
    <row r="209" spans="3:20" x14ac:dyDescent="0.3">
      <c r="C209" s="83">
        <v>296</v>
      </c>
      <c r="D209" s="83"/>
      <c r="E209" s="83" t="s">
        <v>274</v>
      </c>
      <c r="F209" s="84">
        <f>F210</f>
        <v>28424.25</v>
      </c>
      <c r="G209" s="84">
        <f t="shared" ref="G209:R209" si="50">G210</f>
        <v>0</v>
      </c>
      <c r="H209" s="84">
        <f t="shared" si="50"/>
        <v>0</v>
      </c>
      <c r="I209" s="84">
        <f t="shared" si="50"/>
        <v>0</v>
      </c>
      <c r="J209" s="84">
        <f t="shared" si="50"/>
        <v>0</v>
      </c>
      <c r="K209" s="84">
        <f t="shared" si="50"/>
        <v>23558788</v>
      </c>
      <c r="L209" s="84">
        <f t="shared" si="50"/>
        <v>0</v>
      </c>
      <c r="M209" s="84">
        <f t="shared" si="50"/>
        <v>0</v>
      </c>
      <c r="N209" s="84">
        <f t="shared" si="50"/>
        <v>0</v>
      </c>
      <c r="O209" s="84">
        <f t="shared" si="50"/>
        <v>0</v>
      </c>
      <c r="P209" s="84">
        <f t="shared" si="50"/>
        <v>430911.55</v>
      </c>
      <c r="Q209" s="84">
        <f t="shared" si="50"/>
        <v>0</v>
      </c>
      <c r="R209" s="84">
        <f t="shared" si="50"/>
        <v>0</v>
      </c>
      <c r="S209" s="84">
        <f>SUM(F209:R209)</f>
        <v>24018123.800000001</v>
      </c>
      <c r="T209">
        <v>207</v>
      </c>
    </row>
    <row r="210" spans="3:20" x14ac:dyDescent="0.3">
      <c r="D210">
        <v>2960</v>
      </c>
      <c r="E210" t="s">
        <v>274</v>
      </c>
      <c r="F210" s="4">
        <v>28424.25</v>
      </c>
      <c r="G210" s="4"/>
      <c r="H210" s="4">
        <v>0</v>
      </c>
      <c r="I210" s="4">
        <v>0</v>
      </c>
      <c r="J210" s="4">
        <v>0</v>
      </c>
      <c r="K210" s="4">
        <v>23558788</v>
      </c>
      <c r="L210" s="4"/>
      <c r="M210" s="4"/>
      <c r="N210" s="4"/>
      <c r="O210" s="4"/>
      <c r="P210" s="4">
        <v>430911.55</v>
      </c>
      <c r="Q210" s="4"/>
      <c r="R210" s="4"/>
      <c r="S210" s="80">
        <f>SUM(F210:R210)</f>
        <v>24018123.800000001</v>
      </c>
      <c r="T210">
        <v>208</v>
      </c>
    </row>
    <row r="211" spans="3:20" x14ac:dyDescent="0.3">
      <c r="F211" s="4"/>
      <c r="G211" s="4"/>
      <c r="H211" s="4"/>
      <c r="I211" s="4"/>
      <c r="J211" s="4"/>
      <c r="K211" s="4"/>
      <c r="L211" s="4"/>
      <c r="M211" s="4"/>
      <c r="N211" s="4"/>
      <c r="O211" s="4"/>
      <c r="P211" s="4"/>
      <c r="Q211" s="4"/>
      <c r="R211" s="4"/>
      <c r="S211" s="80"/>
      <c r="T211">
        <v>209</v>
      </c>
    </row>
    <row r="212" spans="3:20" x14ac:dyDescent="0.3">
      <c r="C212" s="83">
        <v>298</v>
      </c>
      <c r="D212" s="83"/>
      <c r="E212" s="83" t="s">
        <v>275</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3">
      <c r="D213">
        <v>2980</v>
      </c>
      <c r="E213" t="s">
        <v>275</v>
      </c>
      <c r="F213" s="4">
        <v>0</v>
      </c>
      <c r="G213" s="4"/>
      <c r="H213" s="4">
        <v>0</v>
      </c>
      <c r="I213" s="4">
        <v>0</v>
      </c>
      <c r="J213" s="4">
        <v>0</v>
      </c>
      <c r="K213" s="4">
        <v>0</v>
      </c>
      <c r="L213" s="4"/>
      <c r="M213" s="4"/>
      <c r="N213" s="4"/>
      <c r="O213" s="4"/>
      <c r="P213" s="4">
        <v>0</v>
      </c>
      <c r="Q213" s="4"/>
      <c r="R213" s="4"/>
      <c r="S213" s="80">
        <f>SUM(F213:R213)</f>
        <v>0</v>
      </c>
      <c r="T213">
        <v>211</v>
      </c>
    </row>
    <row r="214" spans="3:20" x14ac:dyDescent="0.3">
      <c r="F214" s="4"/>
      <c r="G214" s="4"/>
      <c r="H214" s="4"/>
      <c r="I214" s="4"/>
      <c r="J214" s="4"/>
      <c r="K214" s="4"/>
      <c r="L214" s="4"/>
      <c r="M214" s="4"/>
      <c r="N214" s="4"/>
      <c r="O214" s="4"/>
      <c r="P214" s="4"/>
      <c r="Q214" s="4"/>
      <c r="R214" s="4"/>
      <c r="S214" s="80"/>
      <c r="T214">
        <v>212</v>
      </c>
    </row>
    <row r="215" spans="3:20" x14ac:dyDescent="0.3">
      <c r="C215" s="83">
        <v>299</v>
      </c>
      <c r="D215" s="83"/>
      <c r="E215" s="83" t="s">
        <v>453</v>
      </c>
      <c r="F215" s="84">
        <f>F216+F217</f>
        <v>7090649.3100000005</v>
      </c>
      <c r="G215" s="84">
        <f t="shared" ref="G215:R215" si="52">G216+G217</f>
        <v>0</v>
      </c>
      <c r="H215" s="84">
        <f t="shared" si="52"/>
        <v>710171.77</v>
      </c>
      <c r="I215" s="84">
        <f t="shared" si="52"/>
        <v>833426.44000000006</v>
      </c>
      <c r="J215" s="84">
        <f t="shared" si="52"/>
        <v>1799439.79</v>
      </c>
      <c r="K215" s="84">
        <f t="shared" si="52"/>
        <v>3584973.37</v>
      </c>
      <c r="L215" s="84">
        <f t="shared" si="52"/>
        <v>0</v>
      </c>
      <c r="M215" s="84">
        <f t="shared" si="52"/>
        <v>0</v>
      </c>
      <c r="N215" s="84">
        <f t="shared" si="52"/>
        <v>0</v>
      </c>
      <c r="O215" s="84">
        <f t="shared" si="52"/>
        <v>0</v>
      </c>
      <c r="P215" s="84">
        <f t="shared" si="52"/>
        <v>1993529.91</v>
      </c>
      <c r="Q215" s="84">
        <f t="shared" si="52"/>
        <v>0</v>
      </c>
      <c r="R215" s="84">
        <f t="shared" si="52"/>
        <v>0</v>
      </c>
      <c r="S215" s="84">
        <f>SUM(F215:R215)</f>
        <v>16012190.59</v>
      </c>
      <c r="T215">
        <v>213</v>
      </c>
    </row>
    <row r="216" spans="3:20" x14ac:dyDescent="0.3">
      <c r="D216">
        <v>2990</v>
      </c>
      <c r="E216" t="s">
        <v>453</v>
      </c>
      <c r="F216" s="4">
        <v>29125.87</v>
      </c>
      <c r="G216" s="4"/>
      <c r="H216" s="4">
        <v>-1127.99</v>
      </c>
      <c r="I216" s="4">
        <v>17304.650000000001</v>
      </c>
      <c r="J216" s="4">
        <v>-23884.75</v>
      </c>
      <c r="K216" s="4">
        <v>157274</v>
      </c>
      <c r="L216" s="4"/>
      <c r="M216" s="4"/>
      <c r="N216" s="4"/>
      <c r="O216" s="4"/>
      <c r="P216" s="4">
        <v>17978.64</v>
      </c>
      <c r="Q216" s="4"/>
      <c r="R216" s="4"/>
      <c r="S216" s="80">
        <f>SUM(F216:R216)</f>
        <v>196670.41999999998</v>
      </c>
      <c r="T216">
        <v>214</v>
      </c>
    </row>
    <row r="217" spans="3:20" x14ac:dyDescent="0.3">
      <c r="D217">
        <v>2999</v>
      </c>
      <c r="E217" t="s">
        <v>595</v>
      </c>
      <c r="F217" s="4">
        <v>7061523.4400000004</v>
      </c>
      <c r="G217" s="4"/>
      <c r="H217" s="4">
        <v>711299.76</v>
      </c>
      <c r="I217" s="4">
        <v>816121.79</v>
      </c>
      <c r="J217" s="4">
        <v>1823324.54</v>
      </c>
      <c r="K217" s="4">
        <v>3427699.37</v>
      </c>
      <c r="L217" s="4"/>
      <c r="M217" s="4"/>
      <c r="N217" s="4"/>
      <c r="O217" s="4"/>
      <c r="P217" s="208">
        <v>1975551.27</v>
      </c>
      <c r="Q217" s="4"/>
      <c r="R217" s="4"/>
      <c r="S217" s="80">
        <f>SUM(F217:R217)</f>
        <v>15815520.170000002</v>
      </c>
      <c r="T217">
        <v>215</v>
      </c>
    </row>
    <row r="218" spans="3:20" x14ac:dyDescent="0.3">
      <c r="F218" s="4"/>
      <c r="G218" s="4"/>
      <c r="H218" s="4"/>
      <c r="I218" s="199"/>
      <c r="J218" s="4"/>
      <c r="K218" s="4"/>
      <c r="L218" s="4"/>
      <c r="M218" s="4"/>
      <c r="N218" s="4"/>
      <c r="O218" s="4"/>
      <c r="P218" s="153"/>
      <c r="Q218" s="4"/>
      <c r="R218" s="4"/>
      <c r="S218" s="80"/>
      <c r="T218">
        <v>216</v>
      </c>
    </row>
    <row r="219" spans="3:20" x14ac:dyDescent="0.3">
      <c r="C219" s="160"/>
      <c r="D219" s="160"/>
      <c r="E219" s="160" t="s">
        <v>600</v>
      </c>
      <c r="T219">
        <v>217</v>
      </c>
    </row>
    <row r="220" spans="3:20" x14ac:dyDescent="0.3">
      <c r="D220">
        <v>290</v>
      </c>
      <c r="E220" t="s">
        <v>599</v>
      </c>
      <c r="F220" s="4">
        <f>'Bourgeoisies Comptes 2020'!E155</f>
        <v>0</v>
      </c>
      <c r="G220" s="4">
        <f>'Bourgeoisies Comptes 2020'!F155</f>
        <v>0</v>
      </c>
      <c r="H220" s="4">
        <f>'Bourgeoisies Comptes 2020'!G155</f>
        <v>0</v>
      </c>
      <c r="I220" s="4">
        <f>'Bourgeoisies Comptes 2020'!H155</f>
        <v>0</v>
      </c>
      <c r="J220" s="4">
        <f>'Bourgeoisies Comptes 2020'!I155</f>
        <v>0</v>
      </c>
      <c r="K220" s="4">
        <f>'Bourgeoisies Comptes 2020'!J155</f>
        <v>0</v>
      </c>
      <c r="L220" s="4">
        <f>'Bourgeoisies Comptes 2020'!K155</f>
        <v>0</v>
      </c>
      <c r="M220" s="4">
        <f>'Bourgeoisies Comptes 2020'!L155</f>
        <v>0</v>
      </c>
      <c r="N220" s="4">
        <f>'Bourgeoisies Comptes 2020'!M155</f>
        <v>0</v>
      </c>
      <c r="O220" s="4">
        <f>'Bourgeoisies Comptes 2020'!N155</f>
        <v>0</v>
      </c>
      <c r="P220" s="4">
        <f>'Bourgeoisies Comptes 2020'!O155</f>
        <v>0</v>
      </c>
      <c r="Q220" s="4">
        <f>'Bourgeoisies Comptes 2020'!P155</f>
        <v>0</v>
      </c>
      <c r="R220" s="4">
        <f>'Bourgeoisies Comptes 2020'!Q155</f>
        <v>0</v>
      </c>
      <c r="S220" s="4">
        <f>'Bourgeoisies Comptes 2020'!R155</f>
        <v>0</v>
      </c>
      <c r="T220">
        <v>218</v>
      </c>
    </row>
    <row r="221" spans="3:20" x14ac:dyDescent="0.3">
      <c r="D221">
        <v>2990</v>
      </c>
      <c r="E221" t="s">
        <v>603</v>
      </c>
      <c r="F221" s="4">
        <f>F216</f>
        <v>29125.87</v>
      </c>
      <c r="G221" s="4">
        <f t="shared" ref="G221:S221" si="53">G216</f>
        <v>0</v>
      </c>
      <c r="H221" s="4">
        <f t="shared" si="53"/>
        <v>-1127.99</v>
      </c>
      <c r="I221" s="4">
        <f t="shared" si="53"/>
        <v>17304.650000000001</v>
      </c>
      <c r="J221" s="4">
        <f t="shared" si="53"/>
        <v>-23884.75</v>
      </c>
      <c r="K221" s="4">
        <f t="shared" si="53"/>
        <v>157274</v>
      </c>
      <c r="L221" s="4">
        <f t="shared" si="53"/>
        <v>0</v>
      </c>
      <c r="M221" s="4">
        <f t="shared" si="53"/>
        <v>0</v>
      </c>
      <c r="N221" s="4">
        <f t="shared" si="53"/>
        <v>0</v>
      </c>
      <c r="O221" s="4">
        <f t="shared" si="53"/>
        <v>0</v>
      </c>
      <c r="P221" s="4">
        <f t="shared" si="53"/>
        <v>17978.64</v>
      </c>
      <c r="Q221" s="4">
        <f t="shared" si="53"/>
        <v>0</v>
      </c>
      <c r="R221" s="4">
        <f t="shared" si="53"/>
        <v>0</v>
      </c>
      <c r="S221" s="4">
        <f t="shared" si="53"/>
        <v>196670.41999999998</v>
      </c>
      <c r="T221">
        <v>219</v>
      </c>
    </row>
    <row r="222" spans="3:20" x14ac:dyDescent="0.3">
      <c r="T222">
        <v>220</v>
      </c>
    </row>
    <row r="223" spans="3:20" x14ac:dyDescent="0.3">
      <c r="E223" s="7" t="s">
        <v>602</v>
      </c>
      <c r="F223" s="41">
        <f>F220+F221</f>
        <v>29125.87</v>
      </c>
      <c r="G223" s="41">
        <f t="shared" ref="G223:S223" si="54">G220+G221</f>
        <v>0</v>
      </c>
      <c r="H223" s="41">
        <f t="shared" si="54"/>
        <v>-1127.99</v>
      </c>
      <c r="I223" s="41">
        <f t="shared" si="54"/>
        <v>17304.650000000001</v>
      </c>
      <c r="J223" s="41">
        <f t="shared" si="54"/>
        <v>-23884.75</v>
      </c>
      <c r="K223" s="41">
        <f t="shared" si="54"/>
        <v>157274</v>
      </c>
      <c r="L223" s="41">
        <f t="shared" si="54"/>
        <v>0</v>
      </c>
      <c r="M223" s="41">
        <f t="shared" si="54"/>
        <v>0</v>
      </c>
      <c r="N223" s="41">
        <f t="shared" si="54"/>
        <v>0</v>
      </c>
      <c r="O223" s="41">
        <f t="shared" si="54"/>
        <v>0</v>
      </c>
      <c r="P223" s="41">
        <f t="shared" si="54"/>
        <v>17978.64</v>
      </c>
      <c r="Q223" s="41">
        <f t="shared" si="54"/>
        <v>0</v>
      </c>
      <c r="R223" s="41">
        <f t="shared" si="54"/>
        <v>0</v>
      </c>
      <c r="S223" s="41">
        <f t="shared" si="54"/>
        <v>196670.41999999998</v>
      </c>
      <c r="T223">
        <v>221</v>
      </c>
    </row>
    <row r="224" spans="3:20" x14ac:dyDescent="0.3">
      <c r="N224" s="4"/>
      <c r="S224" s="4"/>
      <c r="T224">
        <v>222</v>
      </c>
    </row>
    <row r="225" spans="5:20" x14ac:dyDescent="0.3">
      <c r="E225" s="60" t="s">
        <v>601</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F155" sqref="F155"/>
    </sheetView>
  </sheetViews>
  <sheetFormatPr baseColWidth="10" defaultRowHeight="14.4" x14ac:dyDescent="0.3"/>
  <cols>
    <col min="1" max="3" width="4.6640625" customWidth="1"/>
    <col min="4" max="4" width="9" customWidth="1"/>
    <col min="5" max="5" width="63.5546875" customWidth="1"/>
    <col min="6" max="6" width="22.6640625" customWidth="1"/>
  </cols>
  <sheetData>
    <row r="1" spans="1:6" ht="25.8" x14ac:dyDescent="0.5">
      <c r="A1" s="42" t="s">
        <v>759</v>
      </c>
      <c r="B1" s="7"/>
      <c r="C1" s="7"/>
      <c r="D1" s="7"/>
      <c r="E1" s="78"/>
    </row>
    <row r="3" spans="1:6" ht="15" thickBot="1" x14ac:dyDescent="0.35"/>
    <row r="4" spans="1:6" ht="15" thickBot="1" x14ac:dyDescent="0.35">
      <c r="A4" t="s">
        <v>769</v>
      </c>
      <c r="E4" s="174" t="s">
        <v>56</v>
      </c>
    </row>
    <row r="7" spans="1:6" ht="21" x14ac:dyDescent="0.4">
      <c r="A7" s="73">
        <v>1</v>
      </c>
      <c r="B7" s="73"/>
      <c r="C7" s="73"/>
      <c r="D7" s="73"/>
      <c r="E7" s="73" t="s">
        <v>246</v>
      </c>
      <c r="F7" s="175">
        <f>HLOOKUP($E$4,'Bourgeoisie bilan'!$F$3:$S$228,2,0)</f>
        <v>10598676.65</v>
      </c>
    </row>
    <row r="8" spans="1:6" x14ac:dyDescent="0.3">
      <c r="A8" s="78"/>
      <c r="B8" s="74">
        <v>10</v>
      </c>
      <c r="C8" s="74"/>
      <c r="D8" s="74"/>
      <c r="E8" s="74" t="s">
        <v>247</v>
      </c>
      <c r="F8" s="75">
        <f>HLOOKUP($E$4,'Bourgeoisie bilan'!$F$3:$S$228,2,0)</f>
        <v>10598676.65</v>
      </c>
    </row>
    <row r="9" spans="1:6" x14ac:dyDescent="0.3">
      <c r="A9" s="79"/>
      <c r="B9" s="79"/>
      <c r="C9" s="69">
        <v>100</v>
      </c>
      <c r="D9" s="69"/>
      <c r="E9" s="69" t="s">
        <v>248</v>
      </c>
      <c r="F9" s="70">
        <f>HLOOKUP($E$4,'Bourgeoisie bilan'!$F$3:$S$228,2,0)</f>
        <v>10598676.65</v>
      </c>
    </row>
    <row r="10" spans="1:6" x14ac:dyDescent="0.3">
      <c r="D10">
        <v>1000</v>
      </c>
      <c r="E10" t="s">
        <v>322</v>
      </c>
      <c r="F10" s="4">
        <f>HLOOKUP($E$4,'Bourgeoisie bilan'!$F$3:$S$228,5,0)</f>
        <v>1464.65</v>
      </c>
    </row>
    <row r="11" spans="1:6" x14ac:dyDescent="0.3">
      <c r="D11">
        <v>1001</v>
      </c>
      <c r="E11" t="s">
        <v>323</v>
      </c>
      <c r="F11" s="4">
        <f>HLOOKUP($E$4,'Bourgeoisie bilan'!$F$3:$S$228,6,0)</f>
        <v>1364.71</v>
      </c>
    </row>
    <row r="12" spans="1:6" x14ac:dyDescent="0.3">
      <c r="D12">
        <v>1002</v>
      </c>
      <c r="E12" t="s">
        <v>331</v>
      </c>
      <c r="F12" s="4">
        <f>HLOOKUP($E$4,'Bourgeoisie bilan'!$F$3:$S$228,7,0)</f>
        <v>1228383.3899999999</v>
      </c>
    </row>
    <row r="13" spans="1:6" x14ac:dyDescent="0.3">
      <c r="D13">
        <v>1003</v>
      </c>
      <c r="E13" t="s">
        <v>324</v>
      </c>
      <c r="F13" s="4">
        <f>HLOOKUP($E$4,'Bourgeoisie bilan'!$F$3:$S$228,8,0)</f>
        <v>0</v>
      </c>
    </row>
    <row r="14" spans="1:6" x14ac:dyDescent="0.3">
      <c r="D14">
        <v>1004</v>
      </c>
      <c r="E14" t="s">
        <v>325</v>
      </c>
      <c r="F14" s="4">
        <f>HLOOKUP($E$4,'Bourgeoisie bilan'!$F$3:$S$228,9,0)</f>
        <v>7342.95</v>
      </c>
    </row>
    <row r="15" spans="1:6" x14ac:dyDescent="0.3">
      <c r="D15">
        <v>1009</v>
      </c>
      <c r="E15" t="s">
        <v>326</v>
      </c>
      <c r="F15" s="4">
        <f>HLOOKUP($E$4,'Bourgeoisie bilan'!$F$3:$S$228,10,0)</f>
        <v>0</v>
      </c>
    </row>
    <row r="16" spans="1:6" x14ac:dyDescent="0.3">
      <c r="F16" s="4"/>
    </row>
    <row r="17" spans="1:6" x14ac:dyDescent="0.3">
      <c r="A17" s="79"/>
      <c r="B17" s="79"/>
      <c r="C17" s="69">
        <v>101</v>
      </c>
      <c r="D17" s="69"/>
      <c r="E17" s="69" t="s">
        <v>249</v>
      </c>
      <c r="F17" s="70">
        <f>HLOOKUP($E$4,'Bourgeoisie bilan'!$F$3:$S$228,12,0)</f>
        <v>18007.2</v>
      </c>
    </row>
    <row r="18" spans="1:6" x14ac:dyDescent="0.3">
      <c r="D18">
        <v>1010</v>
      </c>
      <c r="E18" t="s">
        <v>327</v>
      </c>
      <c r="F18" s="4">
        <f>HLOOKUP($E$4,'Bourgeoisie bilan'!$F$3:$S$228,13,0)</f>
        <v>17935.45</v>
      </c>
    </row>
    <row r="19" spans="1:6" x14ac:dyDescent="0.3">
      <c r="D19">
        <v>1011</v>
      </c>
      <c r="E19" t="s">
        <v>408</v>
      </c>
      <c r="F19" s="4">
        <f>HLOOKUP($E$4,'Bourgeoisie bilan'!$F$3:$S$228,14,0)</f>
        <v>0</v>
      </c>
    </row>
    <row r="20" spans="1:6" x14ac:dyDescent="0.3">
      <c r="D20">
        <v>1012</v>
      </c>
      <c r="E20" t="s">
        <v>328</v>
      </c>
      <c r="F20" s="4">
        <f>HLOOKUP($E$4,'Bourgeoisie bilan'!$F$3:$S$228,15,0)</f>
        <v>0</v>
      </c>
    </row>
    <row r="21" spans="1:6" x14ac:dyDescent="0.3">
      <c r="D21">
        <v>1013</v>
      </c>
      <c r="E21" t="s">
        <v>329</v>
      </c>
      <c r="F21" s="4">
        <f>HLOOKUP($E$4,'Bourgeoisie bilan'!$F$3:$S$228,16,0)</f>
        <v>0</v>
      </c>
    </row>
    <row r="22" spans="1:6" x14ac:dyDescent="0.3">
      <c r="D22">
        <v>1014</v>
      </c>
      <c r="E22" t="s">
        <v>330</v>
      </c>
      <c r="F22" s="4">
        <f>HLOOKUP($E$4,'Bourgeoisie bilan'!$F$3:$S$228,17,0)</f>
        <v>0</v>
      </c>
    </row>
    <row r="23" spans="1:6" x14ac:dyDescent="0.3">
      <c r="D23">
        <v>1015</v>
      </c>
      <c r="E23" t="s">
        <v>332</v>
      </c>
      <c r="F23" s="4">
        <f>HLOOKUP($E$4,'Bourgeoisie bilan'!$F$3:$S$228,18,0)</f>
        <v>0</v>
      </c>
    </row>
    <row r="24" spans="1:6" x14ac:dyDescent="0.3">
      <c r="D24">
        <v>1016</v>
      </c>
      <c r="E24" t="s">
        <v>333</v>
      </c>
      <c r="F24" s="4">
        <f>HLOOKUP($E$4,'Bourgeoisie bilan'!$F$3:$S$228,19,0)</f>
        <v>0</v>
      </c>
    </row>
    <row r="25" spans="1:6" x14ac:dyDescent="0.3">
      <c r="D25">
        <v>1019</v>
      </c>
      <c r="E25" t="s">
        <v>334</v>
      </c>
      <c r="F25" s="4">
        <f>HLOOKUP($E$4,'Bourgeoisie bilan'!$F$3:$S$228,20,0)</f>
        <v>71.75</v>
      </c>
    </row>
    <row r="26" spans="1:6" x14ac:dyDescent="0.3">
      <c r="F26" s="4"/>
    </row>
    <row r="27" spans="1:6" x14ac:dyDescent="0.3">
      <c r="C27" s="69">
        <v>102</v>
      </c>
      <c r="D27" s="69"/>
      <c r="E27" s="69" t="s">
        <v>250</v>
      </c>
      <c r="F27" s="70">
        <f>HLOOKUP($E$4,'Bourgeoisie bilan'!$F$3:$S$228,22,0)</f>
        <v>0</v>
      </c>
    </row>
    <row r="28" spans="1:6" x14ac:dyDescent="0.3">
      <c r="D28">
        <v>1020</v>
      </c>
      <c r="E28" t="s">
        <v>335</v>
      </c>
      <c r="F28" s="4">
        <f>HLOOKUP($E$4,'Bourgeoisie bilan'!$F$3:$S$228,23,0)</f>
        <v>0</v>
      </c>
    </row>
    <row r="29" spans="1:6" x14ac:dyDescent="0.3">
      <c r="D29">
        <v>1022</v>
      </c>
      <c r="E29" t="s">
        <v>336</v>
      </c>
      <c r="F29" s="4">
        <f>HLOOKUP($E$4,'Bourgeoisie bilan'!$F$3:$S$228,24,0)</f>
        <v>0</v>
      </c>
    </row>
    <row r="30" spans="1:6" x14ac:dyDescent="0.3">
      <c r="D30">
        <v>1023</v>
      </c>
      <c r="E30" t="s">
        <v>337</v>
      </c>
      <c r="F30" s="4">
        <f>HLOOKUP($E$4,'Bourgeoisie bilan'!$F$3:$S$228,25,0)</f>
        <v>0</v>
      </c>
    </row>
    <row r="31" spans="1:6" x14ac:dyDescent="0.3">
      <c r="D31">
        <v>1029</v>
      </c>
      <c r="E31" t="s">
        <v>338</v>
      </c>
      <c r="F31" s="4">
        <f>HLOOKUP($E$4,'Bourgeoisie bilan'!$F$3:$S$228,26,0)</f>
        <v>0</v>
      </c>
    </row>
    <row r="32" spans="1:6" x14ac:dyDescent="0.3">
      <c r="F32" s="4"/>
    </row>
    <row r="33" spans="3:6" x14ac:dyDescent="0.3">
      <c r="C33" s="69">
        <v>104</v>
      </c>
      <c r="D33" s="69"/>
      <c r="E33" s="69" t="s">
        <v>251</v>
      </c>
      <c r="F33" s="70">
        <f>HLOOKUP($E$4,'Bourgeoisie bilan'!$F$3:$S$228,28,0)</f>
        <v>12961</v>
      </c>
    </row>
    <row r="34" spans="3:6" x14ac:dyDescent="0.3">
      <c r="D34">
        <v>1040</v>
      </c>
      <c r="E34" t="s">
        <v>61</v>
      </c>
      <c r="F34" s="4">
        <f>HLOOKUP($E$4,'Bourgeoisie bilan'!$F$3:$S$228,29,0)</f>
        <v>0</v>
      </c>
    </row>
    <row r="35" spans="3:6" x14ac:dyDescent="0.3">
      <c r="D35">
        <v>1041</v>
      </c>
      <c r="E35" t="s">
        <v>339</v>
      </c>
      <c r="F35" s="4">
        <f>HLOOKUP($E$4,'Bourgeoisie bilan'!$F$3:$S$228,30,0)</f>
        <v>12961</v>
      </c>
    </row>
    <row r="36" spans="3:6" x14ac:dyDescent="0.3">
      <c r="D36">
        <v>1042</v>
      </c>
      <c r="E36" t="s">
        <v>340</v>
      </c>
      <c r="F36" s="4">
        <f>HLOOKUP($E$4,'Bourgeoisie bilan'!$F$3:$S$228,31,0)</f>
        <v>0</v>
      </c>
    </row>
    <row r="37" spans="3:6" x14ac:dyDescent="0.3">
      <c r="D37">
        <v>1043</v>
      </c>
      <c r="E37" t="s">
        <v>341</v>
      </c>
      <c r="F37" s="4">
        <f>HLOOKUP($E$4,'Bourgeoisie bilan'!$F$3:$S$228,32,0)</f>
        <v>0</v>
      </c>
    </row>
    <row r="38" spans="3:6" x14ac:dyDescent="0.3">
      <c r="D38">
        <v>1044</v>
      </c>
      <c r="E38" t="s">
        <v>342</v>
      </c>
      <c r="F38" s="4">
        <f>HLOOKUP($E$4,'Bourgeoisie bilan'!$F$3:$S$228,33,0)</f>
        <v>0</v>
      </c>
    </row>
    <row r="39" spans="3:6" x14ac:dyDescent="0.3">
      <c r="D39">
        <v>1045</v>
      </c>
      <c r="E39" t="s">
        <v>343</v>
      </c>
      <c r="F39" s="4">
        <f>HLOOKUP($E$4,'Bourgeoisie bilan'!$F$3:$S$228,34,0)</f>
        <v>0</v>
      </c>
    </row>
    <row r="40" spans="3:6" x14ac:dyDescent="0.3">
      <c r="D40">
        <v>1046</v>
      </c>
      <c r="E40" t="s">
        <v>344</v>
      </c>
      <c r="F40" s="4">
        <f>HLOOKUP($E$4,'Bourgeoisie bilan'!$F$3:$S$228,35,0)</f>
        <v>0</v>
      </c>
    </row>
    <row r="41" spans="3:6" x14ac:dyDescent="0.3">
      <c r="D41">
        <v>1049</v>
      </c>
      <c r="E41" t="s">
        <v>345</v>
      </c>
      <c r="F41" s="4">
        <f>HLOOKUP($E$4,'Bourgeoisie bilan'!$F$3:$S$228,36,0)</f>
        <v>0</v>
      </c>
    </row>
    <row r="42" spans="3:6" x14ac:dyDescent="0.3">
      <c r="F42" s="4"/>
    </row>
    <row r="43" spans="3:6" x14ac:dyDescent="0.3">
      <c r="C43" s="69">
        <v>106</v>
      </c>
      <c r="D43" s="69"/>
      <c r="E43" s="69" t="s">
        <v>252</v>
      </c>
      <c r="F43" s="70">
        <f>HLOOKUP($E$4,'Bourgeoisie bilan'!$F$3:$S$228,38,0)</f>
        <v>102863.3</v>
      </c>
    </row>
    <row r="44" spans="3:6" x14ac:dyDescent="0.3">
      <c r="D44">
        <v>1060</v>
      </c>
      <c r="E44" t="s">
        <v>346</v>
      </c>
      <c r="F44" s="4">
        <f>HLOOKUP($E$4,'Bourgeoisie bilan'!$F$3:$S$228,39,0)</f>
        <v>102863.3</v>
      </c>
    </row>
    <row r="45" spans="3:6" x14ac:dyDescent="0.3">
      <c r="D45">
        <v>1061</v>
      </c>
      <c r="E45" t="s">
        <v>347</v>
      </c>
      <c r="F45" s="4">
        <f>HLOOKUP($E$4,'Bourgeoisie bilan'!$F$3:$S$228,40,0)</f>
        <v>0</v>
      </c>
    </row>
    <row r="46" spans="3:6" x14ac:dyDescent="0.3">
      <c r="D46">
        <v>1062</v>
      </c>
      <c r="E46" t="s">
        <v>348</v>
      </c>
      <c r="F46" s="4">
        <f>HLOOKUP($E$4,'Bourgeoisie bilan'!$F$3:$S$228,41,0)</f>
        <v>0</v>
      </c>
    </row>
    <row r="47" spans="3:6" x14ac:dyDescent="0.3">
      <c r="D47">
        <v>1063</v>
      </c>
      <c r="E47" t="s">
        <v>349</v>
      </c>
      <c r="F47" s="4">
        <f>HLOOKUP($E$4,'Bourgeoisie bilan'!$F$3:$S$228,42,0)</f>
        <v>0</v>
      </c>
    </row>
    <row r="48" spans="3:6" x14ac:dyDescent="0.3">
      <c r="D48">
        <v>1068</v>
      </c>
      <c r="E48" t="s">
        <v>350</v>
      </c>
      <c r="F48" s="4">
        <f>HLOOKUP($E$4,'Bourgeoisie bilan'!$F$3:$S$228,43,0)</f>
        <v>0</v>
      </c>
    </row>
    <row r="49" spans="3:6" x14ac:dyDescent="0.3">
      <c r="F49" s="4"/>
    </row>
    <row r="50" spans="3:6" x14ac:dyDescent="0.3">
      <c r="C50" s="69">
        <v>107</v>
      </c>
      <c r="D50" s="69"/>
      <c r="E50" s="69" t="s">
        <v>355</v>
      </c>
      <c r="F50" s="70">
        <f>HLOOKUP($E$4,'Bourgeoisie bilan'!$F$3:$S$228,45,0)</f>
        <v>13945.25</v>
      </c>
    </row>
    <row r="51" spans="3:6" x14ac:dyDescent="0.3">
      <c r="D51">
        <v>1070</v>
      </c>
      <c r="E51" t="s">
        <v>351</v>
      </c>
      <c r="F51" s="4">
        <f>HLOOKUP($E$4,'Bourgeoisie bilan'!$F$3:$S$228,46,0)</f>
        <v>13945.25</v>
      </c>
    </row>
    <row r="52" spans="3:6" x14ac:dyDescent="0.3">
      <c r="D52">
        <v>1071</v>
      </c>
      <c r="E52" t="s">
        <v>352</v>
      </c>
      <c r="F52" s="4">
        <f>HLOOKUP($E$4,'Bourgeoisie bilan'!$F$3:$S$228,47,0)</f>
        <v>0</v>
      </c>
    </row>
    <row r="53" spans="3:6" x14ac:dyDescent="0.3">
      <c r="D53">
        <v>1072</v>
      </c>
      <c r="E53" t="s">
        <v>353</v>
      </c>
      <c r="F53" s="4">
        <f>HLOOKUP($E$4,'Bourgeoisie bilan'!$F$3:$S$228,48,0)</f>
        <v>0</v>
      </c>
    </row>
    <row r="54" spans="3:6" x14ac:dyDescent="0.3">
      <c r="D54">
        <v>1079</v>
      </c>
      <c r="E54" t="s">
        <v>354</v>
      </c>
      <c r="F54" s="4">
        <f>HLOOKUP($E$4,'Bourgeoisie bilan'!$F$3:$S$228,49,0)</f>
        <v>0</v>
      </c>
    </row>
    <row r="55" spans="3:6" x14ac:dyDescent="0.3">
      <c r="F55" s="4"/>
    </row>
    <row r="56" spans="3:6" x14ac:dyDescent="0.3">
      <c r="C56" s="69">
        <v>108</v>
      </c>
      <c r="D56" s="69"/>
      <c r="E56" s="69" t="s">
        <v>253</v>
      </c>
      <c r="F56" s="70">
        <f>HLOOKUP($E$4,'Bourgeoisie bilan'!$F$3:$S$228,51,0)</f>
        <v>6907979.3499999996</v>
      </c>
    </row>
    <row r="57" spans="3:6" x14ac:dyDescent="0.3">
      <c r="D57">
        <v>1080</v>
      </c>
      <c r="E57" t="s">
        <v>356</v>
      </c>
      <c r="F57" s="4">
        <f>HLOOKUP($E$4,'Bourgeoisie bilan'!$F$3:$S$228,52,0)</f>
        <v>509535</v>
      </c>
    </row>
    <row r="58" spans="3:6" x14ac:dyDescent="0.3">
      <c r="D58">
        <v>1084</v>
      </c>
      <c r="E58" t="s">
        <v>357</v>
      </c>
      <c r="F58" s="4">
        <f>HLOOKUP($E$4,'Bourgeoisie bilan'!$F$3:$S$228,53,0)</f>
        <v>1273320</v>
      </c>
    </row>
    <row r="59" spans="3:6" x14ac:dyDescent="0.3">
      <c r="D59">
        <v>1086</v>
      </c>
      <c r="E59" t="s">
        <v>358</v>
      </c>
      <c r="F59" s="4">
        <f>HLOOKUP($E$4,'Bourgeoisie bilan'!$F$3:$S$228,54,0)</f>
        <v>0</v>
      </c>
    </row>
    <row r="60" spans="3:6" x14ac:dyDescent="0.3">
      <c r="D60">
        <v>1087</v>
      </c>
      <c r="E60" t="s">
        <v>359</v>
      </c>
      <c r="F60" s="4">
        <f>HLOOKUP($E$4,'Bourgeoisie bilan'!$F$3:$S$228,55,0)</f>
        <v>4967124.3499999996</v>
      </c>
    </row>
    <row r="61" spans="3:6" x14ac:dyDescent="0.3">
      <c r="D61">
        <v>1088</v>
      </c>
      <c r="E61" t="s">
        <v>360</v>
      </c>
      <c r="F61" s="4">
        <f>HLOOKUP($E$4,'Bourgeoisie bilan'!$F$3:$S$228,56,0)</f>
        <v>0</v>
      </c>
    </row>
    <row r="62" spans="3:6" x14ac:dyDescent="0.3">
      <c r="D62">
        <v>1089</v>
      </c>
      <c r="E62" t="s">
        <v>361</v>
      </c>
      <c r="F62" s="4">
        <f>HLOOKUP($E$4,'Bourgeoisie bilan'!$F$3:$S$228,57,0)</f>
        <v>158000</v>
      </c>
    </row>
    <row r="63" spans="3:6" x14ac:dyDescent="0.3">
      <c r="F63" s="4"/>
    </row>
    <row r="64" spans="3:6" x14ac:dyDescent="0.3">
      <c r="C64" s="69">
        <v>109</v>
      </c>
      <c r="D64" s="69"/>
      <c r="E64" s="69" t="s">
        <v>362</v>
      </c>
      <c r="F64" s="70">
        <f>HLOOKUP($E$4,'Bourgeoisie bilan'!$F$3:$S$228,59,0)</f>
        <v>0</v>
      </c>
    </row>
    <row r="65" spans="2:6" x14ac:dyDescent="0.3">
      <c r="D65">
        <v>1090</v>
      </c>
      <c r="E65" t="s">
        <v>362</v>
      </c>
      <c r="F65" s="4">
        <f>HLOOKUP($E$4,'Bourgeoisie bilan'!$F$3:$S$228,60,0)</f>
        <v>0</v>
      </c>
    </row>
    <row r="66" spans="2:6" x14ac:dyDescent="0.3">
      <c r="D66">
        <v>1091</v>
      </c>
      <c r="E66" t="s">
        <v>363</v>
      </c>
      <c r="F66" s="4">
        <f>HLOOKUP($E$4,'Bourgeoisie bilan'!$F$3:$S$228,61,0)</f>
        <v>0</v>
      </c>
    </row>
    <row r="67" spans="2:6" x14ac:dyDescent="0.3">
      <c r="D67">
        <v>1092</v>
      </c>
      <c r="E67" t="s">
        <v>364</v>
      </c>
      <c r="F67" s="4">
        <f>HLOOKUP($E$4,'Bourgeoisie bilan'!$F$3:$S$228,62,0)</f>
        <v>0</v>
      </c>
    </row>
    <row r="68" spans="2:6" x14ac:dyDescent="0.3">
      <c r="D68">
        <v>1093</v>
      </c>
      <c r="E68" t="s">
        <v>365</v>
      </c>
      <c r="F68" s="4">
        <f>HLOOKUP($E$4,'Bourgeoisie bilan'!$F$3:$S$228,63,0)</f>
        <v>0</v>
      </c>
    </row>
    <row r="69" spans="2:6" x14ac:dyDescent="0.3">
      <c r="F69" s="4"/>
    </row>
    <row r="70" spans="2:6" x14ac:dyDescent="0.3">
      <c r="B70" s="76">
        <v>14</v>
      </c>
      <c r="C70" s="76"/>
      <c r="D70" s="76"/>
      <c r="E70" s="76" t="s">
        <v>254</v>
      </c>
      <c r="F70" s="77">
        <f>HLOOKUP($E$4,'Bourgeoisie bilan'!$F$3:$S$228,65,0)</f>
        <v>2304364.85</v>
      </c>
    </row>
    <row r="71" spans="2:6" x14ac:dyDescent="0.3">
      <c r="C71" s="69">
        <v>140</v>
      </c>
      <c r="D71" s="69"/>
      <c r="E71" s="69" t="s">
        <v>256</v>
      </c>
      <c r="F71" s="70">
        <f>HLOOKUP($E$4,'Bourgeoisie bilan'!$F$3:$S$228,66,0)</f>
        <v>2235564.85</v>
      </c>
    </row>
    <row r="72" spans="2:6" x14ac:dyDescent="0.3">
      <c r="D72">
        <v>1400</v>
      </c>
      <c r="E72" t="s">
        <v>366</v>
      </c>
      <c r="F72" s="4">
        <f>HLOOKUP($E$4,'Bourgeoisie bilan'!$F$3:$S$228,67,0)</f>
        <v>637850</v>
      </c>
    </row>
    <row r="73" spans="2:6" x14ac:dyDescent="0.3">
      <c r="D73">
        <v>1401</v>
      </c>
      <c r="E73" t="s">
        <v>367</v>
      </c>
      <c r="F73" s="4">
        <f>HLOOKUP($E$4,'Bourgeoisie bilan'!$F$3:$S$228,68,0)</f>
        <v>69823.850000000006</v>
      </c>
    </row>
    <row r="74" spans="2:6" x14ac:dyDescent="0.3">
      <c r="D74">
        <v>1402</v>
      </c>
      <c r="E74" t="s">
        <v>368</v>
      </c>
      <c r="F74" s="4">
        <f>HLOOKUP($E$4,'Bourgeoisie bilan'!$F$3:$S$228,69,0)</f>
        <v>0</v>
      </c>
    </row>
    <row r="75" spans="2:6" x14ac:dyDescent="0.3">
      <c r="D75">
        <v>1403</v>
      </c>
      <c r="E75" t="s">
        <v>369</v>
      </c>
      <c r="F75" s="4">
        <f>HLOOKUP($E$4,'Bourgeoisie bilan'!$F$3:$S$228,70,0)</f>
        <v>0</v>
      </c>
    </row>
    <row r="76" spans="2:6" x14ac:dyDescent="0.3">
      <c r="D76">
        <v>1404</v>
      </c>
      <c r="E76" t="s">
        <v>370</v>
      </c>
      <c r="F76" s="4">
        <f>HLOOKUP($E$4,'Bourgeoisie bilan'!$F$3:$S$228,71,0)</f>
        <v>519100</v>
      </c>
    </row>
    <row r="77" spans="2:6" x14ac:dyDescent="0.3">
      <c r="D77">
        <v>1405</v>
      </c>
      <c r="E77" t="s">
        <v>371</v>
      </c>
      <c r="F77" s="4">
        <f>HLOOKUP($E$4,'Bourgeoisie bilan'!$F$3:$S$228,72,0)</f>
        <v>907190</v>
      </c>
    </row>
    <row r="78" spans="2:6" x14ac:dyDescent="0.3">
      <c r="D78">
        <v>1406</v>
      </c>
      <c r="E78" t="s">
        <v>372</v>
      </c>
      <c r="F78" s="4">
        <f>HLOOKUP($E$4,'Bourgeoisie bilan'!$F$3:$S$228,73,0)</f>
        <v>101601</v>
      </c>
    </row>
    <row r="79" spans="2:6" x14ac:dyDescent="0.3">
      <c r="D79">
        <v>1407</v>
      </c>
      <c r="E79" t="s">
        <v>373</v>
      </c>
      <c r="F79" s="4">
        <f>HLOOKUP($E$4,'Bourgeoisie bilan'!$F$3:$S$228,74,0)</f>
        <v>0</v>
      </c>
    </row>
    <row r="80" spans="2:6" x14ac:dyDescent="0.3">
      <c r="D80">
        <v>1409</v>
      </c>
      <c r="E80" t="s">
        <v>374</v>
      </c>
      <c r="F80" s="4">
        <f>HLOOKUP($E$4,'Bourgeoisie bilan'!$F$3:$S$228,75,0)</f>
        <v>0</v>
      </c>
    </row>
    <row r="81" spans="3:6" x14ac:dyDescent="0.3">
      <c r="F81" s="4"/>
    </row>
    <row r="82" spans="3:6" x14ac:dyDescent="0.3">
      <c r="C82" s="69">
        <v>142</v>
      </c>
      <c r="D82" s="69"/>
      <c r="E82" s="69" t="s">
        <v>594</v>
      </c>
      <c r="F82" s="70">
        <f>HLOOKUP($E$4,'Bourgeoisie bilan'!$F$3:$S$228,77,0)</f>
        <v>0</v>
      </c>
    </row>
    <row r="83" spans="3:6" x14ac:dyDescent="0.3">
      <c r="D83" s="79">
        <v>1420</v>
      </c>
      <c r="E83" s="79" t="s">
        <v>375</v>
      </c>
      <c r="F83" s="4">
        <f>HLOOKUP($E$4,'Bourgeoisie bilan'!$F$3:$S$228,78,0)</f>
        <v>0</v>
      </c>
    </row>
    <row r="84" spans="3:6" x14ac:dyDescent="0.3">
      <c r="D84" s="79">
        <v>1421</v>
      </c>
      <c r="E84" s="79" t="s">
        <v>376</v>
      </c>
      <c r="F84" s="4">
        <f>HLOOKUP($E$4,'Bourgeoisie bilan'!$F$3:$S$228,79,0)</f>
        <v>0</v>
      </c>
    </row>
    <row r="85" spans="3:6" x14ac:dyDescent="0.3">
      <c r="D85" s="79">
        <v>1427</v>
      </c>
      <c r="E85" s="79" t="s">
        <v>593</v>
      </c>
      <c r="F85" s="4">
        <f>HLOOKUP($E$4,'Bourgeoisie bilan'!$F$3:$S$228,80,0)</f>
        <v>0</v>
      </c>
    </row>
    <row r="86" spans="3:6" x14ac:dyDescent="0.3">
      <c r="D86" s="79">
        <v>1429</v>
      </c>
      <c r="E86" s="79" t="s">
        <v>476</v>
      </c>
      <c r="F86" s="4">
        <f>HLOOKUP($E$4,'Bourgeoisie bilan'!$F$3:$S$228,81,0)</f>
        <v>0</v>
      </c>
    </row>
    <row r="87" spans="3:6" x14ac:dyDescent="0.3">
      <c r="F87" s="4"/>
    </row>
    <row r="88" spans="3:6" x14ac:dyDescent="0.3">
      <c r="C88" s="69">
        <v>144</v>
      </c>
      <c r="D88" s="69"/>
      <c r="E88" s="69" t="s">
        <v>257</v>
      </c>
      <c r="F88" s="70">
        <f>HLOOKUP($E$4,'Bourgeoisie bilan'!$F$3:$S$228,83,0)</f>
        <v>68800</v>
      </c>
    </row>
    <row r="89" spans="3:6" x14ac:dyDescent="0.3">
      <c r="D89">
        <v>1440</v>
      </c>
      <c r="E89" t="s">
        <v>377</v>
      </c>
      <c r="F89" s="4">
        <f>HLOOKUP($E$4,'Bourgeoisie bilan'!$F$3:$S$228,83,0)</f>
        <v>68800</v>
      </c>
    </row>
    <row r="90" spans="3:6" x14ac:dyDescent="0.3">
      <c r="D90">
        <v>1441</v>
      </c>
      <c r="E90" t="s">
        <v>379</v>
      </c>
      <c r="F90" s="4">
        <f>HLOOKUP($E$4,'Bourgeoisie bilan'!$F$3:$S$228,85,0)</f>
        <v>0</v>
      </c>
    </row>
    <row r="91" spans="3:6" x14ac:dyDescent="0.3">
      <c r="D91">
        <v>1442</v>
      </c>
      <c r="E91" t="s">
        <v>378</v>
      </c>
      <c r="F91" s="4">
        <f>HLOOKUP($E$4,'Bourgeoisie bilan'!$F$3:$S$228,86,0)</f>
        <v>22800</v>
      </c>
    </row>
    <row r="92" spans="3:6" x14ac:dyDescent="0.3">
      <c r="D92">
        <v>1443</v>
      </c>
      <c r="E92" t="s">
        <v>380</v>
      </c>
      <c r="F92" s="4">
        <f>HLOOKUP($E$4,'Bourgeoisie bilan'!$F$3:$S$228,87,0)</f>
        <v>0</v>
      </c>
    </row>
    <row r="93" spans="3:6" x14ac:dyDescent="0.3">
      <c r="D93">
        <v>1444</v>
      </c>
      <c r="E93" t="s">
        <v>381</v>
      </c>
      <c r="F93" s="4">
        <f>HLOOKUP($E$4,'Bourgeoisie bilan'!$F$3:$S$228,88,0)</f>
        <v>0</v>
      </c>
    </row>
    <row r="94" spans="3:6" x14ac:dyDescent="0.3">
      <c r="D94">
        <v>1445</v>
      </c>
      <c r="E94" t="s">
        <v>382</v>
      </c>
      <c r="F94" s="4">
        <f>HLOOKUP($E$4,'Bourgeoisie bilan'!$F$3:$S$228,89,0)</f>
        <v>0</v>
      </c>
    </row>
    <row r="95" spans="3:6" x14ac:dyDescent="0.3">
      <c r="D95">
        <v>1446</v>
      </c>
      <c r="E95" t="s">
        <v>383</v>
      </c>
      <c r="F95" s="4">
        <f>HLOOKUP($E$4,'Bourgeoisie bilan'!$F$3:$S$228,90,0)</f>
        <v>46000</v>
      </c>
    </row>
    <row r="96" spans="3:6" x14ac:dyDescent="0.3">
      <c r="D96">
        <v>1447</v>
      </c>
      <c r="E96" t="s">
        <v>384</v>
      </c>
      <c r="F96" s="4">
        <f>HLOOKUP($E$4,'Bourgeoisie bilan'!$F$3:$S$228,91,0)</f>
        <v>0</v>
      </c>
    </row>
    <row r="97" spans="3:6" x14ac:dyDescent="0.3">
      <c r="D97">
        <v>1448</v>
      </c>
      <c r="E97" t="s">
        <v>385</v>
      </c>
      <c r="F97" s="4">
        <f>HLOOKUP($E$4,'Bourgeoisie bilan'!$F$3:$S$228,92,0)</f>
        <v>0</v>
      </c>
    </row>
    <row r="98" spans="3:6" x14ac:dyDescent="0.3">
      <c r="F98" s="4"/>
    </row>
    <row r="99" spans="3:6" x14ac:dyDescent="0.3">
      <c r="C99" s="69">
        <v>145</v>
      </c>
      <c r="D99" s="69"/>
      <c r="E99" s="69" t="s">
        <v>388</v>
      </c>
      <c r="F99" s="70">
        <f>HLOOKUP($E$4,'Bourgeoisie bilan'!$F$3:$S$228,94,0)</f>
        <v>0</v>
      </c>
    </row>
    <row r="100" spans="3:6" x14ac:dyDescent="0.3">
      <c r="D100">
        <v>1450</v>
      </c>
      <c r="E100" t="s">
        <v>387</v>
      </c>
      <c r="F100" s="4">
        <f>HLOOKUP($E$4,'Bourgeoisie bilan'!$F$3:$S$228,95,0)</f>
        <v>0</v>
      </c>
    </row>
    <row r="101" spans="3:6" x14ac:dyDescent="0.3">
      <c r="D101">
        <v>1451</v>
      </c>
      <c r="E101" t="s">
        <v>386</v>
      </c>
      <c r="F101" s="4">
        <f>HLOOKUP($E$4,'Bourgeoisie bilan'!$F$3:$S$228,96,0)</f>
        <v>0</v>
      </c>
    </row>
    <row r="102" spans="3:6" x14ac:dyDescent="0.3">
      <c r="D102">
        <v>1452</v>
      </c>
      <c r="E102" t="s">
        <v>389</v>
      </c>
      <c r="F102" s="4">
        <f>HLOOKUP($E$4,'Bourgeoisie bilan'!$F$3:$S$228,97,0)</f>
        <v>0</v>
      </c>
    </row>
    <row r="103" spans="3:6" x14ac:dyDescent="0.3">
      <c r="D103">
        <v>1453</v>
      </c>
      <c r="E103" t="s">
        <v>390</v>
      </c>
      <c r="F103" s="4">
        <f>HLOOKUP($E$4,'Bourgeoisie bilan'!$F$3:$S$228,98,0)</f>
        <v>0</v>
      </c>
    </row>
    <row r="104" spans="3:6" x14ac:dyDescent="0.3">
      <c r="D104">
        <v>1454</v>
      </c>
      <c r="E104" t="s">
        <v>391</v>
      </c>
      <c r="F104" s="4">
        <f>HLOOKUP($E$4,'Bourgeoisie bilan'!$F$3:$S$228,99,0)</f>
        <v>0</v>
      </c>
    </row>
    <row r="105" spans="3:6" x14ac:dyDescent="0.3">
      <c r="D105">
        <v>1455</v>
      </c>
      <c r="E105" t="s">
        <v>392</v>
      </c>
      <c r="F105" s="4">
        <f>HLOOKUP($E$4,'Bourgeoisie bilan'!$F$3:$S$228,100,0)</f>
        <v>0</v>
      </c>
    </row>
    <row r="106" spans="3:6" x14ac:dyDescent="0.3">
      <c r="D106">
        <v>1456</v>
      </c>
      <c r="E106" t="s">
        <v>393</v>
      </c>
      <c r="F106" s="4">
        <f>HLOOKUP($E$4,'Bourgeoisie bilan'!$F$3:$S$228,101,0)</f>
        <v>0</v>
      </c>
    </row>
    <row r="107" spans="3:6" x14ac:dyDescent="0.3">
      <c r="D107">
        <v>1457</v>
      </c>
      <c r="E107" t="s">
        <v>394</v>
      </c>
      <c r="F107" s="4">
        <f>HLOOKUP($E$4,'Bourgeoisie bilan'!$F$3:$S$228,102,0)</f>
        <v>0</v>
      </c>
    </row>
    <row r="108" spans="3:6" x14ac:dyDescent="0.3">
      <c r="D108">
        <v>1458</v>
      </c>
      <c r="E108" t="s">
        <v>395</v>
      </c>
      <c r="F108" s="4">
        <f>HLOOKUP($E$4,'Bourgeoisie bilan'!$F$3:$S$228,103,0)</f>
        <v>0</v>
      </c>
    </row>
    <row r="109" spans="3:6" x14ac:dyDescent="0.3">
      <c r="F109" s="4"/>
    </row>
    <row r="110" spans="3:6" x14ac:dyDescent="0.3">
      <c r="C110" s="69">
        <v>146</v>
      </c>
      <c r="D110" s="69"/>
      <c r="E110" s="69" t="s">
        <v>406</v>
      </c>
      <c r="F110" s="70">
        <f>HLOOKUP($E$4,'Bourgeoisie bilan'!$F$3:$S$228,105,0)</f>
        <v>0</v>
      </c>
    </row>
    <row r="111" spans="3:6" x14ac:dyDescent="0.3">
      <c r="D111">
        <v>1460</v>
      </c>
      <c r="E111" t="s">
        <v>403</v>
      </c>
      <c r="F111" s="4">
        <f>HLOOKUP($E$4,'Bourgeoisie bilan'!$F$3:$S$228,106,0)</f>
        <v>0</v>
      </c>
    </row>
    <row r="112" spans="3:6" x14ac:dyDescent="0.3">
      <c r="D112">
        <v>1461</v>
      </c>
      <c r="E112" t="s">
        <v>404</v>
      </c>
      <c r="F112" s="4">
        <f>HLOOKUP($E$4,'Bourgeoisie bilan'!$F$3:$S$228,107,0)</f>
        <v>0</v>
      </c>
    </row>
    <row r="113" spans="1:6" x14ac:dyDescent="0.3">
      <c r="D113">
        <v>1462</v>
      </c>
      <c r="E113" t="s">
        <v>396</v>
      </c>
      <c r="F113" s="4">
        <f>HLOOKUP($E$4,'Bourgeoisie bilan'!$F$3:$S$228,108,0)</f>
        <v>0</v>
      </c>
    </row>
    <row r="114" spans="1:6" x14ac:dyDescent="0.3">
      <c r="D114">
        <v>1463</v>
      </c>
      <c r="E114" t="s">
        <v>397</v>
      </c>
      <c r="F114" s="4">
        <f>HLOOKUP($E$4,'Bourgeoisie bilan'!$F$3:$S$228,109,0)</f>
        <v>0</v>
      </c>
    </row>
    <row r="115" spans="1:6" x14ac:dyDescent="0.3">
      <c r="D115">
        <v>1464</v>
      </c>
      <c r="E115" t="s">
        <v>398</v>
      </c>
      <c r="F115" s="4">
        <f>HLOOKUP($E$4,'Bourgeoisie bilan'!$F$3:$S$228,110,0)</f>
        <v>0</v>
      </c>
    </row>
    <row r="116" spans="1:6" x14ac:dyDescent="0.3">
      <c r="D116">
        <v>1465</v>
      </c>
      <c r="E116" t="s">
        <v>399</v>
      </c>
      <c r="F116" s="4">
        <f>HLOOKUP($E$4,'Bourgeoisie bilan'!$F$3:$S$228,111,0)</f>
        <v>0</v>
      </c>
    </row>
    <row r="117" spans="1:6" x14ac:dyDescent="0.3">
      <c r="D117">
        <v>1466</v>
      </c>
      <c r="E117" t="s">
        <v>405</v>
      </c>
      <c r="F117" s="4">
        <f>HLOOKUP($E$4,'Bourgeoisie bilan'!$F$3:$S$228,112,0)</f>
        <v>0</v>
      </c>
    </row>
    <row r="118" spans="1:6" x14ac:dyDescent="0.3">
      <c r="D118">
        <v>1467</v>
      </c>
      <c r="E118" t="s">
        <v>400</v>
      </c>
      <c r="F118" s="4">
        <f>HLOOKUP($E$4,'Bourgeoisie bilan'!$F$3:$S$228,113,0)</f>
        <v>0</v>
      </c>
    </row>
    <row r="119" spans="1:6" x14ac:dyDescent="0.3">
      <c r="D119">
        <v>1468</v>
      </c>
      <c r="E119" t="s">
        <v>401</v>
      </c>
      <c r="F119" s="4">
        <f>HLOOKUP($E$4,'Bourgeoisie bilan'!$F$3:$S$228,114,0)</f>
        <v>0</v>
      </c>
    </row>
    <row r="120" spans="1:6" x14ac:dyDescent="0.3">
      <c r="D120">
        <v>1469</v>
      </c>
      <c r="E120" t="s">
        <v>402</v>
      </c>
      <c r="F120" s="4">
        <f>HLOOKUP($E$4,'Bourgeoisie bilan'!$F$3:$S$228,115,0)</f>
        <v>0</v>
      </c>
    </row>
    <row r="121" spans="1:6" x14ac:dyDescent="0.3">
      <c r="F121" s="4"/>
    </row>
    <row r="122" spans="1:6" x14ac:dyDescent="0.3">
      <c r="F122" s="4"/>
    </row>
    <row r="123" spans="1:6" ht="21" x14ac:dyDescent="0.4">
      <c r="A123" s="81">
        <v>2</v>
      </c>
      <c r="B123" s="81"/>
      <c r="C123" s="81"/>
      <c r="D123" s="81"/>
      <c r="E123" s="81" t="s">
        <v>258</v>
      </c>
      <c r="F123" s="177">
        <f>HLOOKUP($E$4,'Bourgeoisie bilan'!$F$3:$S$228,118,0)</f>
        <v>10598676.65</v>
      </c>
    </row>
    <row r="124" spans="1:6" x14ac:dyDescent="0.3">
      <c r="A124" s="7"/>
      <c r="B124" s="85">
        <v>20</v>
      </c>
      <c r="C124" s="85"/>
      <c r="D124" s="85"/>
      <c r="E124" s="85" t="s">
        <v>259</v>
      </c>
      <c r="F124" s="86">
        <f>HLOOKUP($E$4,'Bourgeoisie bilan'!$F$3:$S$228,119,0)</f>
        <v>3140653.1</v>
      </c>
    </row>
    <row r="125" spans="1:6" x14ac:dyDescent="0.3">
      <c r="C125" s="83">
        <v>200</v>
      </c>
      <c r="D125" s="83"/>
      <c r="E125" s="83" t="s">
        <v>260</v>
      </c>
      <c r="F125" s="84">
        <f>HLOOKUP($E$4,'Bourgeoisie bilan'!$F$3:$S$228,120,0)</f>
        <v>73180.2</v>
      </c>
    </row>
    <row r="126" spans="1:6" x14ac:dyDescent="0.3">
      <c r="D126">
        <v>2000</v>
      </c>
      <c r="E126" t="s">
        <v>407</v>
      </c>
      <c r="F126" s="4">
        <f>HLOOKUP($E$4,'Bourgeoisie bilan'!$F$3:$S$228,121,0)</f>
        <v>73180.2</v>
      </c>
    </row>
    <row r="127" spans="1:6" x14ac:dyDescent="0.3">
      <c r="D127">
        <v>2001</v>
      </c>
      <c r="E127" t="s">
        <v>408</v>
      </c>
      <c r="F127" s="4">
        <f>HLOOKUP($E$4,'Bourgeoisie bilan'!$F$3:$S$228,122,0)</f>
        <v>0</v>
      </c>
    </row>
    <row r="128" spans="1:6" x14ac:dyDescent="0.3">
      <c r="D128">
        <v>2002</v>
      </c>
      <c r="E128" t="s">
        <v>409</v>
      </c>
      <c r="F128" s="4">
        <f>HLOOKUP($E$4,'Bourgeoisie bilan'!$F$3:$S$228,123,0)</f>
        <v>0</v>
      </c>
    </row>
    <row r="129" spans="3:6" x14ac:dyDescent="0.3">
      <c r="D129">
        <v>2003</v>
      </c>
      <c r="E129" t="s">
        <v>410</v>
      </c>
      <c r="F129" s="4">
        <f>HLOOKUP($E$4,'Bourgeoisie bilan'!$F$3:$S$228,124,0)</f>
        <v>0</v>
      </c>
    </row>
    <row r="130" spans="3:6" x14ac:dyDescent="0.3">
      <c r="D130">
        <v>2004</v>
      </c>
      <c r="E130" t="s">
        <v>411</v>
      </c>
      <c r="F130" s="4">
        <f>HLOOKUP($E$4,'Bourgeoisie bilan'!$F$3:$S$228,125,0)</f>
        <v>0</v>
      </c>
    </row>
    <row r="131" spans="3:6" x14ac:dyDescent="0.3">
      <c r="D131">
        <v>2005</v>
      </c>
      <c r="E131" t="s">
        <v>332</v>
      </c>
      <c r="F131" s="4">
        <f>HLOOKUP($E$4,'Bourgeoisie bilan'!$F$3:$S$228,126,0)</f>
        <v>0</v>
      </c>
    </row>
    <row r="132" spans="3:6" x14ac:dyDescent="0.3">
      <c r="D132">
        <v>2006</v>
      </c>
      <c r="E132" t="s">
        <v>456</v>
      </c>
      <c r="F132" s="4">
        <f>HLOOKUP($E$4,'Bourgeoisie bilan'!$F$3:$S$228,127,0)</f>
        <v>0</v>
      </c>
    </row>
    <row r="133" spans="3:6" x14ac:dyDescent="0.3">
      <c r="D133">
        <v>2009</v>
      </c>
      <c r="E133" t="s">
        <v>413</v>
      </c>
      <c r="F133" s="4">
        <f>HLOOKUP($E$4,'Bourgeoisie bilan'!$F$3:$S$228,128,0)</f>
        <v>0</v>
      </c>
    </row>
    <row r="134" spans="3:6" x14ac:dyDescent="0.3">
      <c r="F134" s="4"/>
    </row>
    <row r="135" spans="3:6" x14ac:dyDescent="0.3">
      <c r="C135" s="83">
        <v>201</v>
      </c>
      <c r="D135" s="83"/>
      <c r="E135" s="83" t="s">
        <v>261</v>
      </c>
      <c r="F135" s="84">
        <f>HLOOKUP($E$4,'Bourgeoisie bilan'!$F$3:$S$228,130,0)</f>
        <v>0</v>
      </c>
    </row>
    <row r="136" spans="3:6" x14ac:dyDescent="0.3">
      <c r="D136">
        <v>2010</v>
      </c>
      <c r="E136" t="s">
        <v>414</v>
      </c>
      <c r="F136" s="4">
        <f>HLOOKUP($E$4,'Bourgeoisie bilan'!$F$3:$S$228,131,0)</f>
        <v>0</v>
      </c>
    </row>
    <row r="137" spans="3:6" x14ac:dyDescent="0.3">
      <c r="D137">
        <v>2011</v>
      </c>
      <c r="E137" t="s">
        <v>415</v>
      </c>
      <c r="F137" s="4">
        <f>HLOOKUP($E$4,'Bourgeoisie bilan'!$F$3:$S$228,132,0)</f>
        <v>0</v>
      </c>
    </row>
    <row r="138" spans="3:6" x14ac:dyDescent="0.3">
      <c r="D138">
        <v>2012</v>
      </c>
      <c r="E138" t="s">
        <v>416</v>
      </c>
      <c r="F138" s="4">
        <f>HLOOKUP($E$4,'Bourgeoisie bilan'!$F$3:$S$228,133,0)</f>
        <v>0</v>
      </c>
    </row>
    <row r="139" spans="3:6" x14ac:dyDescent="0.3">
      <c r="D139">
        <v>2013</v>
      </c>
      <c r="E139" t="s">
        <v>417</v>
      </c>
      <c r="F139" s="4">
        <f>HLOOKUP($E$4,'Bourgeoisie bilan'!$F$3:$S$228,134,0)</f>
        <v>0</v>
      </c>
    </row>
    <row r="140" spans="3:6" x14ac:dyDescent="0.3">
      <c r="D140">
        <v>2014</v>
      </c>
      <c r="E140" t="s">
        <v>419</v>
      </c>
      <c r="F140" s="4">
        <f>HLOOKUP($E$4,'Bourgeoisie bilan'!$F$3:$S$228,135,0)</f>
        <v>0</v>
      </c>
    </row>
    <row r="141" spans="3:6" x14ac:dyDescent="0.3">
      <c r="D141">
        <v>2015</v>
      </c>
      <c r="E141" t="s">
        <v>418</v>
      </c>
      <c r="F141" s="4">
        <f>HLOOKUP($E$4,'Bourgeoisie bilan'!$F$3:$S$228,136,0)</f>
        <v>0</v>
      </c>
    </row>
    <row r="142" spans="3:6" x14ac:dyDescent="0.3">
      <c r="D142">
        <v>2016</v>
      </c>
      <c r="E142" t="s">
        <v>276</v>
      </c>
      <c r="F142" s="4">
        <f>HLOOKUP($E$4,'Bourgeoisie bilan'!$F$3:$S$228,137,0)</f>
        <v>0</v>
      </c>
    </row>
    <row r="143" spans="3:6" x14ac:dyDescent="0.3">
      <c r="D143">
        <v>2019</v>
      </c>
      <c r="E143" t="s">
        <v>420</v>
      </c>
      <c r="F143" s="4">
        <f>HLOOKUP($E$4,'Bourgeoisie bilan'!$F$3:$S$228,138,0)</f>
        <v>0</v>
      </c>
    </row>
    <row r="144" spans="3:6" x14ac:dyDescent="0.3">
      <c r="F144" s="4"/>
    </row>
    <row r="145" spans="3:6" x14ac:dyDescent="0.3">
      <c r="C145" s="83">
        <v>204</v>
      </c>
      <c r="D145" s="83"/>
      <c r="E145" s="83" t="s">
        <v>262</v>
      </c>
      <c r="F145" s="84">
        <f>HLOOKUP($E$4,'Bourgeoisie bilan'!$F$3:$S$228,140,0)</f>
        <v>56886.2</v>
      </c>
    </row>
    <row r="146" spans="3:6" x14ac:dyDescent="0.3">
      <c r="D146">
        <v>2040</v>
      </c>
      <c r="E146" t="s">
        <v>61</v>
      </c>
      <c r="F146" s="4">
        <f>HLOOKUP($E$4,'Bourgeoisie bilan'!$F$3:$S$228,141,0)</f>
        <v>25428.799999999999</v>
      </c>
    </row>
    <row r="147" spans="3:6" x14ac:dyDescent="0.3">
      <c r="D147">
        <v>2041</v>
      </c>
      <c r="E147" t="s">
        <v>284</v>
      </c>
      <c r="F147" s="4">
        <f>HLOOKUP($E$4,'Bourgeoisie bilan'!$F$3:$S$228,142,0)</f>
        <v>22847.4</v>
      </c>
    </row>
    <row r="148" spans="3:6" x14ac:dyDescent="0.3">
      <c r="D148">
        <v>2042</v>
      </c>
      <c r="E148" t="s">
        <v>340</v>
      </c>
      <c r="F148" s="4">
        <f>HLOOKUP($E$4,'Bourgeoisie bilan'!$F$3:$S$228,143,0)</f>
        <v>0</v>
      </c>
    </row>
    <row r="149" spans="3:6" x14ac:dyDescent="0.3">
      <c r="D149">
        <v>2043</v>
      </c>
      <c r="E149" t="s">
        <v>341</v>
      </c>
      <c r="F149" s="4">
        <f>HLOOKUP($E$4,'Bourgeoisie bilan'!$F$3:$S$228,144,0)</f>
        <v>0</v>
      </c>
    </row>
    <row r="150" spans="3:6" x14ac:dyDescent="0.3">
      <c r="D150">
        <v>2044</v>
      </c>
      <c r="E150" t="s">
        <v>421</v>
      </c>
      <c r="F150" s="4">
        <f>HLOOKUP($E$4,'Bourgeoisie bilan'!$F$3:$S$228,145,0)</f>
        <v>8610</v>
      </c>
    </row>
    <row r="151" spans="3:6" x14ac:dyDescent="0.3">
      <c r="D151">
        <v>2045</v>
      </c>
      <c r="E151" t="s">
        <v>343</v>
      </c>
      <c r="F151" s="4">
        <f>HLOOKUP($E$4,'Bourgeoisie bilan'!$F$3:$S$228,146,0)</f>
        <v>0</v>
      </c>
    </row>
    <row r="152" spans="3:6" x14ac:dyDescent="0.3">
      <c r="D152">
        <v>2046</v>
      </c>
      <c r="E152" t="s">
        <v>422</v>
      </c>
      <c r="F152" s="4">
        <f>HLOOKUP($E$4,'Bourgeoisie bilan'!$F$3:$S$228,147,0)</f>
        <v>0</v>
      </c>
    </row>
    <row r="153" spans="3:6" x14ac:dyDescent="0.3">
      <c r="D153">
        <v>2049</v>
      </c>
      <c r="E153" t="s">
        <v>423</v>
      </c>
      <c r="F153" s="4">
        <f>HLOOKUP($E$4,'Bourgeoisie bilan'!$F$3:$S$228,148,0)</f>
        <v>0</v>
      </c>
    </row>
    <row r="154" spans="3:6" x14ac:dyDescent="0.3">
      <c r="F154" s="4"/>
    </row>
    <row r="155" spans="3:6" x14ac:dyDescent="0.3">
      <c r="C155" s="83">
        <v>205</v>
      </c>
      <c r="D155" s="83"/>
      <c r="E155" s="83" t="s">
        <v>263</v>
      </c>
      <c r="F155" s="84">
        <f>HLOOKUP($E$4,'Bourgeoisie bilan'!$F$3:$S$228,150,0)</f>
        <v>0</v>
      </c>
    </row>
    <row r="156" spans="3:6" x14ac:dyDescent="0.3">
      <c r="D156">
        <v>2050</v>
      </c>
      <c r="E156" t="s">
        <v>424</v>
      </c>
      <c r="F156" s="4">
        <f>HLOOKUP($E$4,'Bourgeoisie bilan'!$F$3:$S$228,151,0)</f>
        <v>0</v>
      </c>
    </row>
    <row r="157" spans="3:6" x14ac:dyDescent="0.3">
      <c r="D157">
        <v>2051</v>
      </c>
      <c r="E157" t="s">
        <v>425</v>
      </c>
      <c r="F157" s="4">
        <f>HLOOKUP($E$4,'Bourgeoisie bilan'!$F$3:$S$228,152,0)</f>
        <v>0</v>
      </c>
    </row>
    <row r="158" spans="3:6" x14ac:dyDescent="0.3">
      <c r="D158">
        <v>2052</v>
      </c>
      <c r="E158" t="s">
        <v>426</v>
      </c>
      <c r="F158" s="4">
        <f>HLOOKUP($E$4,'Bourgeoisie bilan'!$F$3:$S$228,153,0)</f>
        <v>0</v>
      </c>
    </row>
    <row r="159" spans="3:6" x14ac:dyDescent="0.3">
      <c r="D159">
        <v>2053</v>
      </c>
      <c r="E159" t="s">
        <v>430</v>
      </c>
      <c r="F159" s="4">
        <f>HLOOKUP($E$4,'Bourgeoisie bilan'!$F$3:$S$228,154,0)</f>
        <v>0</v>
      </c>
    </row>
    <row r="160" spans="3:6" x14ac:dyDescent="0.3">
      <c r="D160">
        <v>2054</v>
      </c>
      <c r="E160" t="s">
        <v>428</v>
      </c>
      <c r="F160" s="4">
        <f>HLOOKUP($E$4,'Bourgeoisie bilan'!$F$3:$S$228,155,0)</f>
        <v>0</v>
      </c>
    </row>
    <row r="161" spans="3:6" x14ac:dyDescent="0.3">
      <c r="D161">
        <v>2055</v>
      </c>
      <c r="E161" t="s">
        <v>427</v>
      </c>
      <c r="F161" s="4">
        <f>HLOOKUP($E$4,'Bourgeoisie bilan'!$F$3:$S$228,156,0)</f>
        <v>0</v>
      </c>
    </row>
    <row r="162" spans="3:6" x14ac:dyDescent="0.3">
      <c r="D162">
        <v>2056</v>
      </c>
      <c r="E162" t="s">
        <v>429</v>
      </c>
      <c r="F162" s="4">
        <f>HLOOKUP($E$4,'Bourgeoisie bilan'!$F$3:$S$228,157,0)</f>
        <v>0</v>
      </c>
    </row>
    <row r="163" spans="3:6" x14ac:dyDescent="0.3">
      <c r="D163">
        <v>2057</v>
      </c>
      <c r="E163" t="s">
        <v>431</v>
      </c>
      <c r="F163" s="4">
        <f>HLOOKUP($E$4,'Bourgeoisie bilan'!$F$3:$S$228,158,0)</f>
        <v>0</v>
      </c>
    </row>
    <row r="164" spans="3:6" x14ac:dyDescent="0.3">
      <c r="D164">
        <v>2058</v>
      </c>
      <c r="E164" t="s">
        <v>432</v>
      </c>
      <c r="F164" s="4">
        <f>HLOOKUP($E$4,'Bourgeoisie bilan'!$F$3:$S$228,159,0)</f>
        <v>0</v>
      </c>
    </row>
    <row r="165" spans="3:6" x14ac:dyDescent="0.3">
      <c r="D165">
        <v>2059</v>
      </c>
      <c r="E165" t="s">
        <v>433</v>
      </c>
      <c r="F165" s="4">
        <f>HLOOKUP($E$4,'Bourgeoisie bilan'!$F$3:$S$228,160,0)</f>
        <v>0</v>
      </c>
    </row>
    <row r="166" spans="3:6" x14ac:dyDescent="0.3">
      <c r="F166" s="4"/>
    </row>
    <row r="167" spans="3:6" x14ac:dyDescent="0.3">
      <c r="C167" s="83">
        <v>206</v>
      </c>
      <c r="D167" s="83"/>
      <c r="E167" s="83" t="s">
        <v>264</v>
      </c>
      <c r="F167" s="84">
        <f>HLOOKUP($E$4,'Bourgeoisie bilan'!$F$3:$S$228,162,0)</f>
        <v>3008500</v>
      </c>
    </row>
    <row r="168" spans="3:6" x14ac:dyDescent="0.3">
      <c r="D168">
        <v>2060</v>
      </c>
      <c r="E168" t="s">
        <v>434</v>
      </c>
      <c r="F168" s="4">
        <f>HLOOKUP($E$4,'Bourgeoisie bilan'!$F$3:$S$228,163,0)</f>
        <v>3008500</v>
      </c>
    </row>
    <row r="169" spans="3:6" x14ac:dyDescent="0.3">
      <c r="D169">
        <v>2062</v>
      </c>
      <c r="E169" t="s">
        <v>435</v>
      </c>
      <c r="F169" s="4">
        <f>HLOOKUP($E$4,'Bourgeoisie bilan'!$F$3:$S$228,164,0)</f>
        <v>0</v>
      </c>
    </row>
    <row r="170" spans="3:6" x14ac:dyDescent="0.3">
      <c r="D170">
        <v>2063</v>
      </c>
      <c r="E170" t="s">
        <v>436</v>
      </c>
      <c r="F170" s="4">
        <f>HLOOKUP($E$4,'Bourgeoisie bilan'!$F$3:$S$228,165,0)</f>
        <v>0</v>
      </c>
    </row>
    <row r="171" spans="3:6" x14ac:dyDescent="0.3">
      <c r="D171">
        <v>2064</v>
      </c>
      <c r="E171" t="s">
        <v>457</v>
      </c>
      <c r="F171" s="4">
        <f>HLOOKUP($E$4,'Bourgeoisie bilan'!$F$3:$S$228,166,0)</f>
        <v>0</v>
      </c>
    </row>
    <row r="172" spans="3:6" x14ac:dyDescent="0.3">
      <c r="D172">
        <v>2067</v>
      </c>
      <c r="E172" t="s">
        <v>438</v>
      </c>
      <c r="F172" s="4">
        <f>HLOOKUP($E$4,'Bourgeoisie bilan'!$F$3:$S$228,167,0)</f>
        <v>0</v>
      </c>
    </row>
    <row r="173" spans="3:6" x14ac:dyDescent="0.3">
      <c r="D173">
        <v>2069</v>
      </c>
      <c r="E173" t="s">
        <v>439</v>
      </c>
      <c r="F173" s="4">
        <f>HLOOKUP($E$4,'Bourgeoisie bilan'!$F$3:$S$228,168,0)</f>
        <v>0</v>
      </c>
    </row>
    <row r="174" spans="3:6" x14ac:dyDescent="0.3">
      <c r="F174" s="4"/>
    </row>
    <row r="175" spans="3:6" x14ac:dyDescent="0.3">
      <c r="C175" s="83">
        <v>208</v>
      </c>
      <c r="D175" s="83"/>
      <c r="E175" s="83" t="s">
        <v>265</v>
      </c>
      <c r="F175" s="84">
        <f>HLOOKUP($E$4,'Bourgeoisie bilan'!$F$3:$S$228,170,0)</f>
        <v>2086.6999999999998</v>
      </c>
    </row>
    <row r="176" spans="3:6" x14ac:dyDescent="0.3">
      <c r="D176">
        <v>2081</v>
      </c>
      <c r="E176" t="s">
        <v>440</v>
      </c>
      <c r="F176" s="4">
        <f>HLOOKUP($E$4,'Bourgeoisie bilan'!$F$3:$S$228,171,0)</f>
        <v>0</v>
      </c>
    </row>
    <row r="177" spans="2:6" x14ac:dyDescent="0.3">
      <c r="D177">
        <v>2082</v>
      </c>
      <c r="E177" t="s">
        <v>441</v>
      </c>
      <c r="F177" s="4">
        <f>HLOOKUP($E$4,'Bourgeoisie bilan'!$F$3:$S$228,172,0)</f>
        <v>0</v>
      </c>
    </row>
    <row r="178" spans="2:6" x14ac:dyDescent="0.3">
      <c r="D178">
        <v>2083</v>
      </c>
      <c r="E178" t="s">
        <v>442</v>
      </c>
      <c r="F178" s="4">
        <f>HLOOKUP($E$4,'Bourgeoisie bilan'!$F$3:$S$228,173,0)</f>
        <v>0</v>
      </c>
    </row>
    <row r="179" spans="2:6" x14ac:dyDescent="0.3">
      <c r="D179">
        <v>2084</v>
      </c>
      <c r="E179" t="s">
        <v>443</v>
      </c>
      <c r="F179" s="4">
        <f>HLOOKUP($E$4,'Bourgeoisie bilan'!$F$3:$S$228,174,0)</f>
        <v>0</v>
      </c>
    </row>
    <row r="180" spans="2:6" x14ac:dyDescent="0.3">
      <c r="D180">
        <v>2085</v>
      </c>
      <c r="E180" t="s">
        <v>445</v>
      </c>
      <c r="F180" s="4">
        <f>HLOOKUP($E$4,'Bourgeoisie bilan'!$F$3:$S$228,175,0)</f>
        <v>2086.6999999999998</v>
      </c>
    </row>
    <row r="181" spans="2:6" x14ac:dyDescent="0.3">
      <c r="D181">
        <v>2086</v>
      </c>
      <c r="E181" t="s">
        <v>444</v>
      </c>
      <c r="F181" s="4">
        <f>HLOOKUP($E$4,'Bourgeoisie bilan'!$F$3:$S$228,176,0)</f>
        <v>0</v>
      </c>
    </row>
    <row r="182" spans="2:6" x14ac:dyDescent="0.3">
      <c r="D182">
        <v>2087</v>
      </c>
      <c r="E182" t="s">
        <v>446</v>
      </c>
      <c r="F182" s="4">
        <f>HLOOKUP($E$4,'Bourgeoisie bilan'!$F$3:$S$228,177,0)</f>
        <v>0</v>
      </c>
    </row>
    <row r="183" spans="2:6" x14ac:dyDescent="0.3">
      <c r="D183">
        <v>2088</v>
      </c>
      <c r="E183" t="s">
        <v>447</v>
      </c>
      <c r="F183" s="4">
        <f>HLOOKUP($E$4,'Bourgeoisie bilan'!$F$3:$S$228,178,0)</f>
        <v>0</v>
      </c>
    </row>
    <row r="184" spans="2:6" x14ac:dyDescent="0.3">
      <c r="D184">
        <v>2089</v>
      </c>
      <c r="E184" t="s">
        <v>448</v>
      </c>
      <c r="F184" s="4">
        <f>HLOOKUP($E$4,'Bourgeoisie bilan'!$F$3:$S$228,179,0)</f>
        <v>0</v>
      </c>
    </row>
    <row r="185" spans="2:6" x14ac:dyDescent="0.3">
      <c r="F185" s="4"/>
    </row>
    <row r="186" spans="2:6" x14ac:dyDescent="0.3">
      <c r="C186" s="83">
        <v>209</v>
      </c>
      <c r="D186" s="83"/>
      <c r="E186" s="83" t="s">
        <v>266</v>
      </c>
      <c r="F186" s="84">
        <f>HLOOKUP($E$4,'Bourgeoisie bilan'!$F$3:$S$228,181,0)</f>
        <v>0</v>
      </c>
    </row>
    <row r="187" spans="2:6" x14ac:dyDescent="0.3">
      <c r="D187">
        <v>2090</v>
      </c>
      <c r="E187" t="s">
        <v>266</v>
      </c>
      <c r="F187" s="4">
        <f>HLOOKUP($E$4,'Bourgeoisie bilan'!$F$3:$S$228,182,0)</f>
        <v>0</v>
      </c>
    </row>
    <row r="188" spans="2:6" x14ac:dyDescent="0.3">
      <c r="D188">
        <v>2091</v>
      </c>
      <c r="E188" t="s">
        <v>449</v>
      </c>
      <c r="F188" s="4">
        <f>HLOOKUP($E$4,'Bourgeoisie bilan'!$F$3:$S$228,183,0)</f>
        <v>0</v>
      </c>
    </row>
    <row r="189" spans="2:6" x14ac:dyDescent="0.3">
      <c r="D189">
        <v>2092</v>
      </c>
      <c r="E189" t="s">
        <v>450</v>
      </c>
      <c r="F189" s="4">
        <f>HLOOKUP($E$4,'Bourgeoisie bilan'!$F$3:$S$228,184,0)</f>
        <v>0</v>
      </c>
    </row>
    <row r="190" spans="2:6" x14ac:dyDescent="0.3">
      <c r="D190">
        <v>2093</v>
      </c>
      <c r="E190" t="s">
        <v>451</v>
      </c>
      <c r="F190" s="4">
        <f>HLOOKUP($E$4,'Bourgeoisie bilan'!$F$3:$S$228,185,0)</f>
        <v>0</v>
      </c>
    </row>
    <row r="191" spans="2:6" x14ac:dyDescent="0.3">
      <c r="F191" s="4"/>
    </row>
    <row r="192" spans="2:6" x14ac:dyDescent="0.3">
      <c r="B192" s="85">
        <v>29</v>
      </c>
      <c r="C192" s="85"/>
      <c r="D192" s="85"/>
      <c r="E192" s="85" t="s">
        <v>267</v>
      </c>
      <c r="F192" s="4">
        <f>HLOOKUP($E$4,'Bourgeoisie bilan'!$F$3:$S$228,187,0)</f>
        <v>7458023.5500000007</v>
      </c>
    </row>
    <row r="193" spans="3:6" x14ac:dyDescent="0.3">
      <c r="C193" s="83">
        <v>290</v>
      </c>
      <c r="D193" s="83"/>
      <c r="E193" s="83" t="s">
        <v>268</v>
      </c>
      <c r="F193" s="84">
        <f>HLOOKUP($E$4,'Bourgeoisie bilan'!$F$3:$S$228,188,0)</f>
        <v>337949.99</v>
      </c>
    </row>
    <row r="194" spans="3:6" x14ac:dyDescent="0.3">
      <c r="D194">
        <v>2900</v>
      </c>
      <c r="E194" t="s">
        <v>268</v>
      </c>
      <c r="F194" s="4">
        <f>HLOOKUP($E$4,'Bourgeoisie bilan'!$F$3:$S$228,189,0)</f>
        <v>337949.99</v>
      </c>
    </row>
    <row r="195" spans="3:6" x14ac:dyDescent="0.3">
      <c r="F195" s="4"/>
    </row>
    <row r="196" spans="3:6" x14ac:dyDescent="0.3">
      <c r="C196" s="83">
        <v>291</v>
      </c>
      <c r="D196" s="83"/>
      <c r="E196" s="83" t="s">
        <v>269</v>
      </c>
      <c r="F196" s="84">
        <f>HLOOKUP($E$4,'Bourgeoisie bilan'!$F$3:$S$228,191,0)</f>
        <v>0</v>
      </c>
    </row>
    <row r="197" spans="3:6" x14ac:dyDescent="0.3">
      <c r="D197">
        <v>2910</v>
      </c>
      <c r="E197" t="s">
        <v>269</v>
      </c>
      <c r="F197" s="4">
        <f>HLOOKUP($E$4,'Bourgeoisie bilan'!$F$3:$S$228,192,0)</f>
        <v>0</v>
      </c>
    </row>
    <row r="198" spans="3:6" x14ac:dyDescent="0.3">
      <c r="D198">
        <v>2911</v>
      </c>
      <c r="E198" t="s">
        <v>452</v>
      </c>
      <c r="F198" s="4">
        <f>HLOOKUP($E$4,'Bourgeoisie bilan'!$F$3:$S$228,193,0)</f>
        <v>0</v>
      </c>
    </row>
    <row r="199" spans="3:6" x14ac:dyDescent="0.3">
      <c r="F199" s="4"/>
    </row>
    <row r="200" spans="3:6" x14ac:dyDescent="0.3">
      <c r="C200" s="83">
        <v>292</v>
      </c>
      <c r="D200" s="83"/>
      <c r="E200" s="83" t="s">
        <v>270</v>
      </c>
      <c r="F200" s="84">
        <f>HLOOKUP($E$4,'Bourgeoisie bilan'!$F$3:$S$228,195,0)</f>
        <v>0</v>
      </c>
    </row>
    <row r="201" spans="3:6" x14ac:dyDescent="0.3">
      <c r="D201">
        <v>2920</v>
      </c>
      <c r="E201" t="s">
        <v>270</v>
      </c>
      <c r="F201" s="4">
        <f>HLOOKUP($E$4,'Bourgeoisie bilan'!$F$3:$S$228,196,0)</f>
        <v>0</v>
      </c>
    </row>
    <row r="202" spans="3:6" x14ac:dyDescent="0.3">
      <c r="F202" s="4"/>
    </row>
    <row r="203" spans="3:6" x14ac:dyDescent="0.3">
      <c r="C203" s="83">
        <v>293</v>
      </c>
      <c r="D203" s="83"/>
      <c r="E203" s="83" t="s">
        <v>271</v>
      </c>
      <c r="F203" s="84">
        <f>HLOOKUP($E$4,'Bourgeoisie bilan'!$F$3:$S$228,198,0)</f>
        <v>0</v>
      </c>
    </row>
    <row r="204" spans="3:6" x14ac:dyDescent="0.3">
      <c r="D204">
        <v>2930</v>
      </c>
      <c r="E204" t="s">
        <v>271</v>
      </c>
      <c r="F204" s="4">
        <f>HLOOKUP($E$4,'Bourgeoisie bilan'!$F$3:$S$228,199,0)</f>
        <v>0</v>
      </c>
    </row>
    <row r="205" spans="3:6" x14ac:dyDescent="0.3">
      <c r="F205" s="4"/>
    </row>
    <row r="206" spans="3:6" x14ac:dyDescent="0.3">
      <c r="C206" s="83">
        <v>294</v>
      </c>
      <c r="D206" s="83"/>
      <c r="E206" s="83" t="s">
        <v>272</v>
      </c>
      <c r="F206" s="84">
        <f>HLOOKUP($E$4,'Bourgeoisie bilan'!$F$3:$S$228,201,0)</f>
        <v>0</v>
      </c>
    </row>
    <row r="207" spans="3:6" x14ac:dyDescent="0.3">
      <c r="D207">
        <v>2940</v>
      </c>
      <c r="E207" t="s">
        <v>272</v>
      </c>
      <c r="F207" s="4">
        <f>HLOOKUP($E$4,'Bourgeoisie bilan'!$F$3:$S$228,202,0)</f>
        <v>0</v>
      </c>
    </row>
    <row r="208" spans="3:6" x14ac:dyDescent="0.3">
      <c r="F208" s="4"/>
    </row>
    <row r="209" spans="3:6" x14ac:dyDescent="0.3">
      <c r="C209" s="83">
        <v>295</v>
      </c>
      <c r="D209" s="83"/>
      <c r="E209" s="83" t="s">
        <v>273</v>
      </c>
      <c r="F209" s="84">
        <f>HLOOKUP($E$4,'Bourgeoisie bilan'!$F$3:$S$228,204,0)</f>
        <v>1000</v>
      </c>
    </row>
    <row r="210" spans="3:6" x14ac:dyDescent="0.3">
      <c r="D210">
        <v>2950</v>
      </c>
      <c r="E210" t="s">
        <v>273</v>
      </c>
      <c r="F210" s="4">
        <f>HLOOKUP($E$4,'Bourgeoisie bilan'!$F$3:$S$228,205,0)</f>
        <v>1000</v>
      </c>
    </row>
    <row r="211" spans="3:6" x14ac:dyDescent="0.3">
      <c r="F211" s="4"/>
    </row>
    <row r="212" spans="3:6" x14ac:dyDescent="0.3">
      <c r="C212" s="83">
        <v>296</v>
      </c>
      <c r="D212" s="83"/>
      <c r="E212" s="83" t="s">
        <v>274</v>
      </c>
      <c r="F212" s="84">
        <f>HLOOKUP($E$4,'Bourgeoisie bilan'!$F$3:$S$228,207,0)</f>
        <v>28424.25</v>
      </c>
    </row>
    <row r="213" spans="3:6" x14ac:dyDescent="0.3">
      <c r="D213">
        <v>2960</v>
      </c>
      <c r="E213" t="s">
        <v>274</v>
      </c>
      <c r="F213" s="4">
        <f>HLOOKUP($E$4,'Bourgeoisie bilan'!$F$3:$S$228,208,0)</f>
        <v>28424.25</v>
      </c>
    </row>
    <row r="214" spans="3:6" x14ac:dyDescent="0.3">
      <c r="F214" s="4"/>
    </row>
    <row r="215" spans="3:6" x14ac:dyDescent="0.3">
      <c r="C215" s="83">
        <v>298</v>
      </c>
      <c r="D215" s="83"/>
      <c r="E215" s="83" t="s">
        <v>275</v>
      </c>
      <c r="F215" s="84">
        <f>HLOOKUP($E$4,'Bourgeoisie bilan'!$F$3:$S$228,210,0)</f>
        <v>0</v>
      </c>
    </row>
    <row r="216" spans="3:6" x14ac:dyDescent="0.3">
      <c r="D216">
        <v>2980</v>
      </c>
      <c r="E216" t="s">
        <v>275</v>
      </c>
      <c r="F216" s="4">
        <f>HLOOKUP($E$4,'Bourgeoisie bilan'!$F$3:$S$228,211,0)</f>
        <v>0</v>
      </c>
    </row>
    <row r="217" spans="3:6" x14ac:dyDescent="0.3">
      <c r="F217" s="4"/>
    </row>
    <row r="218" spans="3:6" x14ac:dyDescent="0.3">
      <c r="C218" s="83">
        <v>299</v>
      </c>
      <c r="D218" s="83"/>
      <c r="E218" s="83" t="s">
        <v>453</v>
      </c>
      <c r="F218" s="84">
        <f>HLOOKUP($E$4,'Bourgeoisie bilan'!$F$3:$S$228,213,0)</f>
        <v>7090649.3100000005</v>
      </c>
    </row>
    <row r="219" spans="3:6" x14ac:dyDescent="0.3">
      <c r="D219">
        <v>2990</v>
      </c>
      <c r="E219" t="s">
        <v>453</v>
      </c>
      <c r="F219" s="4">
        <f>HLOOKUP($E$4,'Bourgeoisie bilan'!$F$3:$S$228,214,0)</f>
        <v>29125.87</v>
      </c>
    </row>
    <row r="220" spans="3:6" x14ac:dyDescent="0.3">
      <c r="D220">
        <v>2999</v>
      </c>
      <c r="E220" t="s">
        <v>595</v>
      </c>
      <c r="F220" s="4">
        <f>HLOOKUP($E$4,'Bourgeoisie bilan'!$F$3:$S$228,215,0)</f>
        <v>7061523.4400000004</v>
      </c>
    </row>
    <row r="221" spans="3:6" x14ac:dyDescent="0.3">
      <c r="F221" s="4"/>
    </row>
    <row r="222" spans="3:6" x14ac:dyDescent="0.3">
      <c r="C222" s="160"/>
      <c r="D222" s="160"/>
      <c r="E222" s="160" t="s">
        <v>600</v>
      </c>
      <c r="F222" s="4">
        <f>HLOOKUP($E$4,'Bourgeoisie bilan'!$F$3:$S$228,217,0)</f>
        <v>0</v>
      </c>
    </row>
    <row r="223" spans="3:6" x14ac:dyDescent="0.3">
      <c r="D223">
        <v>290</v>
      </c>
      <c r="E223" t="s">
        <v>599</v>
      </c>
      <c r="F223" s="4">
        <f>HLOOKUP($E$4,'Bourgeoisie bilan'!$F$3:$S$228,218,0)</f>
        <v>0</v>
      </c>
    </row>
    <row r="224" spans="3:6" x14ac:dyDescent="0.3">
      <c r="D224">
        <v>2990</v>
      </c>
      <c r="E224" t="s">
        <v>603</v>
      </c>
      <c r="F224" s="4">
        <f>HLOOKUP($E$4,'Bourgeoisie bilan'!$F$3:$S$228,219,0)</f>
        <v>29125.87</v>
      </c>
    </row>
    <row r="225" spans="5:6" x14ac:dyDescent="0.3">
      <c r="F225" s="4"/>
    </row>
    <row r="226" spans="5:6" x14ac:dyDescent="0.3">
      <c r="E226" s="7" t="s">
        <v>602</v>
      </c>
      <c r="F226" s="4">
        <f>HLOOKUP($E$4,'Bourgeoisie bilan'!$F$3:$S$228,221,0)</f>
        <v>29125.87</v>
      </c>
    </row>
    <row r="227" spans="5:6" x14ac:dyDescent="0.3">
      <c r="F227" s="4">
        <f>HLOOKUP($E$4,'Bourgeoisie bilan'!$F$3:$S$228,222,0)</f>
        <v>0</v>
      </c>
    </row>
    <row r="228" spans="5:6" x14ac:dyDescent="0.3">
      <c r="E228" s="60" t="s">
        <v>601</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F155" sqref="F155"/>
    </sheetView>
  </sheetViews>
  <sheetFormatPr baseColWidth="10" defaultRowHeight="14.4" x14ac:dyDescent="0.3"/>
  <cols>
    <col min="1" max="1" width="5.6640625" customWidth="1"/>
    <col min="2" max="2" width="50.33203125" customWidth="1"/>
    <col min="3" max="16" width="16.33203125" customWidth="1"/>
  </cols>
  <sheetData>
    <row r="1" spans="1:16" ht="25.8" x14ac:dyDescent="0.5">
      <c r="A1" s="42" t="s">
        <v>461</v>
      </c>
      <c r="B1" s="7"/>
    </row>
    <row r="2" spans="1:16" ht="15" customHeight="1" x14ac:dyDescent="0.3">
      <c r="A2" s="183" t="s">
        <v>776</v>
      </c>
      <c r="B2" s="7"/>
    </row>
    <row r="3" spans="1:16" ht="15" customHeight="1" x14ac:dyDescent="0.3">
      <c r="A3" s="7"/>
      <c r="B3" s="7"/>
    </row>
    <row r="4" spans="1:16" ht="15" customHeight="1" x14ac:dyDescent="0.5">
      <c r="A4" s="42"/>
      <c r="B4" s="7"/>
    </row>
    <row r="5" spans="1:16" x14ac:dyDescent="0.3">
      <c r="A5" s="184"/>
      <c r="C5" s="57"/>
      <c r="D5" s="57"/>
      <c r="E5" s="57"/>
      <c r="F5" s="57"/>
      <c r="G5" s="57"/>
      <c r="H5" s="57"/>
      <c r="I5" s="57"/>
      <c r="J5" s="57"/>
      <c r="K5" s="57"/>
      <c r="L5" s="57"/>
      <c r="M5" s="57"/>
      <c r="N5" s="57"/>
      <c r="O5" s="57"/>
      <c r="P5" s="57"/>
    </row>
    <row r="6" spans="1:16" x14ac:dyDescent="0.3">
      <c r="C6" s="43" t="s">
        <v>56</v>
      </c>
      <c r="D6" s="43" t="s">
        <v>18</v>
      </c>
      <c r="E6" s="43" t="s">
        <v>57</v>
      </c>
      <c r="F6" s="43" t="s">
        <v>770</v>
      </c>
      <c r="G6" s="43" t="s">
        <v>33</v>
      </c>
      <c r="H6" s="43" t="s">
        <v>28</v>
      </c>
      <c r="I6" s="43" t="s">
        <v>771</v>
      </c>
      <c r="J6" s="43" t="s">
        <v>16</v>
      </c>
      <c r="K6" s="43" t="s">
        <v>772</v>
      </c>
      <c r="L6" s="43" t="s">
        <v>773</v>
      </c>
      <c r="M6" s="43" t="s">
        <v>59</v>
      </c>
      <c r="N6" s="43" t="s">
        <v>774</v>
      </c>
      <c r="O6" s="43" t="s">
        <v>775</v>
      </c>
      <c r="P6" s="47" t="s">
        <v>65</v>
      </c>
    </row>
    <row r="7" spans="1:16" x14ac:dyDescent="0.3">
      <c r="A7" s="67">
        <v>10</v>
      </c>
      <c r="B7" s="67" t="s">
        <v>247</v>
      </c>
      <c r="C7" s="101">
        <f>'Bourgeoisie bilan'!F5</f>
        <v>8294311.7999999998</v>
      </c>
      <c r="D7" s="101">
        <f>'Bourgeoisie bilan'!G5</f>
        <v>0</v>
      </c>
      <c r="E7" s="101">
        <f>'Bourgeoisie bilan'!H5</f>
        <v>426496.12</v>
      </c>
      <c r="F7" s="101">
        <f>'Bourgeoisie bilan'!I5</f>
        <v>274576.96000000002</v>
      </c>
      <c r="G7" s="101">
        <f>'Bourgeoisie bilan'!J5</f>
        <v>1295252.44</v>
      </c>
      <c r="H7" s="101">
        <f>'Bourgeoisie bilan'!K5</f>
        <v>31488589.369999997</v>
      </c>
      <c r="I7" s="101">
        <f>'Bourgeoisie bilan'!L5</f>
        <v>0</v>
      </c>
      <c r="J7" s="101">
        <f>'Bourgeoisie bilan'!M5</f>
        <v>0</v>
      </c>
      <c r="K7" s="101">
        <f>'Bourgeoisie bilan'!N5</f>
        <v>0</v>
      </c>
      <c r="L7" s="101">
        <f>'Bourgeoisie bilan'!O5</f>
        <v>0</v>
      </c>
      <c r="M7" s="101">
        <f>'Bourgeoisie bilan'!P5</f>
        <v>1298489.6000000001</v>
      </c>
      <c r="N7" s="101">
        <f>'Bourgeoisie bilan'!Q5</f>
        <v>0</v>
      </c>
      <c r="O7" s="101">
        <f>'Bourgeoisie bilan'!R5</f>
        <v>0</v>
      </c>
      <c r="P7" s="101">
        <f>SUM(C7:O7)</f>
        <v>43077716.289999999</v>
      </c>
    </row>
    <row r="8" spans="1:16" x14ac:dyDescent="0.3">
      <c r="A8" s="67"/>
      <c r="B8" s="67"/>
      <c r="C8" s="101"/>
      <c r="D8" s="101"/>
      <c r="E8" s="101"/>
      <c r="F8" s="101"/>
      <c r="G8" s="101"/>
      <c r="H8" s="101"/>
      <c r="I8" s="101"/>
      <c r="J8" s="101"/>
      <c r="K8" s="101"/>
      <c r="L8" s="101"/>
      <c r="M8" s="101"/>
      <c r="N8" s="101"/>
      <c r="O8" s="101"/>
      <c r="P8" s="101"/>
    </row>
    <row r="9" spans="1:16" x14ac:dyDescent="0.3">
      <c r="A9" s="67">
        <v>20</v>
      </c>
      <c r="B9" s="67" t="s">
        <v>259</v>
      </c>
      <c r="C9" s="101">
        <f>'Bourgeoisie bilan'!F121</f>
        <v>3140653.1</v>
      </c>
      <c r="D9" s="101">
        <f>'Bourgeoisie bilan'!G121</f>
        <v>0</v>
      </c>
      <c r="E9" s="101">
        <f>'Bourgeoisie bilan'!H121</f>
        <v>326299.3</v>
      </c>
      <c r="F9" s="101">
        <f>'Bourgeoisie bilan'!I121</f>
        <v>177.1</v>
      </c>
      <c r="G9" s="101">
        <f>'Bourgeoisie bilan'!J121</f>
        <v>599187.85</v>
      </c>
      <c r="H9" s="101">
        <f>'Bourgeoisie bilan'!K121</f>
        <v>3922850.45</v>
      </c>
      <c r="I9" s="101">
        <f>'Bourgeoisie bilan'!L121</f>
        <v>0</v>
      </c>
      <c r="J9" s="101">
        <f>'Bourgeoisie bilan'!M121</f>
        <v>0</v>
      </c>
      <c r="K9" s="101">
        <f>'Bourgeoisie bilan'!N121</f>
        <v>0</v>
      </c>
      <c r="L9" s="101">
        <f>'Bourgeoisie bilan'!O121</f>
        <v>0</v>
      </c>
      <c r="M9" s="101">
        <f>'Bourgeoisie bilan'!P121</f>
        <v>25318.6</v>
      </c>
      <c r="N9" s="101">
        <f>'Bourgeoisie bilan'!Q121</f>
        <v>0</v>
      </c>
      <c r="O9" s="101">
        <f>'Bourgeoisie bilan'!R121</f>
        <v>0</v>
      </c>
      <c r="P9" s="101">
        <f>SUM(C9:O9)</f>
        <v>8014486.4000000004</v>
      </c>
    </row>
    <row r="10" spans="1:16" x14ac:dyDescent="0.3">
      <c r="A10" s="67"/>
      <c r="B10" s="67"/>
      <c r="C10" s="101"/>
      <c r="D10" s="101"/>
      <c r="E10" s="101"/>
      <c r="F10" s="101"/>
      <c r="G10" s="101"/>
      <c r="H10" s="101"/>
      <c r="I10" s="101"/>
      <c r="J10" s="101"/>
      <c r="K10" s="101"/>
      <c r="L10" s="101"/>
      <c r="M10" s="101"/>
      <c r="N10" s="101"/>
      <c r="O10" s="101"/>
      <c r="P10" s="101"/>
    </row>
    <row r="11" spans="1:16" x14ac:dyDescent="0.3">
      <c r="A11" s="67">
        <v>200</v>
      </c>
      <c r="B11" s="67" t="s">
        <v>460</v>
      </c>
      <c r="C11" s="101">
        <f>'Bourgeoisie bilan'!F122</f>
        <v>73180.2</v>
      </c>
      <c r="D11" s="101">
        <f>'Bourgeoisie bilan'!G122</f>
        <v>0</v>
      </c>
      <c r="E11" s="101">
        <f>'Bourgeoisie bilan'!H122</f>
        <v>0</v>
      </c>
      <c r="F11" s="101">
        <f>'Bourgeoisie bilan'!I122</f>
        <v>0</v>
      </c>
      <c r="G11" s="101">
        <f>'Bourgeoisie bilan'!J122</f>
        <v>17194.05</v>
      </c>
      <c r="H11" s="101">
        <f>'Bourgeoisie bilan'!K122</f>
        <v>92626.65</v>
      </c>
      <c r="I11" s="101">
        <f>'Bourgeoisie bilan'!L122</f>
        <v>0</v>
      </c>
      <c r="J11" s="101">
        <f>'Bourgeoisie bilan'!M122</f>
        <v>0</v>
      </c>
      <c r="K11" s="101">
        <f>'Bourgeoisie bilan'!N122</f>
        <v>0</v>
      </c>
      <c r="L11" s="101">
        <f>'Bourgeoisie bilan'!O122</f>
        <v>0</v>
      </c>
      <c r="M11" s="101">
        <f>'Bourgeoisie bilan'!P122</f>
        <v>0</v>
      </c>
      <c r="N11" s="101">
        <f>'Bourgeoisie bilan'!Q122</f>
        <v>0</v>
      </c>
      <c r="O11" s="101">
        <f>'Bourgeoisie bilan'!R122</f>
        <v>0</v>
      </c>
      <c r="P11" s="101">
        <f>SUM(C11:O11)</f>
        <v>183000.9</v>
      </c>
    </row>
    <row r="12" spans="1:16" x14ac:dyDescent="0.3">
      <c r="A12" s="67"/>
      <c r="B12" s="67"/>
      <c r="C12" s="101"/>
      <c r="D12" s="101"/>
      <c r="E12" s="101"/>
      <c r="F12" s="101"/>
      <c r="G12" s="101"/>
      <c r="H12" s="101"/>
      <c r="I12" s="101"/>
      <c r="J12" s="101"/>
      <c r="K12" s="101"/>
      <c r="L12" s="101"/>
      <c r="M12" s="101"/>
      <c r="N12" s="101"/>
      <c r="O12" s="101"/>
      <c r="P12" s="101"/>
    </row>
    <row r="13" spans="1:16" x14ac:dyDescent="0.3">
      <c r="A13" s="67">
        <v>201</v>
      </c>
      <c r="B13" s="67" t="s">
        <v>261</v>
      </c>
      <c r="C13" s="101">
        <f>'Bourgeoisie bilan'!F132</f>
        <v>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0</v>
      </c>
    </row>
    <row r="14" spans="1:16" x14ac:dyDescent="0.3">
      <c r="A14" s="67"/>
      <c r="B14" s="67"/>
      <c r="C14" s="101"/>
      <c r="D14" s="101"/>
      <c r="E14" s="101"/>
      <c r="F14" s="101"/>
      <c r="G14" s="101"/>
      <c r="H14" s="101"/>
      <c r="I14" s="101"/>
      <c r="J14" s="101"/>
      <c r="K14" s="101"/>
      <c r="L14" s="101"/>
      <c r="M14" s="101"/>
      <c r="N14" s="101"/>
      <c r="O14" s="101"/>
      <c r="P14" s="101"/>
    </row>
    <row r="15" spans="1:16" x14ac:dyDescent="0.3">
      <c r="A15" s="67">
        <v>206</v>
      </c>
      <c r="B15" s="67" t="s">
        <v>264</v>
      </c>
      <c r="C15" s="101">
        <f>'Bourgeoisie bilan'!F164</f>
        <v>3008500</v>
      </c>
      <c r="D15" s="101">
        <f>'Bourgeoisie bilan'!G164</f>
        <v>0</v>
      </c>
      <c r="E15" s="101">
        <f>'Bourgeoisie bilan'!H164</f>
        <v>291425.59999999998</v>
      </c>
      <c r="F15" s="101">
        <f>'Bourgeoisie bilan'!I164</f>
        <v>0</v>
      </c>
      <c r="G15" s="101">
        <f>'Bourgeoisie bilan'!J164</f>
        <v>393600</v>
      </c>
      <c r="H15" s="101">
        <f>'Bourgeoisie bilan'!K164</f>
        <v>3334475</v>
      </c>
      <c r="I15" s="101">
        <f>'Bourgeoisie bilan'!L164</f>
        <v>0</v>
      </c>
      <c r="J15" s="101">
        <f>'Bourgeoisie bilan'!M164</f>
        <v>0</v>
      </c>
      <c r="K15" s="101">
        <f>'Bourgeoisie bilan'!N164</f>
        <v>0</v>
      </c>
      <c r="L15" s="101">
        <f>'Bourgeoisie bilan'!O164</f>
        <v>0</v>
      </c>
      <c r="M15" s="101">
        <f>'Bourgeoisie bilan'!P164</f>
        <v>0</v>
      </c>
      <c r="N15" s="101">
        <f>'Bourgeoisie bilan'!Q164</f>
        <v>0</v>
      </c>
      <c r="O15" s="101">
        <f>'Bourgeoisie bilan'!R164</f>
        <v>0</v>
      </c>
      <c r="P15" s="101">
        <f>SUM(C15:O15)</f>
        <v>7028000.5999999996</v>
      </c>
    </row>
    <row r="16" spans="1:16" x14ac:dyDescent="0.3">
      <c r="A16" s="67"/>
      <c r="B16" s="67"/>
      <c r="C16" s="101"/>
      <c r="D16" s="101"/>
      <c r="E16" s="101"/>
      <c r="F16" s="101"/>
      <c r="G16" s="101"/>
      <c r="H16" s="101"/>
      <c r="I16" s="101"/>
      <c r="J16" s="101"/>
      <c r="K16" s="101"/>
      <c r="L16" s="101"/>
      <c r="M16" s="101"/>
      <c r="N16" s="101"/>
      <c r="O16" s="101"/>
      <c r="P16" s="101"/>
    </row>
    <row r="17" spans="1:16" x14ac:dyDescent="0.3">
      <c r="A17" s="67">
        <v>2016</v>
      </c>
      <c r="B17" s="67" t="s">
        <v>276</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3">
      <c r="A18" s="67"/>
      <c r="B18" s="67"/>
      <c r="C18" s="101"/>
      <c r="D18" s="101"/>
      <c r="E18" s="101"/>
      <c r="F18" s="101"/>
      <c r="G18" s="101"/>
      <c r="H18" s="101"/>
      <c r="I18" s="101"/>
      <c r="J18" s="101"/>
      <c r="K18" s="101"/>
      <c r="L18" s="101"/>
      <c r="M18" s="101"/>
      <c r="N18" s="101"/>
      <c r="O18" s="101"/>
      <c r="P18" s="101"/>
    </row>
    <row r="19" spans="1:16" x14ac:dyDescent="0.3">
      <c r="A19" s="67"/>
      <c r="B19" s="67"/>
      <c r="C19" s="101"/>
      <c r="D19" s="101"/>
      <c r="E19" s="101"/>
      <c r="F19" s="101"/>
      <c r="G19" s="101"/>
      <c r="H19" s="101"/>
      <c r="I19" s="101"/>
      <c r="J19" s="101"/>
      <c r="K19" s="101"/>
      <c r="L19" s="101"/>
      <c r="M19" s="101"/>
      <c r="N19" s="101"/>
      <c r="O19" s="101"/>
      <c r="P19" s="101"/>
    </row>
    <row r="20" spans="1:16" x14ac:dyDescent="0.3">
      <c r="A20" s="67"/>
      <c r="B20" s="99" t="s">
        <v>578</v>
      </c>
      <c r="C20" s="180">
        <f>C11+C13+C15-C17</f>
        <v>3081680.2</v>
      </c>
      <c r="D20" s="180">
        <f t="shared" ref="D20:O20" si="0">D11+D13+D15-D17</f>
        <v>0</v>
      </c>
      <c r="E20" s="180">
        <f t="shared" si="0"/>
        <v>291425.59999999998</v>
      </c>
      <c r="F20" s="180">
        <f t="shared" si="0"/>
        <v>0</v>
      </c>
      <c r="G20" s="180">
        <f t="shared" si="0"/>
        <v>410794.05</v>
      </c>
      <c r="H20" s="180">
        <f t="shared" si="0"/>
        <v>3427101.65</v>
      </c>
      <c r="I20" s="180">
        <f t="shared" si="0"/>
        <v>0</v>
      </c>
      <c r="J20" s="180">
        <f t="shared" si="0"/>
        <v>0</v>
      </c>
      <c r="K20" s="180">
        <f t="shared" si="0"/>
        <v>0</v>
      </c>
      <c r="L20" s="180">
        <f t="shared" si="0"/>
        <v>0</v>
      </c>
      <c r="M20" s="180">
        <f t="shared" si="0"/>
        <v>0</v>
      </c>
      <c r="N20" s="180">
        <f t="shared" si="0"/>
        <v>0</v>
      </c>
      <c r="O20" s="180">
        <f t="shared" si="0"/>
        <v>0</v>
      </c>
      <c r="P20" s="180">
        <f>SUM(C20:O20)</f>
        <v>7211001.5</v>
      </c>
    </row>
    <row r="21" spans="1:16" x14ac:dyDescent="0.3">
      <c r="A21" s="67"/>
      <c r="B21" s="7"/>
      <c r="C21" s="181"/>
      <c r="D21" s="181"/>
      <c r="E21" s="181"/>
      <c r="F21" s="181"/>
      <c r="G21" s="181"/>
      <c r="H21" s="181"/>
      <c r="I21" s="181"/>
      <c r="J21" s="181"/>
      <c r="K21" s="181"/>
      <c r="L21" s="181"/>
      <c r="M21" s="181"/>
      <c r="N21" s="181"/>
      <c r="O21" s="181"/>
      <c r="P21" s="181"/>
    </row>
    <row r="22" spans="1:16" x14ac:dyDescent="0.3">
      <c r="A22" s="67"/>
      <c r="B22" s="99" t="s">
        <v>509</v>
      </c>
      <c r="C22" s="180">
        <f t="shared" ref="C22:O22" si="1">C9-C7</f>
        <v>-5153658.6999999993</v>
      </c>
      <c r="D22" s="180">
        <f t="shared" si="1"/>
        <v>0</v>
      </c>
      <c r="E22" s="180">
        <f t="shared" si="1"/>
        <v>-100196.82</v>
      </c>
      <c r="F22" s="180">
        <f t="shared" si="1"/>
        <v>-274399.86000000004</v>
      </c>
      <c r="G22" s="180">
        <f t="shared" si="1"/>
        <v>-696064.59</v>
      </c>
      <c r="H22" s="180">
        <f t="shared" si="1"/>
        <v>-27565738.919999998</v>
      </c>
      <c r="I22" s="180">
        <f t="shared" si="1"/>
        <v>0</v>
      </c>
      <c r="J22" s="180">
        <f t="shared" si="1"/>
        <v>0</v>
      </c>
      <c r="K22" s="180">
        <f t="shared" si="1"/>
        <v>0</v>
      </c>
      <c r="L22" s="180">
        <f t="shared" si="1"/>
        <v>0</v>
      </c>
      <c r="M22" s="180">
        <f t="shared" si="1"/>
        <v>-1273171</v>
      </c>
      <c r="N22" s="180">
        <f t="shared" si="1"/>
        <v>0</v>
      </c>
      <c r="O22" s="180">
        <f t="shared" si="1"/>
        <v>0</v>
      </c>
      <c r="P22" s="180">
        <f>SUM(C22:O22)</f>
        <v>-35063229.890000001</v>
      </c>
    </row>
    <row r="23" spans="1:16" x14ac:dyDescent="0.3">
      <c r="A23" s="67"/>
      <c r="B23" s="67"/>
      <c r="C23" s="101"/>
      <c r="D23" s="101"/>
      <c r="E23" s="101"/>
      <c r="F23" s="101"/>
      <c r="G23" s="101"/>
      <c r="H23" s="101"/>
      <c r="I23" s="101"/>
      <c r="J23" s="101"/>
      <c r="K23" s="101"/>
      <c r="L23" s="101"/>
      <c r="M23" s="101"/>
      <c r="N23" s="101"/>
      <c r="O23" s="101"/>
      <c r="P23" s="101"/>
    </row>
    <row r="24" spans="1:16" x14ac:dyDescent="0.3">
      <c r="A24" s="67"/>
      <c r="B24" s="67"/>
      <c r="C24" s="101"/>
      <c r="D24" s="101"/>
      <c r="E24" s="101"/>
      <c r="F24" s="101"/>
      <c r="G24" s="101"/>
      <c r="H24" s="101"/>
      <c r="I24" s="101"/>
      <c r="J24" s="101"/>
      <c r="K24" s="101"/>
      <c r="L24" s="101"/>
      <c r="M24" s="101"/>
      <c r="N24" s="101"/>
      <c r="O24" s="101"/>
      <c r="P24" s="101"/>
    </row>
    <row r="25" spans="1:16" x14ac:dyDescent="0.3">
      <c r="C25" s="101"/>
      <c r="D25" s="101"/>
      <c r="E25" s="101"/>
      <c r="F25" s="101"/>
      <c r="G25" s="101"/>
      <c r="H25" s="101"/>
      <c r="I25" s="101"/>
      <c r="J25" s="101"/>
      <c r="K25" s="101"/>
      <c r="L25" s="101"/>
      <c r="M25" s="101"/>
      <c r="N25" s="101"/>
      <c r="O25" s="101"/>
      <c r="P25" s="101"/>
    </row>
    <row r="26" spans="1:16" x14ac:dyDescent="0.3">
      <c r="C26" s="101"/>
      <c r="D26" s="101"/>
      <c r="E26" s="101"/>
      <c r="F26" s="101"/>
      <c r="G26" s="101"/>
      <c r="H26" s="101"/>
      <c r="I26" s="101"/>
      <c r="J26" s="101"/>
      <c r="K26" s="101"/>
      <c r="L26" s="101"/>
      <c r="M26" s="101"/>
      <c r="N26" s="101"/>
      <c r="O26" s="101"/>
      <c r="P26" s="101"/>
    </row>
    <row r="27" spans="1:16" x14ac:dyDescent="0.3">
      <c r="C27" s="101"/>
      <c r="D27" s="101"/>
      <c r="E27" s="101"/>
      <c r="F27" s="101"/>
      <c r="G27" s="101"/>
      <c r="H27" s="101"/>
      <c r="I27" s="101"/>
      <c r="J27" s="101"/>
      <c r="K27" s="101"/>
      <c r="L27" s="101"/>
      <c r="M27" s="101"/>
      <c r="N27" s="101"/>
      <c r="O27" s="101"/>
      <c r="P27" s="101"/>
    </row>
    <row r="28" spans="1:16" x14ac:dyDescent="0.3">
      <c r="C28" s="101"/>
      <c r="D28" s="101"/>
      <c r="E28" s="101"/>
      <c r="F28" s="101"/>
      <c r="G28" s="101"/>
      <c r="H28" s="101"/>
      <c r="I28" s="101"/>
      <c r="J28" s="101"/>
      <c r="K28" s="101"/>
      <c r="L28" s="101"/>
      <c r="M28" s="101"/>
      <c r="N28" s="101"/>
      <c r="O28" s="101"/>
      <c r="P28" s="101"/>
    </row>
    <row r="29" spans="1:16" x14ac:dyDescent="0.3">
      <c r="C29" s="101"/>
      <c r="D29" s="101"/>
      <c r="E29" s="101"/>
      <c r="F29" s="101"/>
      <c r="G29" s="101"/>
      <c r="H29" s="101"/>
      <c r="I29" s="101"/>
      <c r="J29" s="101"/>
      <c r="K29" s="101"/>
      <c r="L29" s="101"/>
      <c r="M29" s="101"/>
      <c r="N29" s="101"/>
      <c r="O29" s="101"/>
      <c r="P29" s="101"/>
    </row>
    <row r="30" spans="1:16" x14ac:dyDescent="0.3">
      <c r="C30" s="101"/>
      <c r="D30" s="101"/>
      <c r="E30" s="101"/>
      <c r="F30" s="101"/>
      <c r="G30" s="101"/>
      <c r="H30" s="101"/>
      <c r="I30" s="101"/>
      <c r="J30" s="101"/>
      <c r="K30" s="101"/>
      <c r="L30" s="101"/>
      <c r="M30" s="101"/>
      <c r="N30" s="101"/>
      <c r="O30" s="101"/>
      <c r="P30" s="101"/>
    </row>
    <row r="31" spans="1:16" x14ac:dyDescent="0.3">
      <c r="C31" s="101"/>
      <c r="D31" s="101"/>
      <c r="E31" s="101"/>
      <c r="F31" s="101"/>
      <c r="G31" s="101"/>
      <c r="H31" s="101"/>
      <c r="I31" s="101"/>
      <c r="J31" s="101"/>
      <c r="K31" s="101"/>
      <c r="L31" s="101"/>
      <c r="M31" s="101"/>
      <c r="N31" s="101"/>
      <c r="O31" s="101"/>
      <c r="P31" s="101"/>
    </row>
    <row r="32" spans="1:16" x14ac:dyDescent="0.3">
      <c r="C32" s="101"/>
      <c r="D32" s="101"/>
      <c r="E32" s="101"/>
      <c r="F32" s="101"/>
      <c r="G32" s="101"/>
      <c r="H32" s="101"/>
      <c r="I32" s="101"/>
      <c r="J32" s="101"/>
      <c r="K32" s="101"/>
      <c r="L32" s="101"/>
      <c r="M32" s="101"/>
      <c r="N32" s="101"/>
      <c r="O32" s="101"/>
      <c r="P32" s="101"/>
    </row>
    <row r="33" spans="3:16" x14ac:dyDescent="0.3">
      <c r="C33" s="101"/>
      <c r="D33" s="101"/>
      <c r="E33" s="101"/>
      <c r="F33" s="101"/>
      <c r="G33" s="101"/>
      <c r="H33" s="101"/>
      <c r="I33" s="101"/>
      <c r="J33" s="101"/>
      <c r="K33" s="101"/>
      <c r="L33" s="101"/>
      <c r="M33" s="101"/>
      <c r="N33" s="101"/>
      <c r="O33" s="101"/>
      <c r="P33" s="101"/>
    </row>
    <row r="34" spans="3:16" x14ac:dyDescent="0.3">
      <c r="C34" s="101"/>
      <c r="D34" s="101"/>
      <c r="E34" s="101"/>
      <c r="F34" s="101"/>
      <c r="G34" s="101"/>
      <c r="H34" s="101"/>
      <c r="I34" s="101"/>
      <c r="J34" s="101"/>
      <c r="K34" s="101"/>
      <c r="L34" s="101"/>
      <c r="M34" s="101"/>
      <c r="N34" s="101"/>
      <c r="O34" s="101"/>
      <c r="P34" s="101"/>
    </row>
    <row r="35" spans="3:16" x14ac:dyDescent="0.3">
      <c r="C35" s="101"/>
      <c r="D35" s="101"/>
      <c r="E35" s="101"/>
      <c r="F35" s="101"/>
      <c r="G35" s="101"/>
      <c r="H35" s="101"/>
      <c r="I35" s="101"/>
      <c r="J35" s="101"/>
      <c r="K35" s="101"/>
      <c r="L35" s="101"/>
      <c r="M35" s="101"/>
      <c r="N35" s="101"/>
      <c r="O35" s="101"/>
      <c r="P35" s="101"/>
    </row>
    <row r="36" spans="3:16" x14ac:dyDescent="0.3">
      <c r="C36" s="101"/>
      <c r="D36" s="101"/>
      <c r="E36" s="101"/>
      <c r="F36" s="101"/>
      <c r="G36" s="101"/>
      <c r="H36" s="101"/>
      <c r="I36" s="101"/>
      <c r="J36" s="101"/>
      <c r="K36" s="101"/>
      <c r="L36" s="101"/>
      <c r="M36" s="101"/>
      <c r="N36" s="101"/>
      <c r="O36" s="101"/>
      <c r="P36" s="101"/>
    </row>
    <row r="37" spans="3:16" x14ac:dyDescent="0.3">
      <c r="C37" s="101"/>
      <c r="D37" s="101"/>
      <c r="E37" s="101"/>
      <c r="F37" s="101"/>
      <c r="G37" s="101"/>
      <c r="H37" s="101"/>
      <c r="I37" s="101"/>
      <c r="J37" s="101"/>
      <c r="K37" s="101"/>
      <c r="L37" s="101"/>
      <c r="M37" s="101"/>
      <c r="N37" s="101"/>
      <c r="O37" s="101"/>
      <c r="P37" s="101"/>
    </row>
    <row r="38" spans="3:16" x14ac:dyDescent="0.3">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F155" sqref="F155"/>
    </sheetView>
  </sheetViews>
  <sheetFormatPr baseColWidth="10" defaultRowHeight="14.4" x14ac:dyDescent="0.3"/>
  <cols>
    <col min="1" max="1" width="5.6640625" customWidth="1"/>
    <col min="2" max="2" width="50.33203125" customWidth="1"/>
    <col min="3" max="3" width="22.88671875" customWidth="1"/>
  </cols>
  <sheetData>
    <row r="1" spans="1:3" ht="25.8" x14ac:dyDescent="0.5">
      <c r="A1" s="42" t="s">
        <v>780</v>
      </c>
      <c r="B1" s="7"/>
    </row>
    <row r="2" spans="1:3" ht="15" customHeight="1" x14ac:dyDescent="0.5">
      <c r="A2" s="42"/>
      <c r="B2" s="7"/>
    </row>
    <row r="3" spans="1:3" ht="15" customHeight="1" thickBot="1" x14ac:dyDescent="0.35">
      <c r="A3" s="7"/>
      <c r="B3" s="156" t="s">
        <v>778</v>
      </c>
    </row>
    <row r="4" spans="1:3" ht="15" customHeight="1" thickBot="1" x14ac:dyDescent="0.55000000000000004">
      <c r="A4" s="42"/>
      <c r="B4" s="179" t="s">
        <v>28</v>
      </c>
    </row>
    <row r="5" spans="1:3" ht="15" customHeight="1" x14ac:dyDescent="0.3">
      <c r="C5" s="65"/>
    </row>
    <row r="6" spans="1:3" ht="15" customHeight="1" x14ac:dyDescent="0.3">
      <c r="C6" s="182" t="s">
        <v>205</v>
      </c>
    </row>
    <row r="7" spans="1:3" x14ac:dyDescent="0.3">
      <c r="A7" s="67">
        <v>10</v>
      </c>
      <c r="B7" s="67" t="s">
        <v>247</v>
      </c>
      <c r="C7" s="4">
        <f>HLOOKUP($B$4,'Bourgeoisie endettement'!$C$6:$P$22,2,0)</f>
        <v>31488589.369999997</v>
      </c>
    </row>
    <row r="8" spans="1:3" x14ac:dyDescent="0.3">
      <c r="A8" s="67"/>
      <c r="B8" s="67"/>
      <c r="C8" s="4"/>
    </row>
    <row r="9" spans="1:3" x14ac:dyDescent="0.3">
      <c r="A9" s="67">
        <v>20</v>
      </c>
      <c r="B9" s="67" t="s">
        <v>259</v>
      </c>
      <c r="C9" s="4">
        <f>HLOOKUP($B$4,'Bourgeoisie endettement'!$C$6:$P$22,4,0)</f>
        <v>3922850.45</v>
      </c>
    </row>
    <row r="10" spans="1:3" x14ac:dyDescent="0.3">
      <c r="A10" s="67"/>
      <c r="B10" s="67"/>
      <c r="C10" s="4"/>
    </row>
    <row r="11" spans="1:3" x14ac:dyDescent="0.3">
      <c r="A11" s="67">
        <v>200</v>
      </c>
      <c r="B11" s="67" t="s">
        <v>460</v>
      </c>
      <c r="C11" s="4">
        <f>HLOOKUP($B$4,'Bourgeoisie endettement'!$C$6:$P$22,6,0)</f>
        <v>92626.65</v>
      </c>
    </row>
    <row r="12" spans="1:3" x14ac:dyDescent="0.3">
      <c r="A12" s="67"/>
      <c r="B12" s="67"/>
      <c r="C12" s="4"/>
    </row>
    <row r="13" spans="1:3" x14ac:dyDescent="0.3">
      <c r="A13" s="67">
        <v>201</v>
      </c>
      <c r="B13" s="67" t="s">
        <v>261</v>
      </c>
      <c r="C13" s="4">
        <f>HLOOKUP($B$4,'Bourgeoisie endettement'!$C$6:$P$22,8,0)</f>
        <v>0</v>
      </c>
    </row>
    <row r="14" spans="1:3" x14ac:dyDescent="0.3">
      <c r="A14" s="67"/>
      <c r="B14" s="67"/>
      <c r="C14" s="4"/>
    </row>
    <row r="15" spans="1:3" x14ac:dyDescent="0.3">
      <c r="A15" s="67">
        <v>206</v>
      </c>
      <c r="B15" s="67" t="s">
        <v>264</v>
      </c>
      <c r="C15" s="4">
        <f>HLOOKUP($B$4,'Bourgeoisie endettement'!$C$6:$P$22,10,0)</f>
        <v>3334475</v>
      </c>
    </row>
    <row r="16" spans="1:3" x14ac:dyDescent="0.3">
      <c r="A16" s="67"/>
      <c r="B16" s="67"/>
      <c r="C16" s="4"/>
    </row>
    <row r="17" spans="1:3" x14ac:dyDescent="0.3">
      <c r="A17" s="67">
        <v>2016</v>
      </c>
      <c r="B17" s="67" t="s">
        <v>276</v>
      </c>
      <c r="C17" s="4">
        <f>HLOOKUP($B$4,'Bourgeoisie endettement'!$C$6:$P$22,12,0)</f>
        <v>0</v>
      </c>
    </row>
    <row r="18" spans="1:3" x14ac:dyDescent="0.3">
      <c r="A18" s="67"/>
      <c r="B18" s="67"/>
      <c r="C18" s="4"/>
    </row>
    <row r="19" spans="1:3" x14ac:dyDescent="0.3">
      <c r="A19" s="67"/>
      <c r="B19" s="67"/>
      <c r="C19" s="4"/>
    </row>
    <row r="20" spans="1:3" x14ac:dyDescent="0.3">
      <c r="A20" s="67"/>
      <c r="B20" s="99" t="s">
        <v>578</v>
      </c>
      <c r="C20" s="100">
        <f>HLOOKUP($B$4,'Bourgeoisie endettement'!$C$6:$P$22,15,0)</f>
        <v>3427101.65</v>
      </c>
    </row>
    <row r="21" spans="1:3" x14ac:dyDescent="0.3">
      <c r="A21" s="67"/>
      <c r="B21" s="7"/>
      <c r="C21" s="41"/>
    </row>
    <row r="22" spans="1:3" x14ac:dyDescent="0.3">
      <c r="A22" s="67"/>
      <c r="B22" s="99" t="s">
        <v>509</v>
      </c>
      <c r="C22" s="100">
        <f>HLOOKUP($B$4,'Bourgeoisie endettement'!$C$6:$P$22,17,0)</f>
        <v>-27565738.919999998</v>
      </c>
    </row>
    <row r="23" spans="1:3" x14ac:dyDescent="0.3">
      <c r="A23" s="67"/>
      <c r="B23" s="67"/>
    </row>
    <row r="24" spans="1:3" x14ac:dyDescent="0.3">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4" workbookViewId="0">
      <selection activeCell="C23" sqref="C23"/>
    </sheetView>
  </sheetViews>
  <sheetFormatPr baseColWidth="10" defaultRowHeight="14.4" x14ac:dyDescent="0.3"/>
  <cols>
    <col min="1" max="1" width="63.5546875" customWidth="1"/>
    <col min="2" max="2" width="22.88671875" customWidth="1"/>
  </cols>
  <sheetData>
    <row r="1" spans="1:2" x14ac:dyDescent="0.3">
      <c r="A1" s="7"/>
    </row>
    <row r="4" spans="1:2" ht="21" x14ac:dyDescent="0.4">
      <c r="A4" s="209" t="s">
        <v>60</v>
      </c>
      <c r="B4" s="4"/>
    </row>
    <row r="5" spans="1:2" x14ac:dyDescent="0.3">
      <c r="A5" s="78" t="s">
        <v>784</v>
      </c>
      <c r="B5" s="4">
        <f>'4.1 Comptes 2020 natures'!BF5</f>
        <v>68720627.850000009</v>
      </c>
    </row>
    <row r="6" spans="1:2" x14ac:dyDescent="0.3">
      <c r="A6" s="78" t="s">
        <v>785</v>
      </c>
      <c r="B6" s="4">
        <f>'4.1 Comptes 2020 natures'!BF15</f>
        <v>71449713.730000019</v>
      </c>
    </row>
    <row r="7" spans="1:2" x14ac:dyDescent="0.3">
      <c r="A7" s="78" t="s">
        <v>786</v>
      </c>
      <c r="B7" s="4">
        <f>'4.1 Comptes 2020 natures'!BF27</f>
        <v>22755841.089999996</v>
      </c>
    </row>
    <row r="8" spans="1:2" x14ac:dyDescent="0.3">
      <c r="A8" s="78" t="s">
        <v>787</v>
      </c>
      <c r="B8" s="4">
        <f>'4.1 Comptes 2020 natures'!BF31</f>
        <v>9277984.3499999978</v>
      </c>
    </row>
    <row r="9" spans="1:2" x14ac:dyDescent="0.3">
      <c r="A9" s="78" t="s">
        <v>788</v>
      </c>
      <c r="B9" s="4">
        <f>'4.1 Comptes 2020 natures'!BF39</f>
        <v>2143078.8400000003</v>
      </c>
    </row>
    <row r="10" spans="1:2" x14ac:dyDescent="0.3">
      <c r="A10" s="78" t="s">
        <v>789</v>
      </c>
      <c r="B10" s="4">
        <f>'4.1 Comptes 2020 natures'!BF43</f>
        <v>188221332.50000003</v>
      </c>
    </row>
    <row r="11" spans="1:2" x14ac:dyDescent="0.3">
      <c r="A11" s="78" t="s">
        <v>790</v>
      </c>
      <c r="B11" s="4">
        <f>'4.1 Comptes 2020 natures'!BF53</f>
        <v>2475574.8499999996</v>
      </c>
    </row>
    <row r="12" spans="1:2" x14ac:dyDescent="0.3">
      <c r="A12" s="78" t="s">
        <v>791</v>
      </c>
      <c r="B12" s="4">
        <f>'4.1 Comptes 2020 natures'!BF56</f>
        <v>5292667.4400000004</v>
      </c>
    </row>
    <row r="13" spans="1:2" x14ac:dyDescent="0.3">
      <c r="A13" s="78" t="s">
        <v>792</v>
      </c>
      <c r="B13" s="4">
        <f>'4.1 Comptes 2020 natures'!BF64</f>
        <v>8645338.1600000001</v>
      </c>
    </row>
    <row r="14" spans="1:2" x14ac:dyDescent="0.3">
      <c r="A14" s="79"/>
      <c r="B14" s="4"/>
    </row>
    <row r="15" spans="1:2" ht="21" x14ac:dyDescent="0.4">
      <c r="A15" s="209" t="s">
        <v>137</v>
      </c>
      <c r="B15" s="4"/>
    </row>
    <row r="16" spans="1:2" x14ac:dyDescent="0.3">
      <c r="A16" s="78" t="s">
        <v>793</v>
      </c>
      <c r="B16" s="4">
        <f>'4.1 Comptes 2020 natures'!BF76</f>
        <v>219315688.26000002</v>
      </c>
    </row>
    <row r="17" spans="1:2" x14ac:dyDescent="0.3">
      <c r="A17" s="78" t="s">
        <v>794</v>
      </c>
      <c r="B17" s="4">
        <f>'4.1 Comptes 2020 natures'!BF82</f>
        <v>1014852.6699999999</v>
      </c>
    </row>
    <row r="18" spans="1:2" x14ac:dyDescent="0.3">
      <c r="A18" s="78" t="s">
        <v>795</v>
      </c>
      <c r="B18" s="4">
        <f>'4.1 Comptes 2020 natures'!BF88</f>
        <v>74575696.230000019</v>
      </c>
    </row>
    <row r="19" spans="1:2" x14ac:dyDescent="0.3">
      <c r="A19" s="78" t="s">
        <v>796</v>
      </c>
      <c r="B19" s="4">
        <f>'4.1 Comptes 2020 natures'!BF99</f>
        <v>1741348.8899999997</v>
      </c>
    </row>
    <row r="20" spans="1:2" x14ac:dyDescent="0.3">
      <c r="A20" s="78" t="s">
        <v>797</v>
      </c>
      <c r="B20" s="4">
        <f>'4.1 Comptes 2020 natures'!BF105</f>
        <v>13891621.57</v>
      </c>
    </row>
    <row r="21" spans="1:2" x14ac:dyDescent="0.3">
      <c r="A21" s="78" t="s">
        <v>798</v>
      </c>
      <c r="B21" s="4">
        <f>'4.1 Comptes 2020 natures'!BF117</f>
        <v>1308254.75</v>
      </c>
    </row>
    <row r="22" spans="1:2" x14ac:dyDescent="0.3">
      <c r="A22" s="78" t="s">
        <v>799</v>
      </c>
      <c r="B22" s="4">
        <f>'4.1 Comptes 2020 natures'!BF121</f>
        <v>64732664.279999994</v>
      </c>
    </row>
    <row r="23" spans="1:2" x14ac:dyDescent="0.3">
      <c r="A23" s="78" t="s">
        <v>800</v>
      </c>
      <c r="B23" s="4">
        <f>'4.1 Comptes 2020 natures'!BF128</f>
        <v>2079314.8499999999</v>
      </c>
    </row>
    <row r="24" spans="1:2" x14ac:dyDescent="0.3">
      <c r="A24" s="78" t="s">
        <v>801</v>
      </c>
      <c r="B24" s="4">
        <f>'4.1 Comptes 2020 natures'!BF131</f>
        <v>2567175.7000000002</v>
      </c>
    </row>
    <row r="25" spans="1:2" x14ac:dyDescent="0.3">
      <c r="A25" s="78" t="s">
        <v>802</v>
      </c>
      <c r="B25" s="4">
        <f>'4.1 Comptes 2020 natures'!BF140</f>
        <v>8560076.5199999996</v>
      </c>
    </row>
    <row r="26" spans="1:2" x14ac:dyDescent="0.3">
      <c r="B26" s="4"/>
    </row>
    <row r="27" spans="1:2" x14ac:dyDescent="0.3">
      <c r="B27" s="4"/>
    </row>
    <row r="28" spans="1:2" x14ac:dyDescent="0.3">
      <c r="B28" s="4"/>
    </row>
    <row r="29" spans="1:2" x14ac:dyDescent="0.3">
      <c r="B29" s="4"/>
    </row>
    <row r="30" spans="1:2" x14ac:dyDescent="0.3">
      <c r="B30" s="4"/>
    </row>
    <row r="31" spans="1:2" x14ac:dyDescent="0.3">
      <c r="B31" s="4"/>
    </row>
    <row r="32" spans="1:2" x14ac:dyDescent="0.3">
      <c r="B32" s="4"/>
    </row>
    <row r="33" spans="2:2" x14ac:dyDescent="0.3">
      <c r="B33" s="4"/>
    </row>
    <row r="34" spans="2:2" x14ac:dyDescent="0.3">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workbookViewId="0">
      <pane xSplit="4" ySplit="3" topLeftCell="J175" activePane="bottomRight" state="frozen"/>
      <selection activeCell="F155" sqref="F155"/>
      <selection pane="topRight" activeCell="F155" sqref="F155"/>
      <selection pane="bottomLeft" activeCell="F155" sqref="F155"/>
      <selection pane="bottomRight" activeCell="F155" sqref="F155"/>
    </sheetView>
  </sheetViews>
  <sheetFormatPr baseColWidth="10" defaultRowHeight="14.4" x14ac:dyDescent="0.3"/>
  <cols>
    <col min="1" max="2" width="5.6640625" customWidth="1"/>
    <col min="3" max="3" width="9" customWidth="1"/>
    <col min="4" max="4" width="63.5546875" customWidth="1"/>
    <col min="5" max="16" width="16.33203125" customWidth="1"/>
    <col min="17" max="17" width="18.109375" customWidth="1"/>
    <col min="18" max="18" width="16.33203125" customWidth="1"/>
  </cols>
  <sheetData>
    <row r="1" spans="1:19" ht="25.8" x14ac:dyDescent="0.5">
      <c r="A1" s="42" t="s">
        <v>464</v>
      </c>
      <c r="B1" s="7"/>
      <c r="C1" s="7"/>
      <c r="D1" s="7"/>
    </row>
    <row r="2" spans="1:19" ht="18" x14ac:dyDescent="0.35">
      <c r="A2" s="201" t="s">
        <v>766</v>
      </c>
      <c r="E2" s="57">
        <f>'Base de données pop.'!C2</f>
        <v>923</v>
      </c>
      <c r="F2" s="57">
        <f>'Base de données pop.'!C3</f>
        <v>270</v>
      </c>
      <c r="G2" s="57">
        <f>'Base de données pop.'!C4</f>
        <v>485</v>
      </c>
      <c r="H2" s="57">
        <f>'Base de données pop.'!C5</f>
        <v>446</v>
      </c>
      <c r="I2" s="57">
        <f>'Base de données pop.'!C6</f>
        <v>3631</v>
      </c>
      <c r="J2" s="57">
        <f>'Base de données pop.'!C7</f>
        <v>3313</v>
      </c>
      <c r="K2" s="57">
        <f>'Base de données pop.'!C8</f>
        <v>2644</v>
      </c>
      <c r="L2" s="57">
        <f>'Base de données pop.'!C9</f>
        <v>12618</v>
      </c>
      <c r="M2" s="57">
        <f>'Base de données pop.'!C10</f>
        <v>1371</v>
      </c>
      <c r="N2" s="57">
        <f>'Base de données pop.'!C11</f>
        <v>118</v>
      </c>
      <c r="O2" s="57">
        <f>'Base de données pop.'!C12</f>
        <v>7167</v>
      </c>
      <c r="P2" s="57">
        <f>'Base de données pop.'!C13</f>
        <v>528</v>
      </c>
      <c r="Q2" s="57">
        <f>'Base de données pop.'!C14</f>
        <v>108</v>
      </c>
      <c r="R2" s="57">
        <f>SUM(E2:Q2)</f>
        <v>33622</v>
      </c>
    </row>
    <row r="3" spans="1:19" x14ac:dyDescent="0.3">
      <c r="E3" s="43" t="s">
        <v>56</v>
      </c>
      <c r="F3" s="43" t="s">
        <v>18</v>
      </c>
      <c r="G3" s="43" t="s">
        <v>57</v>
      </c>
      <c r="H3" s="43" t="s">
        <v>770</v>
      </c>
      <c r="I3" s="43" t="s">
        <v>33</v>
      </c>
      <c r="J3" s="43" t="s">
        <v>28</v>
      </c>
      <c r="K3" s="43" t="s">
        <v>771</v>
      </c>
      <c r="L3" s="43" t="s">
        <v>16</v>
      </c>
      <c r="M3" s="43" t="s">
        <v>772</v>
      </c>
      <c r="N3" s="43" t="s">
        <v>773</v>
      </c>
      <c r="O3" s="43" t="s">
        <v>59</v>
      </c>
      <c r="P3" s="43" t="s">
        <v>774</v>
      </c>
      <c r="Q3" s="43" t="s">
        <v>775</v>
      </c>
      <c r="R3" s="47" t="s">
        <v>65</v>
      </c>
    </row>
    <row r="4" spans="1:19" ht="21" x14ac:dyDescent="0.4">
      <c r="A4" s="102">
        <v>5</v>
      </c>
      <c r="B4" s="102"/>
      <c r="C4" s="102"/>
      <c r="D4" s="102" t="s">
        <v>193</v>
      </c>
      <c r="E4" s="100">
        <f>E5+E15+E25+E30+E41+E52+E63+E74</f>
        <v>1231750.7000000002</v>
      </c>
      <c r="F4" s="100">
        <f t="shared" ref="F4:R4" si="0">F5+F15+F25+F30+F41+F52+F63+F74</f>
        <v>0</v>
      </c>
      <c r="G4" s="100">
        <f t="shared" si="0"/>
        <v>0</v>
      </c>
      <c r="H4" s="100">
        <f t="shared" si="0"/>
        <v>0</v>
      </c>
      <c r="I4" s="100">
        <f t="shared" si="0"/>
        <v>24198</v>
      </c>
      <c r="J4" s="100">
        <f t="shared" si="0"/>
        <v>299600.60000000003</v>
      </c>
      <c r="K4" s="100">
        <f t="shared" si="0"/>
        <v>0</v>
      </c>
      <c r="L4" s="100">
        <f t="shared" si="0"/>
        <v>0</v>
      </c>
      <c r="M4" s="100">
        <f t="shared" si="0"/>
        <v>0</v>
      </c>
      <c r="N4" s="100">
        <f t="shared" si="0"/>
        <v>0</v>
      </c>
      <c r="O4" s="100">
        <f t="shared" si="0"/>
        <v>0</v>
      </c>
      <c r="P4" s="100">
        <f t="shared" si="0"/>
        <v>0</v>
      </c>
      <c r="Q4" s="100">
        <f t="shared" si="0"/>
        <v>0</v>
      </c>
      <c r="R4" s="100">
        <f t="shared" si="0"/>
        <v>1555549.3</v>
      </c>
    </row>
    <row r="5" spans="1:19" x14ac:dyDescent="0.3">
      <c r="A5" s="78"/>
      <c r="B5" s="69">
        <v>50</v>
      </c>
      <c r="C5" s="69"/>
      <c r="D5" s="69" t="s">
        <v>465</v>
      </c>
      <c r="E5" s="70">
        <f>E6+E7+E8+E9+E10+E11+E12+E13</f>
        <v>1231750.7000000002</v>
      </c>
      <c r="F5" s="70">
        <f t="shared" ref="F5:R5" si="1">F6+F7+F8+F9+F10+F11+F12+F13</f>
        <v>0</v>
      </c>
      <c r="G5" s="70">
        <f t="shared" si="1"/>
        <v>0</v>
      </c>
      <c r="H5" s="70">
        <f t="shared" si="1"/>
        <v>0</v>
      </c>
      <c r="I5" s="70">
        <f t="shared" si="1"/>
        <v>24198</v>
      </c>
      <c r="J5" s="70">
        <f t="shared" si="1"/>
        <v>299600.60000000003</v>
      </c>
      <c r="K5" s="70">
        <f t="shared" si="1"/>
        <v>0</v>
      </c>
      <c r="L5" s="70">
        <f t="shared" si="1"/>
        <v>0</v>
      </c>
      <c r="M5" s="70">
        <f t="shared" si="1"/>
        <v>0</v>
      </c>
      <c r="N5" s="70">
        <f t="shared" si="1"/>
        <v>0</v>
      </c>
      <c r="O5" s="70">
        <f t="shared" si="1"/>
        <v>0</v>
      </c>
      <c r="P5" s="70">
        <f t="shared" si="1"/>
        <v>0</v>
      </c>
      <c r="Q5" s="70">
        <f t="shared" si="1"/>
        <v>0</v>
      </c>
      <c r="R5" s="70">
        <f t="shared" si="1"/>
        <v>1555549.3</v>
      </c>
    </row>
    <row r="6" spans="1:19" x14ac:dyDescent="0.3">
      <c r="C6">
        <v>500</v>
      </c>
      <c r="D6" t="s">
        <v>467</v>
      </c>
      <c r="E6" s="4">
        <v>0</v>
      </c>
      <c r="F6" s="4"/>
      <c r="G6" s="4">
        <v>0</v>
      </c>
      <c r="H6" s="4">
        <v>0</v>
      </c>
      <c r="I6" s="4">
        <v>0</v>
      </c>
      <c r="J6" s="4">
        <v>0</v>
      </c>
      <c r="K6" s="4"/>
      <c r="L6" s="4"/>
      <c r="M6" s="4"/>
      <c r="N6" s="4"/>
      <c r="O6" s="4">
        <v>0</v>
      </c>
      <c r="P6" s="4"/>
      <c r="Q6" s="4"/>
      <c r="R6" s="4">
        <f t="shared" ref="R6:R13" si="2">SUM(E6:Q6)</f>
        <v>0</v>
      </c>
      <c r="S6" s="1">
        <v>4</v>
      </c>
    </row>
    <row r="7" spans="1:19" x14ac:dyDescent="0.3">
      <c r="C7">
        <v>501</v>
      </c>
      <c r="D7" t="s">
        <v>468</v>
      </c>
      <c r="E7" s="4">
        <v>0</v>
      </c>
      <c r="F7" s="4"/>
      <c r="G7" s="4">
        <v>0</v>
      </c>
      <c r="H7" s="4">
        <v>0</v>
      </c>
      <c r="I7" s="4">
        <v>0</v>
      </c>
      <c r="J7" s="4">
        <v>0</v>
      </c>
      <c r="K7" s="4"/>
      <c r="L7" s="4"/>
      <c r="M7" s="4"/>
      <c r="N7" s="4"/>
      <c r="O7" s="4">
        <v>0</v>
      </c>
      <c r="P7" s="4"/>
      <c r="Q7" s="4"/>
      <c r="R7" s="4">
        <f t="shared" si="2"/>
        <v>0</v>
      </c>
      <c r="S7">
        <v>5</v>
      </c>
    </row>
    <row r="8" spans="1:19" x14ac:dyDescent="0.3">
      <c r="C8">
        <v>502</v>
      </c>
      <c r="D8" t="s">
        <v>469</v>
      </c>
      <c r="E8" s="4">
        <v>0</v>
      </c>
      <c r="F8" s="4"/>
      <c r="G8" s="4">
        <v>0</v>
      </c>
      <c r="H8" s="4">
        <v>0</v>
      </c>
      <c r="I8" s="4">
        <v>0</v>
      </c>
      <c r="J8" s="4">
        <v>0</v>
      </c>
      <c r="K8" s="4"/>
      <c r="L8" s="4"/>
      <c r="M8" s="4"/>
      <c r="N8" s="4"/>
      <c r="O8" s="4">
        <v>0</v>
      </c>
      <c r="P8" s="4"/>
      <c r="Q8" s="4"/>
      <c r="R8" s="4">
        <f t="shared" si="2"/>
        <v>0</v>
      </c>
      <c r="S8">
        <v>6</v>
      </c>
    </row>
    <row r="9" spans="1:19" x14ac:dyDescent="0.3">
      <c r="C9">
        <v>503</v>
      </c>
      <c r="D9" t="s">
        <v>470</v>
      </c>
      <c r="E9" s="4">
        <v>6423.85</v>
      </c>
      <c r="F9" s="4"/>
      <c r="G9" s="4">
        <v>0</v>
      </c>
      <c r="H9" s="4">
        <v>0</v>
      </c>
      <c r="I9" s="4">
        <v>0</v>
      </c>
      <c r="J9" s="4">
        <v>39823.15</v>
      </c>
      <c r="K9" s="4"/>
      <c r="L9" s="4"/>
      <c r="M9" s="4"/>
      <c r="N9" s="4"/>
      <c r="O9" s="4">
        <v>0</v>
      </c>
      <c r="P9" s="4"/>
      <c r="Q9" s="4"/>
      <c r="R9" s="4">
        <f t="shared" si="2"/>
        <v>46247</v>
      </c>
      <c r="S9" s="1">
        <v>7</v>
      </c>
    </row>
    <row r="10" spans="1:19" x14ac:dyDescent="0.3">
      <c r="C10">
        <v>504</v>
      </c>
      <c r="D10" t="s">
        <v>471</v>
      </c>
      <c r="E10" s="4">
        <v>1210526.8500000001</v>
      </c>
      <c r="F10" s="4"/>
      <c r="G10" s="4">
        <v>0</v>
      </c>
      <c r="H10" s="4">
        <v>0</v>
      </c>
      <c r="I10" s="4">
        <v>24198</v>
      </c>
      <c r="J10" s="4">
        <v>259777.45</v>
      </c>
      <c r="K10" s="4"/>
      <c r="L10" s="4"/>
      <c r="M10" s="4"/>
      <c r="N10" s="4"/>
      <c r="O10" s="4">
        <v>0</v>
      </c>
      <c r="P10" s="4"/>
      <c r="Q10" s="4"/>
      <c r="R10" s="4">
        <f t="shared" si="2"/>
        <v>1494502.3</v>
      </c>
      <c r="S10">
        <v>8</v>
      </c>
    </row>
    <row r="11" spans="1:19" x14ac:dyDescent="0.3">
      <c r="C11">
        <v>505</v>
      </c>
      <c r="D11" t="s">
        <v>472</v>
      </c>
      <c r="E11" s="4">
        <v>0</v>
      </c>
      <c r="F11" s="4"/>
      <c r="G11" s="4">
        <v>0</v>
      </c>
      <c r="H11" s="4">
        <v>0</v>
      </c>
      <c r="I11" s="4">
        <v>0</v>
      </c>
      <c r="J11" s="4">
        <v>0</v>
      </c>
      <c r="K11" s="4"/>
      <c r="L11" s="4"/>
      <c r="M11" s="4"/>
      <c r="N11" s="4"/>
      <c r="O11" s="4">
        <v>0</v>
      </c>
      <c r="P11" s="4"/>
      <c r="Q11" s="4"/>
      <c r="R11" s="4">
        <f t="shared" si="2"/>
        <v>0</v>
      </c>
      <c r="S11">
        <v>9</v>
      </c>
    </row>
    <row r="12" spans="1:19" x14ac:dyDescent="0.3">
      <c r="C12">
        <v>506</v>
      </c>
      <c r="D12" t="s">
        <v>473</v>
      </c>
      <c r="E12" s="4">
        <v>14800</v>
      </c>
      <c r="F12" s="4"/>
      <c r="G12" s="4">
        <v>0</v>
      </c>
      <c r="H12" s="4">
        <v>0</v>
      </c>
      <c r="I12" s="4">
        <v>0</v>
      </c>
      <c r="J12" s="4">
        <v>0</v>
      </c>
      <c r="K12" s="4"/>
      <c r="L12" s="4"/>
      <c r="M12" s="4"/>
      <c r="N12" s="4"/>
      <c r="O12" s="4">
        <v>0</v>
      </c>
      <c r="P12" s="4"/>
      <c r="Q12" s="4"/>
      <c r="R12" s="4">
        <f t="shared" si="2"/>
        <v>14800</v>
      </c>
      <c r="S12" s="1">
        <v>10</v>
      </c>
    </row>
    <row r="13" spans="1:19" x14ac:dyDescent="0.3">
      <c r="C13">
        <v>509</v>
      </c>
      <c r="D13" t="s">
        <v>474</v>
      </c>
      <c r="E13" s="4">
        <v>0</v>
      </c>
      <c r="F13" s="4"/>
      <c r="G13" s="4">
        <v>0</v>
      </c>
      <c r="H13" s="4">
        <v>0</v>
      </c>
      <c r="I13" s="4">
        <v>0</v>
      </c>
      <c r="J13" s="4">
        <v>0</v>
      </c>
      <c r="K13" s="4"/>
      <c r="L13" s="4"/>
      <c r="M13" s="4"/>
      <c r="N13" s="4"/>
      <c r="O13" s="4">
        <v>0</v>
      </c>
      <c r="P13" s="4"/>
      <c r="Q13" s="4"/>
      <c r="R13" s="4">
        <f t="shared" si="2"/>
        <v>0</v>
      </c>
      <c r="S13">
        <v>11</v>
      </c>
    </row>
    <row r="14" spans="1:19" x14ac:dyDescent="0.3">
      <c r="E14" s="4"/>
      <c r="F14" s="4"/>
      <c r="G14" s="4"/>
      <c r="H14" s="4"/>
      <c r="I14" s="4"/>
      <c r="J14" s="4"/>
      <c r="K14" s="4"/>
      <c r="L14" s="4"/>
      <c r="M14" s="4"/>
      <c r="N14" s="4"/>
      <c r="O14" s="4"/>
      <c r="P14" s="4"/>
      <c r="Q14" s="4"/>
      <c r="R14" s="4"/>
      <c r="S14">
        <v>12</v>
      </c>
    </row>
    <row r="15" spans="1:19" x14ac:dyDescent="0.3">
      <c r="B15" s="69">
        <v>51</v>
      </c>
      <c r="C15" s="69"/>
      <c r="D15" s="69" t="s">
        <v>466</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3">
      <c r="C16">
        <v>510</v>
      </c>
      <c r="D16" t="s">
        <v>467</v>
      </c>
      <c r="E16" s="4">
        <v>0</v>
      </c>
      <c r="F16" s="4"/>
      <c r="G16" s="4">
        <v>0</v>
      </c>
      <c r="H16" s="4">
        <v>0</v>
      </c>
      <c r="I16" s="4">
        <v>0</v>
      </c>
      <c r="J16" s="4">
        <v>0</v>
      </c>
      <c r="K16" s="4"/>
      <c r="L16" s="4"/>
      <c r="M16" s="4"/>
      <c r="N16" s="4"/>
      <c r="O16" s="4">
        <v>0</v>
      </c>
      <c r="P16" s="4"/>
      <c r="Q16" s="4"/>
      <c r="R16" s="4">
        <f t="shared" ref="R16:R23" si="4">SUM(E16:Q16)</f>
        <v>0</v>
      </c>
      <c r="S16">
        <v>14</v>
      </c>
    </row>
    <row r="17" spans="2:19" x14ac:dyDescent="0.3">
      <c r="C17">
        <v>511</v>
      </c>
      <c r="D17" t="s">
        <v>468</v>
      </c>
      <c r="E17" s="4">
        <v>0</v>
      </c>
      <c r="F17" s="4"/>
      <c r="G17" s="4">
        <v>0</v>
      </c>
      <c r="H17" s="4">
        <v>0</v>
      </c>
      <c r="I17" s="4">
        <v>0</v>
      </c>
      <c r="J17" s="4">
        <v>0</v>
      </c>
      <c r="K17" s="4"/>
      <c r="L17" s="4"/>
      <c r="M17" s="4"/>
      <c r="N17" s="4"/>
      <c r="O17" s="4">
        <v>0</v>
      </c>
      <c r="P17" s="4"/>
      <c r="Q17" s="4"/>
      <c r="R17" s="4">
        <f t="shared" si="4"/>
        <v>0</v>
      </c>
      <c r="S17">
        <v>15</v>
      </c>
    </row>
    <row r="18" spans="2:19" x14ac:dyDescent="0.3">
      <c r="C18">
        <v>512</v>
      </c>
      <c r="D18" t="s">
        <v>469</v>
      </c>
      <c r="E18" s="4">
        <v>0</v>
      </c>
      <c r="F18" s="4"/>
      <c r="G18" s="4">
        <v>0</v>
      </c>
      <c r="H18" s="4">
        <v>0</v>
      </c>
      <c r="I18" s="4">
        <v>0</v>
      </c>
      <c r="J18" s="4">
        <v>0</v>
      </c>
      <c r="K18" s="4"/>
      <c r="L18" s="4"/>
      <c r="M18" s="4"/>
      <c r="N18" s="4"/>
      <c r="O18" s="4">
        <v>0</v>
      </c>
      <c r="P18" s="4"/>
      <c r="Q18" s="4"/>
      <c r="R18" s="4">
        <f t="shared" si="4"/>
        <v>0</v>
      </c>
      <c r="S18" s="1">
        <v>16</v>
      </c>
    </row>
    <row r="19" spans="2:19" x14ac:dyDescent="0.3">
      <c r="C19">
        <v>513</v>
      </c>
      <c r="D19" t="s">
        <v>470</v>
      </c>
      <c r="E19" s="4">
        <v>0</v>
      </c>
      <c r="F19" s="4"/>
      <c r="G19" s="4">
        <v>0</v>
      </c>
      <c r="H19" s="4">
        <v>0</v>
      </c>
      <c r="I19" s="4">
        <v>0</v>
      </c>
      <c r="J19" s="4">
        <v>0</v>
      </c>
      <c r="K19" s="4"/>
      <c r="L19" s="4"/>
      <c r="M19" s="4"/>
      <c r="N19" s="4"/>
      <c r="O19" s="4">
        <v>0</v>
      </c>
      <c r="P19" s="4"/>
      <c r="Q19" s="4"/>
      <c r="R19" s="4">
        <f t="shared" si="4"/>
        <v>0</v>
      </c>
      <c r="S19">
        <v>17</v>
      </c>
    </row>
    <row r="20" spans="2:19" x14ac:dyDescent="0.3">
      <c r="C20">
        <v>514</v>
      </c>
      <c r="D20" t="s">
        <v>471</v>
      </c>
      <c r="E20" s="4">
        <v>0</v>
      </c>
      <c r="F20" s="4"/>
      <c r="G20" s="4">
        <v>0</v>
      </c>
      <c r="H20" s="4">
        <v>0</v>
      </c>
      <c r="I20" s="4">
        <v>0</v>
      </c>
      <c r="J20" s="4">
        <v>0</v>
      </c>
      <c r="K20" s="4"/>
      <c r="L20" s="4"/>
      <c r="M20" s="4"/>
      <c r="N20" s="4"/>
      <c r="O20" s="4">
        <v>0</v>
      </c>
      <c r="P20" s="4"/>
      <c r="Q20" s="4"/>
      <c r="R20" s="4">
        <f t="shared" si="4"/>
        <v>0</v>
      </c>
      <c r="S20">
        <v>18</v>
      </c>
    </row>
    <row r="21" spans="2:19" x14ac:dyDescent="0.3">
      <c r="C21">
        <v>515</v>
      </c>
      <c r="D21" t="s">
        <v>472</v>
      </c>
      <c r="E21" s="4">
        <v>0</v>
      </c>
      <c r="F21" s="4"/>
      <c r="G21" s="4">
        <v>0</v>
      </c>
      <c r="H21" s="4">
        <v>0</v>
      </c>
      <c r="I21" s="4">
        <v>0</v>
      </c>
      <c r="J21" s="4">
        <v>0</v>
      </c>
      <c r="K21" s="4"/>
      <c r="L21" s="4"/>
      <c r="M21" s="4"/>
      <c r="N21" s="4"/>
      <c r="O21" s="4">
        <v>0</v>
      </c>
      <c r="P21" s="4"/>
      <c r="Q21" s="4"/>
      <c r="R21" s="4">
        <f t="shared" si="4"/>
        <v>0</v>
      </c>
      <c r="S21" s="1">
        <v>19</v>
      </c>
    </row>
    <row r="22" spans="2:19" x14ac:dyDescent="0.3">
      <c r="C22">
        <v>516</v>
      </c>
      <c r="D22" t="s">
        <v>473</v>
      </c>
      <c r="E22" s="4">
        <v>0</v>
      </c>
      <c r="F22" s="4"/>
      <c r="G22" s="4">
        <v>0</v>
      </c>
      <c r="H22" s="4">
        <v>0</v>
      </c>
      <c r="I22" s="4">
        <v>0</v>
      </c>
      <c r="J22" s="4">
        <v>0</v>
      </c>
      <c r="K22" s="4"/>
      <c r="L22" s="4"/>
      <c r="M22" s="4"/>
      <c r="N22" s="4"/>
      <c r="O22" s="4">
        <v>0</v>
      </c>
      <c r="P22" s="4"/>
      <c r="Q22" s="4"/>
      <c r="R22" s="4">
        <f t="shared" si="4"/>
        <v>0</v>
      </c>
      <c r="S22">
        <v>20</v>
      </c>
    </row>
    <row r="23" spans="2:19" x14ac:dyDescent="0.3">
      <c r="C23">
        <v>519</v>
      </c>
      <c r="D23" t="s">
        <v>474</v>
      </c>
      <c r="E23" s="4">
        <v>0</v>
      </c>
      <c r="F23" s="4"/>
      <c r="G23" s="4">
        <v>0</v>
      </c>
      <c r="H23" s="4">
        <v>0</v>
      </c>
      <c r="I23" s="4">
        <v>0</v>
      </c>
      <c r="J23" s="4">
        <v>0</v>
      </c>
      <c r="K23" s="4"/>
      <c r="L23" s="4"/>
      <c r="M23" s="4"/>
      <c r="N23" s="4"/>
      <c r="O23" s="4">
        <v>0</v>
      </c>
      <c r="P23" s="4"/>
      <c r="Q23" s="4"/>
      <c r="R23" s="4">
        <f t="shared" si="4"/>
        <v>0</v>
      </c>
      <c r="S23">
        <v>21</v>
      </c>
    </row>
    <row r="24" spans="2:19" x14ac:dyDescent="0.3">
      <c r="E24" s="4"/>
      <c r="F24" s="4"/>
      <c r="G24" s="4"/>
      <c r="H24" s="4"/>
      <c r="I24" s="4"/>
      <c r="J24" s="4"/>
      <c r="K24" s="4"/>
      <c r="L24" s="4"/>
      <c r="M24" s="4"/>
      <c r="N24" s="4"/>
      <c r="O24" s="4"/>
      <c r="P24" s="4"/>
      <c r="Q24" s="4"/>
      <c r="R24" s="4"/>
      <c r="S24" s="1">
        <v>22</v>
      </c>
    </row>
    <row r="25" spans="2:19" x14ac:dyDescent="0.3">
      <c r="B25" s="69">
        <v>52</v>
      </c>
      <c r="C25" s="69"/>
      <c r="D25" s="69" t="s">
        <v>475</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3">
      <c r="C26">
        <v>520</v>
      </c>
      <c r="D26" t="s">
        <v>375</v>
      </c>
      <c r="E26" s="4">
        <v>0</v>
      </c>
      <c r="F26" s="4"/>
      <c r="G26" s="4">
        <v>0</v>
      </c>
      <c r="H26" s="4">
        <v>0</v>
      </c>
      <c r="I26" s="4">
        <v>0</v>
      </c>
      <c r="J26" s="4">
        <v>0</v>
      </c>
      <c r="K26" s="4"/>
      <c r="L26" s="4"/>
      <c r="M26" s="4"/>
      <c r="N26" s="4"/>
      <c r="O26" s="4">
        <v>0</v>
      </c>
      <c r="P26" s="4"/>
      <c r="Q26" s="4"/>
      <c r="R26" s="4">
        <f>SUM(E26:Q26)</f>
        <v>0</v>
      </c>
      <c r="S26">
        <v>24</v>
      </c>
    </row>
    <row r="27" spans="2:19" x14ac:dyDescent="0.3">
      <c r="C27">
        <v>521</v>
      </c>
      <c r="D27" t="s">
        <v>376</v>
      </c>
      <c r="E27" s="4">
        <v>0</v>
      </c>
      <c r="F27" s="4"/>
      <c r="G27" s="4">
        <v>0</v>
      </c>
      <c r="H27" s="4">
        <v>0</v>
      </c>
      <c r="I27" s="4">
        <v>0</v>
      </c>
      <c r="J27" s="4">
        <v>0</v>
      </c>
      <c r="K27" s="4"/>
      <c r="L27" s="4"/>
      <c r="M27" s="4"/>
      <c r="N27" s="4"/>
      <c r="O27" s="4">
        <v>0</v>
      </c>
      <c r="P27" s="4"/>
      <c r="Q27" s="4"/>
      <c r="R27" s="4">
        <f>SUM(E27:Q27)</f>
        <v>0</v>
      </c>
      <c r="S27" s="1">
        <v>25</v>
      </c>
    </row>
    <row r="28" spans="2:19" x14ac:dyDescent="0.3">
      <c r="C28">
        <v>529</v>
      </c>
      <c r="D28" t="s">
        <v>476</v>
      </c>
      <c r="E28" s="4">
        <v>0</v>
      </c>
      <c r="F28" s="4"/>
      <c r="G28" s="4">
        <v>0</v>
      </c>
      <c r="H28" s="4">
        <v>0</v>
      </c>
      <c r="I28" s="4">
        <v>0</v>
      </c>
      <c r="J28" s="4">
        <v>0</v>
      </c>
      <c r="K28" s="4"/>
      <c r="L28" s="4"/>
      <c r="M28" s="4"/>
      <c r="N28" s="4"/>
      <c r="O28" s="4">
        <v>0</v>
      </c>
      <c r="P28" s="4"/>
      <c r="Q28" s="4"/>
      <c r="R28" s="4">
        <f>SUM(E28:Q28)</f>
        <v>0</v>
      </c>
      <c r="S28">
        <v>26</v>
      </c>
    </row>
    <row r="29" spans="2:19" x14ac:dyDescent="0.3">
      <c r="E29" s="4"/>
      <c r="F29" s="4"/>
      <c r="G29" s="4"/>
      <c r="H29" s="4"/>
      <c r="I29" s="4"/>
      <c r="J29" s="4"/>
      <c r="K29" s="4"/>
      <c r="L29" s="4"/>
      <c r="M29" s="4"/>
      <c r="N29" s="4"/>
      <c r="O29" s="4"/>
      <c r="P29" s="4"/>
      <c r="Q29" s="4"/>
      <c r="R29" s="4"/>
      <c r="S29">
        <v>27</v>
      </c>
    </row>
    <row r="30" spans="2:19" x14ac:dyDescent="0.3">
      <c r="B30" s="69">
        <v>54</v>
      </c>
      <c r="C30" s="69"/>
      <c r="D30" s="69" t="s">
        <v>257</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3">
      <c r="C31">
        <v>540</v>
      </c>
      <c r="D31" t="s">
        <v>477</v>
      </c>
      <c r="E31" s="4">
        <v>0</v>
      </c>
      <c r="F31" s="4"/>
      <c r="G31" s="4">
        <v>0</v>
      </c>
      <c r="H31" s="4">
        <v>0</v>
      </c>
      <c r="I31" s="4">
        <v>0</v>
      </c>
      <c r="J31" s="4">
        <v>0</v>
      </c>
      <c r="K31" s="4"/>
      <c r="L31" s="4"/>
      <c r="M31" s="4"/>
      <c r="N31" s="4"/>
      <c r="O31" s="4">
        <v>0</v>
      </c>
      <c r="P31" s="4"/>
      <c r="Q31" s="4"/>
      <c r="R31" s="4">
        <f t="shared" ref="R31:R39" si="7">SUM(E31:Q31)</f>
        <v>0</v>
      </c>
      <c r="S31">
        <v>29</v>
      </c>
    </row>
    <row r="32" spans="2:19" x14ac:dyDescent="0.3">
      <c r="C32">
        <v>541</v>
      </c>
      <c r="D32" t="s">
        <v>478</v>
      </c>
      <c r="E32" s="4">
        <v>0</v>
      </c>
      <c r="F32" s="4"/>
      <c r="G32" s="4">
        <v>0</v>
      </c>
      <c r="H32" s="4">
        <v>0</v>
      </c>
      <c r="I32" s="4">
        <v>0</v>
      </c>
      <c r="J32" s="4">
        <v>0</v>
      </c>
      <c r="K32" s="4"/>
      <c r="L32" s="4"/>
      <c r="M32" s="4"/>
      <c r="N32" s="4"/>
      <c r="O32" s="4">
        <v>0</v>
      </c>
      <c r="P32" s="4"/>
      <c r="Q32" s="4"/>
      <c r="R32" s="4">
        <f t="shared" si="7"/>
        <v>0</v>
      </c>
      <c r="S32">
        <v>30</v>
      </c>
    </row>
    <row r="33" spans="2:19" x14ac:dyDescent="0.3">
      <c r="C33">
        <v>542</v>
      </c>
      <c r="D33" t="s">
        <v>479</v>
      </c>
      <c r="E33" s="4">
        <v>0</v>
      </c>
      <c r="F33" s="4"/>
      <c r="G33" s="4">
        <v>0</v>
      </c>
      <c r="H33" s="4">
        <v>0</v>
      </c>
      <c r="I33" s="4">
        <v>0</v>
      </c>
      <c r="J33" s="4">
        <v>0</v>
      </c>
      <c r="K33" s="4"/>
      <c r="L33" s="4"/>
      <c r="M33" s="4"/>
      <c r="N33" s="4"/>
      <c r="O33" s="4">
        <v>0</v>
      </c>
      <c r="P33" s="4"/>
      <c r="Q33" s="4"/>
      <c r="R33" s="4">
        <f t="shared" si="7"/>
        <v>0</v>
      </c>
      <c r="S33" s="1">
        <v>31</v>
      </c>
    </row>
    <row r="34" spans="2:19" x14ac:dyDescent="0.3">
      <c r="C34">
        <v>543</v>
      </c>
      <c r="D34" t="s">
        <v>480</v>
      </c>
      <c r="E34" s="4">
        <v>0</v>
      </c>
      <c r="F34" s="4"/>
      <c r="G34" s="4">
        <v>0</v>
      </c>
      <c r="H34" s="4">
        <v>0</v>
      </c>
      <c r="I34" s="4">
        <v>0</v>
      </c>
      <c r="J34" s="4">
        <v>0</v>
      </c>
      <c r="K34" s="4"/>
      <c r="L34" s="4"/>
      <c r="M34" s="4"/>
      <c r="N34" s="4"/>
      <c r="O34" s="4">
        <v>0</v>
      </c>
      <c r="P34" s="4"/>
      <c r="Q34" s="4"/>
      <c r="R34" s="4">
        <f t="shared" si="7"/>
        <v>0</v>
      </c>
      <c r="S34">
        <v>32</v>
      </c>
    </row>
    <row r="35" spans="2:19" x14ac:dyDescent="0.3">
      <c r="C35">
        <v>544</v>
      </c>
      <c r="D35" t="s">
        <v>481</v>
      </c>
      <c r="E35" s="4">
        <v>0</v>
      </c>
      <c r="F35" s="4"/>
      <c r="G35" s="4">
        <v>0</v>
      </c>
      <c r="H35" s="4">
        <v>0</v>
      </c>
      <c r="I35" s="4">
        <v>0</v>
      </c>
      <c r="J35" s="4">
        <v>0</v>
      </c>
      <c r="K35" s="4"/>
      <c r="L35" s="4"/>
      <c r="M35" s="4"/>
      <c r="N35" s="4"/>
      <c r="O35" s="4">
        <v>0</v>
      </c>
      <c r="P35" s="4"/>
      <c r="Q35" s="4"/>
      <c r="R35" s="4">
        <f t="shared" si="7"/>
        <v>0</v>
      </c>
      <c r="S35">
        <v>33</v>
      </c>
    </row>
    <row r="36" spans="2:19" x14ac:dyDescent="0.3">
      <c r="C36">
        <v>545</v>
      </c>
      <c r="D36" t="s">
        <v>482</v>
      </c>
      <c r="E36" s="4">
        <v>0</v>
      </c>
      <c r="F36" s="4"/>
      <c r="G36" s="4">
        <v>0</v>
      </c>
      <c r="H36" s="4">
        <v>0</v>
      </c>
      <c r="I36" s="4">
        <v>0</v>
      </c>
      <c r="J36" s="4">
        <v>0</v>
      </c>
      <c r="K36" s="4"/>
      <c r="L36" s="4"/>
      <c r="M36" s="4"/>
      <c r="N36" s="4"/>
      <c r="O36" s="4">
        <v>0</v>
      </c>
      <c r="P36" s="4"/>
      <c r="Q36" s="4"/>
      <c r="R36" s="4">
        <f t="shared" si="7"/>
        <v>0</v>
      </c>
      <c r="S36" s="1">
        <v>34</v>
      </c>
    </row>
    <row r="37" spans="2:19" x14ac:dyDescent="0.3">
      <c r="C37">
        <v>546</v>
      </c>
      <c r="D37" t="s">
        <v>483</v>
      </c>
      <c r="E37" s="4">
        <v>0</v>
      </c>
      <c r="F37" s="4"/>
      <c r="G37" s="4">
        <v>0</v>
      </c>
      <c r="H37" s="4">
        <v>0</v>
      </c>
      <c r="I37" s="4">
        <v>0</v>
      </c>
      <c r="J37" s="4">
        <v>0</v>
      </c>
      <c r="K37" s="4"/>
      <c r="L37" s="4"/>
      <c r="M37" s="4"/>
      <c r="N37" s="4"/>
      <c r="O37" s="4">
        <v>0</v>
      </c>
      <c r="P37" s="4"/>
      <c r="Q37" s="4"/>
      <c r="R37" s="4">
        <f t="shared" si="7"/>
        <v>0</v>
      </c>
      <c r="S37">
        <v>35</v>
      </c>
    </row>
    <row r="38" spans="2:19" x14ac:dyDescent="0.3">
      <c r="C38">
        <v>547</v>
      </c>
      <c r="D38" t="s">
        <v>484</v>
      </c>
      <c r="E38" s="4">
        <v>0</v>
      </c>
      <c r="F38" s="4"/>
      <c r="G38" s="4">
        <v>0</v>
      </c>
      <c r="H38" s="4">
        <v>0</v>
      </c>
      <c r="I38" s="4">
        <v>0</v>
      </c>
      <c r="J38" s="4">
        <v>0</v>
      </c>
      <c r="K38" s="4"/>
      <c r="L38" s="4"/>
      <c r="M38" s="4"/>
      <c r="N38" s="4"/>
      <c r="O38" s="4">
        <v>0</v>
      </c>
      <c r="P38" s="4"/>
      <c r="Q38" s="4"/>
      <c r="R38" s="4">
        <f t="shared" si="7"/>
        <v>0</v>
      </c>
      <c r="S38">
        <v>36</v>
      </c>
    </row>
    <row r="39" spans="2:19" x14ac:dyDescent="0.3">
      <c r="C39">
        <v>548</v>
      </c>
      <c r="D39" t="s">
        <v>485</v>
      </c>
      <c r="E39" s="4">
        <v>0</v>
      </c>
      <c r="F39" s="4"/>
      <c r="G39" s="4">
        <v>0</v>
      </c>
      <c r="H39" s="4">
        <v>0</v>
      </c>
      <c r="I39" s="4">
        <v>0</v>
      </c>
      <c r="J39" s="4">
        <v>0</v>
      </c>
      <c r="K39" s="4"/>
      <c r="L39" s="4"/>
      <c r="M39" s="4"/>
      <c r="N39" s="4"/>
      <c r="O39" s="4">
        <v>0</v>
      </c>
      <c r="P39" s="4"/>
      <c r="Q39" s="4"/>
      <c r="R39" s="4">
        <f t="shared" si="7"/>
        <v>0</v>
      </c>
      <c r="S39" s="1">
        <v>37</v>
      </c>
    </row>
    <row r="40" spans="2:19" x14ac:dyDescent="0.3">
      <c r="E40" s="4"/>
      <c r="F40" s="4"/>
      <c r="G40" s="4"/>
      <c r="H40" s="4"/>
      <c r="I40" s="4"/>
      <c r="J40" s="4"/>
      <c r="K40" s="4"/>
      <c r="L40" s="4"/>
      <c r="M40" s="4"/>
      <c r="N40" s="4"/>
      <c r="O40" s="4"/>
      <c r="P40" s="4"/>
      <c r="Q40" s="4"/>
      <c r="R40" s="4"/>
      <c r="S40">
        <v>38</v>
      </c>
    </row>
    <row r="41" spans="2:19" x14ac:dyDescent="0.3">
      <c r="B41" s="69">
        <v>55</v>
      </c>
      <c r="C41" s="69"/>
      <c r="D41" s="69" t="s">
        <v>388</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3">
      <c r="C42">
        <v>550</v>
      </c>
      <c r="D42" t="s">
        <v>477</v>
      </c>
      <c r="E42" s="4">
        <v>0</v>
      </c>
      <c r="F42" s="4"/>
      <c r="G42" s="4">
        <v>0</v>
      </c>
      <c r="H42" s="4">
        <v>0</v>
      </c>
      <c r="I42" s="4">
        <v>0</v>
      </c>
      <c r="J42" s="4">
        <v>0</v>
      </c>
      <c r="K42" s="4"/>
      <c r="L42" s="4"/>
      <c r="M42" s="4"/>
      <c r="N42" s="4"/>
      <c r="O42" s="4">
        <v>0</v>
      </c>
      <c r="P42" s="4"/>
      <c r="Q42" s="4"/>
      <c r="R42" s="4">
        <f t="shared" ref="R42:R50" si="9">SUM(E42:Q42)</f>
        <v>0</v>
      </c>
      <c r="S42" s="1">
        <v>40</v>
      </c>
    </row>
    <row r="43" spans="2:19" x14ac:dyDescent="0.3">
      <c r="C43">
        <v>551</v>
      </c>
      <c r="D43" t="s">
        <v>478</v>
      </c>
      <c r="E43" s="4">
        <v>0</v>
      </c>
      <c r="F43" s="4"/>
      <c r="G43" s="4">
        <v>0</v>
      </c>
      <c r="H43" s="4">
        <v>0</v>
      </c>
      <c r="I43" s="4">
        <v>0</v>
      </c>
      <c r="J43" s="4">
        <v>0</v>
      </c>
      <c r="K43" s="4"/>
      <c r="L43" s="4"/>
      <c r="M43" s="4"/>
      <c r="N43" s="4"/>
      <c r="O43" s="4">
        <v>0</v>
      </c>
      <c r="P43" s="4"/>
      <c r="Q43" s="4"/>
      <c r="R43" s="4">
        <f t="shared" si="9"/>
        <v>0</v>
      </c>
      <c r="S43">
        <v>41</v>
      </c>
    </row>
    <row r="44" spans="2:19" x14ac:dyDescent="0.3">
      <c r="C44">
        <v>552</v>
      </c>
      <c r="D44" t="s">
        <v>479</v>
      </c>
      <c r="E44" s="4">
        <v>0</v>
      </c>
      <c r="F44" s="4"/>
      <c r="G44" s="4">
        <v>0</v>
      </c>
      <c r="H44" s="4">
        <v>0</v>
      </c>
      <c r="I44" s="4">
        <v>0</v>
      </c>
      <c r="J44" s="4">
        <v>0</v>
      </c>
      <c r="K44" s="4"/>
      <c r="L44" s="4"/>
      <c r="M44" s="4"/>
      <c r="N44" s="4"/>
      <c r="O44" s="4">
        <v>0</v>
      </c>
      <c r="P44" s="4"/>
      <c r="Q44" s="4"/>
      <c r="R44" s="4">
        <f t="shared" si="9"/>
        <v>0</v>
      </c>
      <c r="S44">
        <v>42</v>
      </c>
    </row>
    <row r="45" spans="2:19" x14ac:dyDescent="0.3">
      <c r="C45">
        <v>553</v>
      </c>
      <c r="D45" t="s">
        <v>480</v>
      </c>
      <c r="E45" s="4">
        <v>0</v>
      </c>
      <c r="F45" s="4"/>
      <c r="G45" s="4">
        <v>0</v>
      </c>
      <c r="H45" s="4">
        <v>0</v>
      </c>
      <c r="I45" s="4">
        <v>0</v>
      </c>
      <c r="J45" s="4">
        <v>0</v>
      </c>
      <c r="K45" s="4"/>
      <c r="L45" s="4"/>
      <c r="M45" s="4"/>
      <c r="N45" s="4"/>
      <c r="O45" s="4">
        <v>0</v>
      </c>
      <c r="P45" s="4"/>
      <c r="Q45" s="4"/>
      <c r="R45" s="4">
        <f t="shared" si="9"/>
        <v>0</v>
      </c>
      <c r="S45" s="1">
        <v>43</v>
      </c>
    </row>
    <row r="46" spans="2:19" x14ac:dyDescent="0.3">
      <c r="C46">
        <v>554</v>
      </c>
      <c r="D46" t="s">
        <v>481</v>
      </c>
      <c r="E46" s="4">
        <v>0</v>
      </c>
      <c r="F46" s="4"/>
      <c r="G46" s="4">
        <v>0</v>
      </c>
      <c r="H46" s="4">
        <v>0</v>
      </c>
      <c r="I46" s="4">
        <v>0</v>
      </c>
      <c r="J46" s="4">
        <v>0</v>
      </c>
      <c r="K46" s="4"/>
      <c r="L46" s="4"/>
      <c r="M46" s="4"/>
      <c r="N46" s="4"/>
      <c r="O46" s="4">
        <v>0</v>
      </c>
      <c r="P46" s="4"/>
      <c r="Q46" s="4"/>
      <c r="R46" s="4">
        <f t="shared" si="9"/>
        <v>0</v>
      </c>
      <c r="S46">
        <v>44</v>
      </c>
    </row>
    <row r="47" spans="2:19" x14ac:dyDescent="0.3">
      <c r="C47">
        <v>555</v>
      </c>
      <c r="D47" t="s">
        <v>482</v>
      </c>
      <c r="E47" s="4">
        <v>0</v>
      </c>
      <c r="F47" s="4"/>
      <c r="G47" s="4">
        <v>0</v>
      </c>
      <c r="H47" s="4">
        <v>0</v>
      </c>
      <c r="I47" s="4">
        <v>0</v>
      </c>
      <c r="J47" s="4">
        <v>0</v>
      </c>
      <c r="K47" s="4"/>
      <c r="L47" s="4"/>
      <c r="M47" s="4"/>
      <c r="N47" s="4"/>
      <c r="O47" s="4">
        <v>0</v>
      </c>
      <c r="P47" s="4"/>
      <c r="Q47" s="4"/>
      <c r="R47" s="4">
        <f t="shared" si="9"/>
        <v>0</v>
      </c>
      <c r="S47">
        <v>45</v>
      </c>
    </row>
    <row r="48" spans="2:19" x14ac:dyDescent="0.3">
      <c r="C48">
        <v>556</v>
      </c>
      <c r="D48" t="s">
        <v>483</v>
      </c>
      <c r="E48" s="4">
        <v>0</v>
      </c>
      <c r="F48" s="4"/>
      <c r="G48" s="4">
        <v>0</v>
      </c>
      <c r="H48" s="4">
        <v>0</v>
      </c>
      <c r="I48" s="4">
        <v>0</v>
      </c>
      <c r="J48" s="4">
        <v>0</v>
      </c>
      <c r="K48" s="4"/>
      <c r="L48" s="4"/>
      <c r="M48" s="4"/>
      <c r="N48" s="4"/>
      <c r="O48" s="4">
        <v>0</v>
      </c>
      <c r="P48" s="4"/>
      <c r="Q48" s="4"/>
      <c r="R48" s="4">
        <f t="shared" si="9"/>
        <v>0</v>
      </c>
      <c r="S48" s="1">
        <v>46</v>
      </c>
    </row>
    <row r="49" spans="2:19" x14ac:dyDescent="0.3">
      <c r="C49">
        <v>557</v>
      </c>
      <c r="D49" t="s">
        <v>484</v>
      </c>
      <c r="E49" s="4">
        <v>0</v>
      </c>
      <c r="F49" s="4"/>
      <c r="G49" s="4">
        <v>0</v>
      </c>
      <c r="H49" s="4">
        <v>0</v>
      </c>
      <c r="I49" s="4">
        <v>0</v>
      </c>
      <c r="J49" s="4">
        <v>0</v>
      </c>
      <c r="K49" s="4"/>
      <c r="L49" s="4"/>
      <c r="M49" s="4"/>
      <c r="N49" s="4"/>
      <c r="O49" s="4">
        <v>0</v>
      </c>
      <c r="P49" s="4"/>
      <c r="Q49" s="4"/>
      <c r="R49" s="4">
        <f t="shared" si="9"/>
        <v>0</v>
      </c>
      <c r="S49">
        <v>47</v>
      </c>
    </row>
    <row r="50" spans="2:19" x14ac:dyDescent="0.3">
      <c r="C50">
        <v>558</v>
      </c>
      <c r="D50" t="s">
        <v>485</v>
      </c>
      <c r="E50" s="4">
        <v>0</v>
      </c>
      <c r="F50" s="4"/>
      <c r="G50" s="4">
        <v>0</v>
      </c>
      <c r="H50" s="4">
        <v>0</v>
      </c>
      <c r="I50" s="4">
        <v>0</v>
      </c>
      <c r="J50" s="4">
        <v>0</v>
      </c>
      <c r="K50" s="4"/>
      <c r="L50" s="4"/>
      <c r="M50" s="4"/>
      <c r="N50" s="4"/>
      <c r="O50" s="4">
        <v>0</v>
      </c>
      <c r="P50" s="4"/>
      <c r="Q50" s="4"/>
      <c r="R50" s="4">
        <f t="shared" si="9"/>
        <v>0</v>
      </c>
      <c r="S50">
        <v>48</v>
      </c>
    </row>
    <row r="51" spans="2:19" x14ac:dyDescent="0.3">
      <c r="E51" s="4"/>
      <c r="F51" s="4"/>
      <c r="G51" s="4"/>
      <c r="H51" s="4"/>
      <c r="I51" s="4"/>
      <c r="J51" s="4"/>
      <c r="K51" s="4"/>
      <c r="L51" s="4"/>
      <c r="M51" s="4"/>
      <c r="N51" s="4"/>
      <c r="O51" s="4"/>
      <c r="P51" s="4"/>
      <c r="Q51" s="4"/>
      <c r="R51" s="4"/>
      <c r="S51" s="1">
        <v>49</v>
      </c>
    </row>
    <row r="52" spans="2:19" x14ac:dyDescent="0.3">
      <c r="B52" s="69">
        <v>56</v>
      </c>
      <c r="C52" s="69"/>
      <c r="D52" s="69" t="s">
        <v>486</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3">
      <c r="C53">
        <v>560</v>
      </c>
      <c r="D53" t="s">
        <v>477</v>
      </c>
      <c r="E53" s="4">
        <v>0</v>
      </c>
      <c r="F53" s="4"/>
      <c r="G53" s="4">
        <v>0</v>
      </c>
      <c r="H53" s="4">
        <v>0</v>
      </c>
      <c r="I53" s="4">
        <v>0</v>
      </c>
      <c r="J53" s="4">
        <v>0</v>
      </c>
      <c r="K53" s="4"/>
      <c r="L53" s="4"/>
      <c r="M53" s="4"/>
      <c r="N53" s="4"/>
      <c r="O53" s="4">
        <v>0</v>
      </c>
      <c r="P53" s="4"/>
      <c r="Q53" s="4"/>
      <c r="R53" s="4">
        <f t="shared" ref="R53:R61" si="11">SUM(E53:Q53)</f>
        <v>0</v>
      </c>
      <c r="S53">
        <v>51</v>
      </c>
    </row>
    <row r="54" spans="2:19" x14ac:dyDescent="0.3">
      <c r="C54">
        <v>561</v>
      </c>
      <c r="D54" t="s">
        <v>478</v>
      </c>
      <c r="E54" s="4">
        <v>0</v>
      </c>
      <c r="F54" s="4"/>
      <c r="G54" s="4">
        <v>0</v>
      </c>
      <c r="H54" s="4">
        <v>0</v>
      </c>
      <c r="I54" s="4">
        <v>0</v>
      </c>
      <c r="J54" s="4">
        <v>0</v>
      </c>
      <c r="K54" s="4"/>
      <c r="L54" s="4"/>
      <c r="M54" s="4"/>
      <c r="N54" s="4"/>
      <c r="O54" s="4">
        <v>0</v>
      </c>
      <c r="P54" s="4"/>
      <c r="Q54" s="4"/>
      <c r="R54" s="4">
        <f t="shared" si="11"/>
        <v>0</v>
      </c>
      <c r="S54" s="1">
        <v>52</v>
      </c>
    </row>
    <row r="55" spans="2:19" x14ac:dyDescent="0.3">
      <c r="C55">
        <v>562</v>
      </c>
      <c r="D55" t="s">
        <v>479</v>
      </c>
      <c r="E55" s="4">
        <v>0</v>
      </c>
      <c r="F55" s="4"/>
      <c r="G55" s="4">
        <v>0</v>
      </c>
      <c r="H55" s="4">
        <v>0</v>
      </c>
      <c r="I55" s="4">
        <v>0</v>
      </c>
      <c r="J55" s="4">
        <v>0</v>
      </c>
      <c r="K55" s="4"/>
      <c r="L55" s="4"/>
      <c r="M55" s="4"/>
      <c r="N55" s="4"/>
      <c r="O55" s="4">
        <v>0</v>
      </c>
      <c r="P55" s="4"/>
      <c r="Q55" s="4"/>
      <c r="R55" s="4">
        <f t="shared" si="11"/>
        <v>0</v>
      </c>
      <c r="S55">
        <v>53</v>
      </c>
    </row>
    <row r="56" spans="2:19" x14ac:dyDescent="0.3">
      <c r="C56">
        <v>563</v>
      </c>
      <c r="D56" t="s">
        <v>480</v>
      </c>
      <c r="E56" s="4">
        <v>0</v>
      </c>
      <c r="F56" s="4"/>
      <c r="G56" s="4">
        <v>0</v>
      </c>
      <c r="H56" s="4">
        <v>0</v>
      </c>
      <c r="I56" s="4">
        <v>0</v>
      </c>
      <c r="J56" s="4">
        <v>0</v>
      </c>
      <c r="K56" s="4"/>
      <c r="L56" s="4"/>
      <c r="M56" s="4"/>
      <c r="N56" s="4"/>
      <c r="O56" s="4">
        <v>0</v>
      </c>
      <c r="P56" s="4"/>
      <c r="Q56" s="4"/>
      <c r="R56" s="4">
        <f t="shared" si="11"/>
        <v>0</v>
      </c>
      <c r="S56">
        <v>54</v>
      </c>
    </row>
    <row r="57" spans="2:19" x14ac:dyDescent="0.3">
      <c r="C57">
        <v>564</v>
      </c>
      <c r="D57" t="s">
        <v>481</v>
      </c>
      <c r="E57" s="4">
        <v>0</v>
      </c>
      <c r="F57" s="4"/>
      <c r="G57" s="4">
        <v>0</v>
      </c>
      <c r="H57" s="4">
        <v>0</v>
      </c>
      <c r="I57" s="4">
        <v>0</v>
      </c>
      <c r="J57" s="4">
        <v>0</v>
      </c>
      <c r="K57" s="4"/>
      <c r="L57" s="4"/>
      <c r="M57" s="4"/>
      <c r="N57" s="4"/>
      <c r="O57" s="4">
        <v>0</v>
      </c>
      <c r="P57" s="4"/>
      <c r="Q57" s="4"/>
      <c r="R57" s="4">
        <f t="shared" si="11"/>
        <v>0</v>
      </c>
      <c r="S57" s="1">
        <v>55</v>
      </c>
    </row>
    <row r="58" spans="2:19" x14ac:dyDescent="0.3">
      <c r="C58">
        <v>565</v>
      </c>
      <c r="D58" t="s">
        <v>482</v>
      </c>
      <c r="E58" s="4">
        <v>0</v>
      </c>
      <c r="F58" s="4"/>
      <c r="G58" s="4">
        <v>0</v>
      </c>
      <c r="H58" s="4">
        <v>0</v>
      </c>
      <c r="I58" s="4">
        <v>0</v>
      </c>
      <c r="J58" s="4">
        <v>0</v>
      </c>
      <c r="K58" s="4"/>
      <c r="L58" s="4"/>
      <c r="M58" s="4"/>
      <c r="N58" s="4"/>
      <c r="O58" s="4">
        <v>0</v>
      </c>
      <c r="P58" s="4"/>
      <c r="Q58" s="4"/>
      <c r="R58" s="4">
        <f t="shared" si="11"/>
        <v>0</v>
      </c>
      <c r="S58">
        <v>56</v>
      </c>
    </row>
    <row r="59" spans="2:19" x14ac:dyDescent="0.3">
      <c r="C59">
        <v>566</v>
      </c>
      <c r="D59" t="s">
        <v>483</v>
      </c>
      <c r="E59" s="4">
        <v>0</v>
      </c>
      <c r="F59" s="4"/>
      <c r="G59" s="4">
        <v>0</v>
      </c>
      <c r="H59" s="4">
        <v>0</v>
      </c>
      <c r="I59" s="4">
        <v>0</v>
      </c>
      <c r="J59" s="4">
        <v>0</v>
      </c>
      <c r="K59" s="4"/>
      <c r="L59" s="4"/>
      <c r="M59" s="4"/>
      <c r="N59" s="4"/>
      <c r="O59" s="4">
        <v>0</v>
      </c>
      <c r="P59" s="4"/>
      <c r="Q59" s="4"/>
      <c r="R59" s="4">
        <f t="shared" si="11"/>
        <v>0</v>
      </c>
      <c r="S59">
        <v>57</v>
      </c>
    </row>
    <row r="60" spans="2:19" x14ac:dyDescent="0.3">
      <c r="C60">
        <v>567</v>
      </c>
      <c r="D60" t="s">
        <v>484</v>
      </c>
      <c r="E60" s="4">
        <v>0</v>
      </c>
      <c r="F60" s="4"/>
      <c r="G60" s="4">
        <v>0</v>
      </c>
      <c r="H60" s="4">
        <v>0</v>
      </c>
      <c r="I60" s="4">
        <v>0</v>
      </c>
      <c r="J60" s="4">
        <v>0</v>
      </c>
      <c r="K60" s="4"/>
      <c r="L60" s="4"/>
      <c r="M60" s="4"/>
      <c r="N60" s="4"/>
      <c r="O60" s="4">
        <v>0</v>
      </c>
      <c r="P60" s="4"/>
      <c r="Q60" s="4"/>
      <c r="R60" s="4">
        <f t="shared" si="11"/>
        <v>0</v>
      </c>
      <c r="S60" s="1">
        <v>58</v>
      </c>
    </row>
    <row r="61" spans="2:19" x14ac:dyDescent="0.3">
      <c r="C61">
        <v>568</v>
      </c>
      <c r="D61" t="s">
        <v>485</v>
      </c>
      <c r="E61" s="4">
        <v>0</v>
      </c>
      <c r="F61" s="4"/>
      <c r="G61" s="4">
        <v>0</v>
      </c>
      <c r="H61" s="4">
        <v>0</v>
      </c>
      <c r="I61" s="4">
        <v>0</v>
      </c>
      <c r="J61" s="4">
        <v>0</v>
      </c>
      <c r="K61" s="4"/>
      <c r="L61" s="4"/>
      <c r="M61" s="4"/>
      <c r="N61" s="4"/>
      <c r="O61" s="4">
        <v>0</v>
      </c>
      <c r="P61" s="4"/>
      <c r="Q61" s="4"/>
      <c r="R61" s="4">
        <f t="shared" si="11"/>
        <v>0</v>
      </c>
      <c r="S61">
        <v>59</v>
      </c>
    </row>
    <row r="62" spans="2:19" x14ac:dyDescent="0.3">
      <c r="E62" s="4"/>
      <c r="F62" s="4"/>
      <c r="G62" s="4"/>
      <c r="H62" s="4"/>
      <c r="I62" s="4"/>
      <c r="J62" s="4"/>
      <c r="K62" s="4"/>
      <c r="L62" s="4"/>
      <c r="M62" s="4"/>
      <c r="N62" s="4"/>
      <c r="O62" s="4"/>
      <c r="P62" s="4"/>
      <c r="Q62" s="4"/>
      <c r="R62" s="4"/>
      <c r="S62">
        <v>60</v>
      </c>
    </row>
    <row r="63" spans="2:19" x14ac:dyDescent="0.3">
      <c r="B63" s="69">
        <v>57</v>
      </c>
      <c r="C63" s="69"/>
      <c r="D63" s="69" t="s">
        <v>487</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3">
      <c r="C64">
        <v>570</v>
      </c>
      <c r="D64" t="s">
        <v>477</v>
      </c>
      <c r="E64" s="4">
        <v>0</v>
      </c>
      <c r="F64" s="4"/>
      <c r="G64" s="4">
        <v>0</v>
      </c>
      <c r="H64" s="4">
        <v>0</v>
      </c>
      <c r="I64" s="4">
        <v>0</v>
      </c>
      <c r="J64" s="4">
        <v>0</v>
      </c>
      <c r="K64" s="4"/>
      <c r="L64" s="4"/>
      <c r="M64" s="4"/>
      <c r="N64" s="4"/>
      <c r="O64" s="4">
        <v>0</v>
      </c>
      <c r="P64" s="4"/>
      <c r="Q64" s="4"/>
      <c r="R64" s="4">
        <f t="shared" ref="R64:R72" si="13">SUM(E64:Q64)</f>
        <v>0</v>
      </c>
      <c r="S64">
        <v>62</v>
      </c>
    </row>
    <row r="65" spans="2:19" x14ac:dyDescent="0.3">
      <c r="C65">
        <v>571</v>
      </c>
      <c r="D65" t="s">
        <v>478</v>
      </c>
      <c r="E65" s="4">
        <v>0</v>
      </c>
      <c r="F65" s="4"/>
      <c r="G65" s="4">
        <v>0</v>
      </c>
      <c r="H65" s="4">
        <v>0</v>
      </c>
      <c r="I65" s="4">
        <v>0</v>
      </c>
      <c r="J65" s="4">
        <v>0</v>
      </c>
      <c r="K65" s="4"/>
      <c r="L65" s="4"/>
      <c r="M65" s="4"/>
      <c r="N65" s="4"/>
      <c r="O65" s="4">
        <v>0</v>
      </c>
      <c r="P65" s="4"/>
      <c r="Q65" s="4"/>
      <c r="R65" s="4">
        <f t="shared" si="13"/>
        <v>0</v>
      </c>
      <c r="S65">
        <v>63</v>
      </c>
    </row>
    <row r="66" spans="2:19" x14ac:dyDescent="0.3">
      <c r="C66">
        <v>572</v>
      </c>
      <c r="D66" t="s">
        <v>479</v>
      </c>
      <c r="E66" s="4">
        <v>0</v>
      </c>
      <c r="F66" s="4"/>
      <c r="G66" s="4">
        <v>0</v>
      </c>
      <c r="H66" s="4">
        <v>0</v>
      </c>
      <c r="I66" s="4">
        <v>0</v>
      </c>
      <c r="J66" s="4">
        <v>0</v>
      </c>
      <c r="K66" s="4"/>
      <c r="L66" s="4"/>
      <c r="M66" s="4"/>
      <c r="N66" s="4"/>
      <c r="O66" s="4">
        <v>0</v>
      </c>
      <c r="P66" s="4"/>
      <c r="Q66" s="4"/>
      <c r="R66" s="4">
        <f t="shared" si="13"/>
        <v>0</v>
      </c>
      <c r="S66" s="1">
        <v>64</v>
      </c>
    </row>
    <row r="67" spans="2:19" x14ac:dyDescent="0.3">
      <c r="C67">
        <v>573</v>
      </c>
      <c r="D67" t="s">
        <v>480</v>
      </c>
      <c r="E67" s="4">
        <v>0</v>
      </c>
      <c r="F67" s="4"/>
      <c r="G67" s="4">
        <v>0</v>
      </c>
      <c r="H67" s="4">
        <v>0</v>
      </c>
      <c r="I67" s="4">
        <v>0</v>
      </c>
      <c r="J67" s="4">
        <v>0</v>
      </c>
      <c r="K67" s="4"/>
      <c r="L67" s="4"/>
      <c r="M67" s="4"/>
      <c r="N67" s="4"/>
      <c r="O67" s="4">
        <v>0</v>
      </c>
      <c r="P67" s="4"/>
      <c r="Q67" s="4"/>
      <c r="R67" s="4">
        <f t="shared" si="13"/>
        <v>0</v>
      </c>
      <c r="S67">
        <v>65</v>
      </c>
    </row>
    <row r="68" spans="2:19" x14ac:dyDescent="0.3">
      <c r="C68">
        <v>574</v>
      </c>
      <c r="D68" t="s">
        <v>481</v>
      </c>
      <c r="E68" s="4">
        <v>0</v>
      </c>
      <c r="F68" s="4"/>
      <c r="G68" s="4">
        <v>0</v>
      </c>
      <c r="H68" s="4">
        <v>0</v>
      </c>
      <c r="I68" s="4">
        <v>0</v>
      </c>
      <c r="J68" s="4">
        <v>0</v>
      </c>
      <c r="K68" s="4"/>
      <c r="L68" s="4"/>
      <c r="M68" s="4"/>
      <c r="N68" s="4"/>
      <c r="O68" s="4">
        <v>0</v>
      </c>
      <c r="P68" s="4"/>
      <c r="Q68" s="4"/>
      <c r="R68" s="4">
        <f t="shared" si="13"/>
        <v>0</v>
      </c>
      <c r="S68">
        <v>66</v>
      </c>
    </row>
    <row r="69" spans="2:19" x14ac:dyDescent="0.3">
      <c r="C69">
        <v>575</v>
      </c>
      <c r="D69" t="s">
        <v>482</v>
      </c>
      <c r="E69" s="4">
        <v>0</v>
      </c>
      <c r="F69" s="4"/>
      <c r="G69" s="4">
        <v>0</v>
      </c>
      <c r="H69" s="4">
        <v>0</v>
      </c>
      <c r="I69" s="4">
        <v>0</v>
      </c>
      <c r="J69" s="4">
        <v>0</v>
      </c>
      <c r="K69" s="4"/>
      <c r="L69" s="4"/>
      <c r="M69" s="4"/>
      <c r="N69" s="4"/>
      <c r="O69" s="4">
        <v>0</v>
      </c>
      <c r="P69" s="4"/>
      <c r="Q69" s="4"/>
      <c r="R69" s="4">
        <f t="shared" si="13"/>
        <v>0</v>
      </c>
      <c r="S69" s="1">
        <v>67</v>
      </c>
    </row>
    <row r="70" spans="2:19" x14ac:dyDescent="0.3">
      <c r="C70">
        <v>576</v>
      </c>
      <c r="D70" t="s">
        <v>483</v>
      </c>
      <c r="E70" s="4">
        <v>0</v>
      </c>
      <c r="F70" s="4"/>
      <c r="G70" s="4">
        <v>0</v>
      </c>
      <c r="H70" s="4">
        <v>0</v>
      </c>
      <c r="I70" s="4">
        <v>0</v>
      </c>
      <c r="J70" s="4">
        <v>0</v>
      </c>
      <c r="K70" s="4"/>
      <c r="L70" s="4"/>
      <c r="M70" s="4"/>
      <c r="N70" s="4"/>
      <c r="O70" s="4">
        <v>0</v>
      </c>
      <c r="P70" s="4"/>
      <c r="Q70" s="4"/>
      <c r="R70" s="4">
        <f t="shared" si="13"/>
        <v>0</v>
      </c>
      <c r="S70">
        <v>68</v>
      </c>
    </row>
    <row r="71" spans="2:19" x14ac:dyDescent="0.3">
      <c r="C71">
        <v>577</v>
      </c>
      <c r="D71" t="s">
        <v>484</v>
      </c>
      <c r="E71" s="4">
        <v>0</v>
      </c>
      <c r="F71" s="4"/>
      <c r="G71" s="4">
        <v>0</v>
      </c>
      <c r="H71" s="4">
        <v>0</v>
      </c>
      <c r="I71" s="4">
        <v>0</v>
      </c>
      <c r="J71" s="4">
        <v>0</v>
      </c>
      <c r="K71" s="4"/>
      <c r="L71" s="4"/>
      <c r="M71" s="4"/>
      <c r="N71" s="4"/>
      <c r="O71" s="4">
        <v>0</v>
      </c>
      <c r="P71" s="4"/>
      <c r="Q71" s="4"/>
      <c r="R71" s="4">
        <f t="shared" si="13"/>
        <v>0</v>
      </c>
      <c r="S71">
        <v>69</v>
      </c>
    </row>
    <row r="72" spans="2:19" x14ac:dyDescent="0.3">
      <c r="C72">
        <v>578</v>
      </c>
      <c r="D72" t="s">
        <v>485</v>
      </c>
      <c r="E72" s="4">
        <v>0</v>
      </c>
      <c r="F72" s="4"/>
      <c r="G72" s="4">
        <v>0</v>
      </c>
      <c r="H72" s="4">
        <v>0</v>
      </c>
      <c r="I72" s="4">
        <v>0</v>
      </c>
      <c r="J72" s="4">
        <v>0</v>
      </c>
      <c r="K72" s="4"/>
      <c r="L72" s="4"/>
      <c r="M72" s="4"/>
      <c r="N72" s="4"/>
      <c r="O72" s="4">
        <v>0</v>
      </c>
      <c r="P72" s="4"/>
      <c r="Q72" s="4"/>
      <c r="R72" s="4">
        <f t="shared" si="13"/>
        <v>0</v>
      </c>
      <c r="S72" s="1">
        <v>70</v>
      </c>
    </row>
    <row r="73" spans="2:19" x14ac:dyDescent="0.3">
      <c r="E73" s="4"/>
      <c r="F73" s="4"/>
      <c r="G73" s="4"/>
      <c r="H73" s="4"/>
      <c r="I73" s="4"/>
      <c r="J73" s="4"/>
      <c r="K73" s="4"/>
      <c r="L73" s="4"/>
      <c r="M73" s="4"/>
      <c r="N73" s="4"/>
      <c r="O73" s="4"/>
      <c r="P73" s="4"/>
      <c r="Q73" s="4"/>
      <c r="R73" s="4"/>
      <c r="S73">
        <v>71</v>
      </c>
    </row>
    <row r="74" spans="2:19" x14ac:dyDescent="0.3">
      <c r="B74" s="69">
        <v>58</v>
      </c>
      <c r="C74" s="69"/>
      <c r="D74" s="69" t="s">
        <v>488</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3">
      <c r="C75">
        <v>580</v>
      </c>
      <c r="D75" t="s">
        <v>465</v>
      </c>
      <c r="E75" s="4">
        <v>0</v>
      </c>
      <c r="F75" s="4"/>
      <c r="G75" s="4">
        <v>0</v>
      </c>
      <c r="H75" s="4">
        <v>0</v>
      </c>
      <c r="I75" s="4">
        <v>0</v>
      </c>
      <c r="J75" s="4">
        <v>0</v>
      </c>
      <c r="K75" s="4"/>
      <c r="L75" s="4"/>
      <c r="M75" s="4"/>
      <c r="N75" s="4"/>
      <c r="O75" s="4">
        <v>0</v>
      </c>
      <c r="P75" s="4"/>
      <c r="Q75" s="4"/>
      <c r="R75" s="4">
        <f t="shared" ref="R75:R80" si="15">SUM(E75:Q75)</f>
        <v>0</v>
      </c>
      <c r="S75" s="1">
        <v>73</v>
      </c>
    </row>
    <row r="76" spans="2:19" x14ac:dyDescent="0.3">
      <c r="C76">
        <v>582</v>
      </c>
      <c r="D76" t="s">
        <v>475</v>
      </c>
      <c r="E76" s="4">
        <v>0</v>
      </c>
      <c r="F76" s="4"/>
      <c r="G76" s="4">
        <v>0</v>
      </c>
      <c r="H76" s="4">
        <v>0</v>
      </c>
      <c r="I76" s="4">
        <v>0</v>
      </c>
      <c r="J76" s="4">
        <v>0</v>
      </c>
      <c r="K76" s="4"/>
      <c r="L76" s="4"/>
      <c r="M76" s="4"/>
      <c r="N76" s="4"/>
      <c r="O76" s="4">
        <v>0</v>
      </c>
      <c r="P76" s="4"/>
      <c r="Q76" s="4"/>
      <c r="R76" s="4">
        <f t="shared" si="15"/>
        <v>0</v>
      </c>
      <c r="S76">
        <v>74</v>
      </c>
    </row>
    <row r="77" spans="2:19" x14ac:dyDescent="0.3">
      <c r="C77">
        <v>584</v>
      </c>
      <c r="D77" t="s">
        <v>257</v>
      </c>
      <c r="E77" s="4">
        <v>0</v>
      </c>
      <c r="F77" s="4"/>
      <c r="G77" s="4">
        <v>0</v>
      </c>
      <c r="H77" s="4">
        <v>0</v>
      </c>
      <c r="I77" s="4">
        <v>0</v>
      </c>
      <c r="J77" s="4">
        <v>0</v>
      </c>
      <c r="K77" s="4"/>
      <c r="L77" s="4"/>
      <c r="M77" s="4"/>
      <c r="N77" s="4"/>
      <c r="O77" s="4">
        <v>0</v>
      </c>
      <c r="P77" s="4"/>
      <c r="Q77" s="4"/>
      <c r="R77" s="4">
        <f t="shared" si="15"/>
        <v>0</v>
      </c>
      <c r="S77">
        <v>75</v>
      </c>
    </row>
    <row r="78" spans="2:19" x14ac:dyDescent="0.3">
      <c r="C78">
        <v>585</v>
      </c>
      <c r="D78" t="s">
        <v>388</v>
      </c>
      <c r="E78" s="4">
        <v>0</v>
      </c>
      <c r="F78" s="4"/>
      <c r="G78" s="4">
        <v>0</v>
      </c>
      <c r="H78" s="4">
        <v>0</v>
      </c>
      <c r="I78" s="4">
        <v>0</v>
      </c>
      <c r="J78" s="4">
        <v>0</v>
      </c>
      <c r="K78" s="4"/>
      <c r="L78" s="4"/>
      <c r="M78" s="4"/>
      <c r="N78" s="4"/>
      <c r="O78" s="4">
        <v>0</v>
      </c>
      <c r="P78" s="4"/>
      <c r="Q78" s="4"/>
      <c r="R78" s="4">
        <f t="shared" si="15"/>
        <v>0</v>
      </c>
      <c r="S78" s="1">
        <v>76</v>
      </c>
    </row>
    <row r="79" spans="2:19" x14ac:dyDescent="0.3">
      <c r="C79">
        <v>586</v>
      </c>
      <c r="D79" t="s">
        <v>489</v>
      </c>
      <c r="E79" s="4">
        <v>0</v>
      </c>
      <c r="F79" s="4"/>
      <c r="G79" s="4">
        <v>0</v>
      </c>
      <c r="H79" s="4">
        <v>0</v>
      </c>
      <c r="I79" s="4">
        <v>0</v>
      </c>
      <c r="J79" s="4">
        <v>0</v>
      </c>
      <c r="K79" s="4"/>
      <c r="L79" s="4"/>
      <c r="M79" s="4"/>
      <c r="N79" s="4"/>
      <c r="O79" s="4">
        <v>0</v>
      </c>
      <c r="P79" s="4"/>
      <c r="Q79" s="4"/>
      <c r="R79" s="4">
        <f t="shared" si="15"/>
        <v>0</v>
      </c>
      <c r="S79">
        <v>77</v>
      </c>
    </row>
    <row r="80" spans="2:19" x14ac:dyDescent="0.3">
      <c r="C80">
        <v>589</v>
      </c>
      <c r="D80" t="s">
        <v>490</v>
      </c>
      <c r="E80" s="4">
        <v>0</v>
      </c>
      <c r="F80" s="4"/>
      <c r="G80" s="4">
        <v>0</v>
      </c>
      <c r="H80" s="4">
        <v>0</v>
      </c>
      <c r="I80" s="4">
        <v>0</v>
      </c>
      <c r="J80" s="4">
        <v>0</v>
      </c>
      <c r="K80" s="4"/>
      <c r="L80" s="4"/>
      <c r="M80" s="4"/>
      <c r="N80" s="4"/>
      <c r="O80" s="4">
        <v>0</v>
      </c>
      <c r="P80" s="4"/>
      <c r="Q80" s="4"/>
      <c r="R80" s="4">
        <f t="shared" si="15"/>
        <v>0</v>
      </c>
      <c r="S80">
        <v>78</v>
      </c>
    </row>
    <row r="81" spans="1:19" x14ac:dyDescent="0.3">
      <c r="E81" s="4"/>
      <c r="F81" s="4"/>
      <c r="G81" s="4"/>
      <c r="H81" s="4"/>
      <c r="I81" s="4"/>
      <c r="J81" s="4"/>
      <c r="K81" s="4"/>
      <c r="L81" s="4"/>
      <c r="M81" s="4"/>
      <c r="N81" s="4"/>
      <c r="O81" s="4"/>
      <c r="P81" s="4"/>
      <c r="Q81" s="4"/>
      <c r="R81" s="4"/>
      <c r="S81" s="1">
        <v>79</v>
      </c>
    </row>
    <row r="82" spans="1:19" x14ac:dyDescent="0.3">
      <c r="B82" s="69">
        <v>59</v>
      </c>
      <c r="C82" s="69"/>
      <c r="D82" s="69" t="s">
        <v>491</v>
      </c>
      <c r="E82" s="70">
        <f>E83</f>
        <v>0</v>
      </c>
      <c r="F82" s="70">
        <f t="shared" ref="F82:R82" si="16">F83</f>
        <v>0</v>
      </c>
      <c r="G82" s="70">
        <f t="shared" si="16"/>
        <v>0</v>
      </c>
      <c r="H82" s="70">
        <f t="shared" si="16"/>
        <v>0</v>
      </c>
      <c r="I82" s="70">
        <f t="shared" si="16"/>
        <v>0</v>
      </c>
      <c r="J82" s="70">
        <f t="shared" si="16"/>
        <v>91128</v>
      </c>
      <c r="K82" s="70">
        <f t="shared" si="16"/>
        <v>0</v>
      </c>
      <c r="L82" s="70">
        <f t="shared" si="16"/>
        <v>0</v>
      </c>
      <c r="M82" s="70">
        <f t="shared" si="16"/>
        <v>0</v>
      </c>
      <c r="N82" s="70">
        <f t="shared" si="16"/>
        <v>0</v>
      </c>
      <c r="O82" s="70">
        <f t="shared" si="16"/>
        <v>0</v>
      </c>
      <c r="P82" s="70">
        <f t="shared" si="16"/>
        <v>0</v>
      </c>
      <c r="Q82" s="70">
        <f t="shared" si="16"/>
        <v>0</v>
      </c>
      <c r="R82" s="70">
        <f t="shared" si="16"/>
        <v>91128</v>
      </c>
      <c r="S82">
        <v>80</v>
      </c>
    </row>
    <row r="83" spans="1:19" x14ac:dyDescent="0.3">
      <c r="C83">
        <v>590</v>
      </c>
      <c r="D83" t="s">
        <v>491</v>
      </c>
      <c r="E83" s="4">
        <v>0</v>
      </c>
      <c r="F83" s="4"/>
      <c r="G83" s="4">
        <v>0</v>
      </c>
      <c r="H83" s="4">
        <v>0</v>
      </c>
      <c r="I83" s="4">
        <v>0</v>
      </c>
      <c r="J83" s="4">
        <v>91128</v>
      </c>
      <c r="K83" s="4"/>
      <c r="L83" s="4"/>
      <c r="M83" s="4"/>
      <c r="N83" s="4"/>
      <c r="O83" s="4">
        <v>0</v>
      </c>
      <c r="P83" s="4"/>
      <c r="Q83" s="4"/>
      <c r="R83" s="4">
        <f>SUM(E83:Q83)</f>
        <v>91128</v>
      </c>
      <c r="S83">
        <v>81</v>
      </c>
    </row>
    <row r="84" spans="1:19" x14ac:dyDescent="0.3">
      <c r="E84" s="4"/>
      <c r="F84" s="4"/>
      <c r="G84" s="4"/>
      <c r="H84" s="4"/>
      <c r="I84" s="4"/>
      <c r="J84" s="4"/>
      <c r="K84" s="4"/>
      <c r="L84" s="4"/>
      <c r="M84" s="4"/>
      <c r="N84" s="4"/>
      <c r="O84" s="4"/>
      <c r="P84" s="4"/>
      <c r="Q84" s="4"/>
      <c r="R84" s="4"/>
      <c r="S84" s="1">
        <v>82</v>
      </c>
    </row>
    <row r="85" spans="1:19" x14ac:dyDescent="0.3">
      <c r="E85" s="4"/>
      <c r="F85" s="4"/>
      <c r="G85" s="4"/>
      <c r="H85" s="4"/>
      <c r="I85" s="4"/>
      <c r="J85" s="4"/>
      <c r="K85" s="4"/>
      <c r="L85" s="4"/>
      <c r="M85" s="4"/>
      <c r="N85" s="4"/>
      <c r="O85" s="4"/>
      <c r="P85" s="4"/>
      <c r="Q85" s="4"/>
      <c r="R85" s="4"/>
      <c r="S85">
        <v>83</v>
      </c>
    </row>
    <row r="86" spans="1:19" x14ac:dyDescent="0.3">
      <c r="E86" s="4"/>
      <c r="F86" s="4"/>
      <c r="G86" s="4"/>
      <c r="H86" s="4"/>
      <c r="I86" s="4"/>
      <c r="J86" s="4"/>
      <c r="K86" s="4"/>
      <c r="L86" s="4"/>
      <c r="M86" s="4"/>
      <c r="N86" s="4"/>
      <c r="O86" s="4"/>
      <c r="P86" s="4"/>
      <c r="Q86" s="4"/>
      <c r="R86" s="4"/>
      <c r="S86">
        <v>84</v>
      </c>
    </row>
    <row r="87" spans="1:19" ht="21" x14ac:dyDescent="0.4">
      <c r="A87" s="104">
        <v>6</v>
      </c>
      <c r="B87" s="104"/>
      <c r="C87" s="104"/>
      <c r="D87" s="104" t="s">
        <v>492</v>
      </c>
      <c r="E87" s="95">
        <f>E88+E98+E108+E113+E124+E135+E146+E157+E168</f>
        <v>0</v>
      </c>
      <c r="F87" s="95">
        <f t="shared" ref="F87:R87" si="17">F88+F98+F108+F113+F124+F135+F146+F157+F168</f>
        <v>0</v>
      </c>
      <c r="G87" s="95">
        <f t="shared" si="17"/>
        <v>0</v>
      </c>
      <c r="H87" s="95">
        <f t="shared" si="17"/>
        <v>0</v>
      </c>
      <c r="I87" s="95">
        <f t="shared" si="17"/>
        <v>0</v>
      </c>
      <c r="J87" s="95">
        <f t="shared" si="17"/>
        <v>91128</v>
      </c>
      <c r="K87" s="95">
        <f t="shared" si="17"/>
        <v>0</v>
      </c>
      <c r="L87" s="95">
        <f t="shared" si="17"/>
        <v>0</v>
      </c>
      <c r="M87" s="95">
        <f t="shared" si="17"/>
        <v>0</v>
      </c>
      <c r="N87" s="95">
        <f t="shared" si="17"/>
        <v>0</v>
      </c>
      <c r="O87" s="95">
        <f t="shared" si="17"/>
        <v>0</v>
      </c>
      <c r="P87" s="95">
        <f t="shared" si="17"/>
        <v>0</v>
      </c>
      <c r="Q87" s="95">
        <f t="shared" si="17"/>
        <v>0</v>
      </c>
      <c r="R87" s="95">
        <f t="shared" si="17"/>
        <v>91128</v>
      </c>
      <c r="S87" s="1">
        <v>85</v>
      </c>
    </row>
    <row r="88" spans="1:19" x14ac:dyDescent="0.3">
      <c r="A88" s="7"/>
      <c r="B88" s="105">
        <v>60</v>
      </c>
      <c r="C88" s="105"/>
      <c r="D88" s="105" t="s">
        <v>493</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3">
      <c r="C89">
        <v>600</v>
      </c>
      <c r="D89" t="s">
        <v>467</v>
      </c>
      <c r="E89" s="4">
        <v>0</v>
      </c>
      <c r="F89" s="4"/>
      <c r="G89" s="4">
        <v>0</v>
      </c>
      <c r="H89" s="4">
        <v>0</v>
      </c>
      <c r="I89" s="4">
        <v>0</v>
      </c>
      <c r="J89" s="4">
        <v>0</v>
      </c>
      <c r="K89" s="4"/>
      <c r="L89" s="4"/>
      <c r="M89" s="4"/>
      <c r="N89" s="4"/>
      <c r="O89" s="4">
        <v>0</v>
      </c>
      <c r="P89" s="4"/>
      <c r="Q89" s="4"/>
      <c r="R89" s="4">
        <f t="shared" ref="R89:R96" si="19">SUM(E89:Q89)</f>
        <v>0</v>
      </c>
      <c r="S89">
        <v>87</v>
      </c>
    </row>
    <row r="90" spans="1:19" x14ac:dyDescent="0.3">
      <c r="C90">
        <v>601</v>
      </c>
      <c r="D90" t="s">
        <v>468</v>
      </c>
      <c r="E90" s="4">
        <v>0</v>
      </c>
      <c r="F90" s="4"/>
      <c r="G90" s="4">
        <v>0</v>
      </c>
      <c r="H90" s="4">
        <v>0</v>
      </c>
      <c r="I90" s="4">
        <v>0</v>
      </c>
      <c r="J90" s="4">
        <v>0</v>
      </c>
      <c r="K90" s="4"/>
      <c r="L90" s="4"/>
      <c r="M90" s="4"/>
      <c r="N90" s="4"/>
      <c r="O90" s="4">
        <v>0</v>
      </c>
      <c r="P90" s="4"/>
      <c r="Q90" s="4"/>
      <c r="R90" s="4">
        <f t="shared" si="19"/>
        <v>0</v>
      </c>
      <c r="S90" s="1">
        <v>88</v>
      </c>
    </row>
    <row r="91" spans="1:19" x14ac:dyDescent="0.3">
      <c r="C91">
        <v>602</v>
      </c>
      <c r="D91" t="s">
        <v>469</v>
      </c>
      <c r="E91" s="4">
        <v>0</v>
      </c>
      <c r="F91" s="4"/>
      <c r="G91" s="4">
        <v>0</v>
      </c>
      <c r="H91" s="4">
        <v>0</v>
      </c>
      <c r="I91" s="4">
        <v>0</v>
      </c>
      <c r="J91" s="4">
        <v>0</v>
      </c>
      <c r="K91" s="4"/>
      <c r="L91" s="4"/>
      <c r="M91" s="4"/>
      <c r="N91" s="4"/>
      <c r="O91" s="4">
        <v>0</v>
      </c>
      <c r="P91" s="4"/>
      <c r="Q91" s="4"/>
      <c r="R91" s="4">
        <f t="shared" si="19"/>
        <v>0</v>
      </c>
      <c r="S91">
        <v>89</v>
      </c>
    </row>
    <row r="92" spans="1:19" x14ac:dyDescent="0.3">
      <c r="C92">
        <v>603</v>
      </c>
      <c r="D92" t="s">
        <v>470</v>
      </c>
      <c r="E92" s="4">
        <v>0</v>
      </c>
      <c r="F92" s="4"/>
      <c r="G92" s="4">
        <v>0</v>
      </c>
      <c r="H92" s="4">
        <v>0</v>
      </c>
      <c r="I92" s="4">
        <v>0</v>
      </c>
      <c r="J92" s="4">
        <v>0</v>
      </c>
      <c r="K92" s="4"/>
      <c r="L92" s="4"/>
      <c r="M92" s="4"/>
      <c r="N92" s="4"/>
      <c r="O92" s="4">
        <v>0</v>
      </c>
      <c r="P92" s="4"/>
      <c r="Q92" s="4"/>
      <c r="R92" s="4">
        <f t="shared" si="19"/>
        <v>0</v>
      </c>
      <c r="S92">
        <v>90</v>
      </c>
    </row>
    <row r="93" spans="1:19" x14ac:dyDescent="0.3">
      <c r="C93">
        <v>604</v>
      </c>
      <c r="D93" t="s">
        <v>471</v>
      </c>
      <c r="E93" s="4">
        <v>0</v>
      </c>
      <c r="F93" s="4"/>
      <c r="G93" s="4">
        <v>0</v>
      </c>
      <c r="H93" s="4">
        <v>0</v>
      </c>
      <c r="I93" s="4">
        <v>0</v>
      </c>
      <c r="J93" s="4">
        <v>0</v>
      </c>
      <c r="K93" s="4"/>
      <c r="L93" s="4"/>
      <c r="M93" s="4"/>
      <c r="N93" s="4"/>
      <c r="O93" s="4">
        <v>0</v>
      </c>
      <c r="P93" s="4"/>
      <c r="Q93" s="4"/>
      <c r="R93" s="4">
        <f t="shared" si="19"/>
        <v>0</v>
      </c>
      <c r="S93" s="1">
        <v>91</v>
      </c>
    </row>
    <row r="94" spans="1:19" x14ac:dyDescent="0.3">
      <c r="C94">
        <v>605</v>
      </c>
      <c r="D94" t="s">
        <v>472</v>
      </c>
      <c r="E94" s="4">
        <v>0</v>
      </c>
      <c r="F94" s="4"/>
      <c r="G94" s="4">
        <v>0</v>
      </c>
      <c r="H94" s="4">
        <v>0</v>
      </c>
      <c r="I94" s="4">
        <v>0</v>
      </c>
      <c r="J94" s="4">
        <v>0</v>
      </c>
      <c r="K94" s="4"/>
      <c r="L94" s="4"/>
      <c r="M94" s="4"/>
      <c r="N94" s="4"/>
      <c r="O94" s="4">
        <v>0</v>
      </c>
      <c r="P94" s="4"/>
      <c r="Q94" s="4"/>
      <c r="R94" s="4">
        <f t="shared" si="19"/>
        <v>0</v>
      </c>
      <c r="S94">
        <v>92</v>
      </c>
    </row>
    <row r="95" spans="1:19" x14ac:dyDescent="0.3">
      <c r="C95">
        <v>606</v>
      </c>
      <c r="D95" t="s">
        <v>473</v>
      </c>
      <c r="E95" s="4">
        <v>0</v>
      </c>
      <c r="F95" s="4"/>
      <c r="G95" s="4">
        <v>0</v>
      </c>
      <c r="H95" s="4">
        <v>0</v>
      </c>
      <c r="I95" s="4">
        <v>0</v>
      </c>
      <c r="J95" s="4">
        <v>0</v>
      </c>
      <c r="K95" s="4"/>
      <c r="L95" s="4"/>
      <c r="M95" s="4"/>
      <c r="N95" s="4"/>
      <c r="O95" s="4">
        <v>0</v>
      </c>
      <c r="P95" s="4"/>
      <c r="Q95" s="4"/>
      <c r="R95" s="4">
        <f t="shared" si="19"/>
        <v>0</v>
      </c>
      <c r="S95">
        <v>93</v>
      </c>
    </row>
    <row r="96" spans="1:19" x14ac:dyDescent="0.3">
      <c r="C96">
        <v>609</v>
      </c>
      <c r="D96" t="s">
        <v>474</v>
      </c>
      <c r="E96" s="4">
        <v>0</v>
      </c>
      <c r="F96" s="4"/>
      <c r="G96" s="4">
        <v>0</v>
      </c>
      <c r="H96" s="4">
        <v>0</v>
      </c>
      <c r="I96" s="4">
        <v>0</v>
      </c>
      <c r="J96" s="4">
        <v>0</v>
      </c>
      <c r="K96" s="4"/>
      <c r="L96" s="4"/>
      <c r="M96" s="4"/>
      <c r="N96" s="4"/>
      <c r="O96" s="4">
        <v>0</v>
      </c>
      <c r="P96" s="4"/>
      <c r="Q96" s="4"/>
      <c r="R96" s="4">
        <f t="shared" si="19"/>
        <v>0</v>
      </c>
      <c r="S96" s="1">
        <v>94</v>
      </c>
    </row>
    <row r="97" spans="2:19" x14ac:dyDescent="0.3">
      <c r="E97" s="4"/>
      <c r="F97" s="4"/>
      <c r="G97" s="4"/>
      <c r="H97" s="4"/>
      <c r="I97" s="4"/>
      <c r="J97" s="4"/>
      <c r="K97" s="4"/>
      <c r="L97" s="4"/>
      <c r="M97" s="4"/>
      <c r="N97" s="4"/>
      <c r="O97" s="4"/>
      <c r="P97" s="4"/>
      <c r="Q97" s="4"/>
      <c r="R97" s="4"/>
      <c r="S97">
        <v>95</v>
      </c>
    </row>
    <row r="98" spans="2:19" x14ac:dyDescent="0.3">
      <c r="B98" s="105">
        <v>61</v>
      </c>
      <c r="C98" s="105"/>
      <c r="D98" s="105" t="s">
        <v>494</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3">
      <c r="C99">
        <v>610</v>
      </c>
      <c r="D99" t="s">
        <v>467</v>
      </c>
      <c r="E99" s="4">
        <v>0</v>
      </c>
      <c r="F99" s="4"/>
      <c r="G99" s="4">
        <v>0</v>
      </c>
      <c r="H99" s="4">
        <v>0</v>
      </c>
      <c r="I99" s="4">
        <v>0</v>
      </c>
      <c r="J99" s="4">
        <v>0</v>
      </c>
      <c r="K99" s="4"/>
      <c r="L99" s="4"/>
      <c r="M99" s="4"/>
      <c r="N99" s="4"/>
      <c r="O99" s="4">
        <v>0</v>
      </c>
      <c r="P99" s="4"/>
      <c r="Q99" s="4"/>
      <c r="R99" s="4">
        <f t="shared" ref="R99:R106" si="21">SUM(E99:Q99)</f>
        <v>0</v>
      </c>
      <c r="S99" s="1">
        <v>97</v>
      </c>
    </row>
    <row r="100" spans="2:19" x14ac:dyDescent="0.3">
      <c r="C100">
        <v>611</v>
      </c>
      <c r="D100" t="s">
        <v>468</v>
      </c>
      <c r="E100" s="4">
        <v>0</v>
      </c>
      <c r="F100" s="4"/>
      <c r="G100" s="4">
        <v>0</v>
      </c>
      <c r="H100" s="4">
        <v>0</v>
      </c>
      <c r="I100" s="4">
        <v>0</v>
      </c>
      <c r="J100" s="4">
        <v>0</v>
      </c>
      <c r="K100" s="4"/>
      <c r="L100" s="4"/>
      <c r="M100" s="4"/>
      <c r="N100" s="4"/>
      <c r="O100" s="4">
        <v>0</v>
      </c>
      <c r="P100" s="4"/>
      <c r="Q100" s="4"/>
      <c r="R100" s="4">
        <f t="shared" si="21"/>
        <v>0</v>
      </c>
      <c r="S100">
        <v>98</v>
      </c>
    </row>
    <row r="101" spans="2:19" x14ac:dyDescent="0.3">
      <c r="C101">
        <v>612</v>
      </c>
      <c r="D101" t="s">
        <v>469</v>
      </c>
      <c r="E101" s="4">
        <v>0</v>
      </c>
      <c r="F101" s="4"/>
      <c r="G101" s="4">
        <v>0</v>
      </c>
      <c r="H101" s="4">
        <v>0</v>
      </c>
      <c r="I101" s="4">
        <v>0</v>
      </c>
      <c r="J101" s="4">
        <v>0</v>
      </c>
      <c r="K101" s="4"/>
      <c r="L101" s="4"/>
      <c r="M101" s="4"/>
      <c r="N101" s="4"/>
      <c r="O101" s="4">
        <v>0</v>
      </c>
      <c r="P101" s="4"/>
      <c r="Q101" s="4"/>
      <c r="R101" s="4">
        <f t="shared" si="21"/>
        <v>0</v>
      </c>
      <c r="S101">
        <v>99</v>
      </c>
    </row>
    <row r="102" spans="2:19" x14ac:dyDescent="0.3">
      <c r="C102">
        <v>613</v>
      </c>
      <c r="D102" t="s">
        <v>470</v>
      </c>
      <c r="E102" s="4">
        <v>0</v>
      </c>
      <c r="F102" s="4"/>
      <c r="G102" s="4">
        <v>0</v>
      </c>
      <c r="H102" s="4">
        <v>0</v>
      </c>
      <c r="I102" s="4">
        <v>0</v>
      </c>
      <c r="J102" s="4">
        <v>0</v>
      </c>
      <c r="K102" s="4"/>
      <c r="L102" s="4"/>
      <c r="M102" s="4"/>
      <c r="N102" s="4"/>
      <c r="O102" s="4">
        <v>0</v>
      </c>
      <c r="P102" s="4"/>
      <c r="Q102" s="4"/>
      <c r="R102" s="4">
        <f t="shared" si="21"/>
        <v>0</v>
      </c>
      <c r="S102" s="1">
        <v>100</v>
      </c>
    </row>
    <row r="103" spans="2:19" x14ac:dyDescent="0.3">
      <c r="C103">
        <v>614</v>
      </c>
      <c r="D103" t="s">
        <v>471</v>
      </c>
      <c r="E103" s="4">
        <v>0</v>
      </c>
      <c r="F103" s="4"/>
      <c r="G103" s="4">
        <v>0</v>
      </c>
      <c r="H103" s="4">
        <v>0</v>
      </c>
      <c r="I103" s="4">
        <v>0</v>
      </c>
      <c r="J103" s="4">
        <v>0</v>
      </c>
      <c r="K103" s="4"/>
      <c r="L103" s="4"/>
      <c r="M103" s="4"/>
      <c r="N103" s="4"/>
      <c r="O103" s="4">
        <v>0</v>
      </c>
      <c r="P103" s="4"/>
      <c r="Q103" s="4"/>
      <c r="R103" s="4">
        <f t="shared" si="21"/>
        <v>0</v>
      </c>
      <c r="S103">
        <v>101</v>
      </c>
    </row>
    <row r="104" spans="2:19" x14ac:dyDescent="0.3">
      <c r="C104">
        <v>615</v>
      </c>
      <c r="D104" t="s">
        <v>472</v>
      </c>
      <c r="E104" s="4">
        <v>0</v>
      </c>
      <c r="F104" s="4"/>
      <c r="G104" s="4">
        <v>0</v>
      </c>
      <c r="H104" s="4">
        <v>0</v>
      </c>
      <c r="I104" s="4">
        <v>0</v>
      </c>
      <c r="J104" s="4">
        <v>0</v>
      </c>
      <c r="K104" s="4"/>
      <c r="L104" s="4"/>
      <c r="M104" s="4"/>
      <c r="N104" s="4"/>
      <c r="O104" s="4">
        <v>0</v>
      </c>
      <c r="P104" s="4"/>
      <c r="Q104" s="4"/>
      <c r="R104" s="4">
        <f t="shared" si="21"/>
        <v>0</v>
      </c>
      <c r="S104">
        <v>102</v>
      </c>
    </row>
    <row r="105" spans="2:19" x14ac:dyDescent="0.3">
      <c r="C105">
        <v>616</v>
      </c>
      <c r="D105" t="s">
        <v>473</v>
      </c>
      <c r="E105" s="4">
        <v>0</v>
      </c>
      <c r="F105" s="4"/>
      <c r="G105" s="4">
        <v>0</v>
      </c>
      <c r="H105" s="4">
        <v>0</v>
      </c>
      <c r="I105" s="4">
        <v>0</v>
      </c>
      <c r="J105" s="4">
        <v>0</v>
      </c>
      <c r="K105" s="4"/>
      <c r="L105" s="4"/>
      <c r="M105" s="4"/>
      <c r="N105" s="4"/>
      <c r="O105" s="4">
        <v>0</v>
      </c>
      <c r="P105" s="4"/>
      <c r="Q105" s="4"/>
      <c r="R105" s="4">
        <f t="shared" si="21"/>
        <v>0</v>
      </c>
      <c r="S105" s="1">
        <v>103</v>
      </c>
    </row>
    <row r="106" spans="2:19" x14ac:dyDescent="0.3">
      <c r="C106">
        <v>619</v>
      </c>
      <c r="D106" t="s">
        <v>474</v>
      </c>
      <c r="E106" s="4">
        <v>0</v>
      </c>
      <c r="F106" s="4"/>
      <c r="G106" s="4">
        <v>0</v>
      </c>
      <c r="H106" s="4">
        <v>0</v>
      </c>
      <c r="I106" s="4">
        <v>0</v>
      </c>
      <c r="J106" s="4">
        <v>0</v>
      </c>
      <c r="K106" s="4"/>
      <c r="L106" s="4"/>
      <c r="M106" s="4"/>
      <c r="N106" s="4"/>
      <c r="O106" s="4">
        <v>0</v>
      </c>
      <c r="P106" s="4"/>
      <c r="Q106" s="4"/>
      <c r="R106" s="4">
        <f t="shared" si="21"/>
        <v>0</v>
      </c>
      <c r="S106">
        <v>104</v>
      </c>
    </row>
    <row r="107" spans="2:19" x14ac:dyDescent="0.3">
      <c r="E107" s="4"/>
      <c r="F107" s="4"/>
      <c r="G107" s="4"/>
      <c r="H107" s="4"/>
      <c r="I107" s="4"/>
      <c r="J107" s="4"/>
      <c r="K107" s="4"/>
      <c r="L107" s="4"/>
      <c r="M107" s="4"/>
      <c r="N107" s="4"/>
      <c r="O107" s="4"/>
      <c r="P107" s="4"/>
      <c r="Q107" s="4"/>
      <c r="R107" s="4"/>
      <c r="S107">
        <v>105</v>
      </c>
    </row>
    <row r="108" spans="2:19" x14ac:dyDescent="0.3">
      <c r="B108" s="105">
        <v>62</v>
      </c>
      <c r="C108" s="105"/>
      <c r="D108" s="105" t="s">
        <v>495</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3">
      <c r="C109">
        <v>620</v>
      </c>
      <c r="D109" t="s">
        <v>375</v>
      </c>
      <c r="E109" s="4">
        <v>0</v>
      </c>
      <c r="F109" s="4"/>
      <c r="G109" s="4">
        <v>0</v>
      </c>
      <c r="H109" s="4">
        <v>0</v>
      </c>
      <c r="I109" s="4">
        <v>0</v>
      </c>
      <c r="J109" s="4">
        <v>0</v>
      </c>
      <c r="K109" s="4"/>
      <c r="L109" s="4"/>
      <c r="M109" s="4"/>
      <c r="N109" s="4"/>
      <c r="O109" s="4">
        <v>0</v>
      </c>
      <c r="P109" s="4"/>
      <c r="Q109" s="4"/>
      <c r="R109" s="4">
        <f>SUM(E109:Q109)</f>
        <v>0</v>
      </c>
      <c r="S109">
        <v>107</v>
      </c>
    </row>
    <row r="110" spans="2:19" x14ac:dyDescent="0.3">
      <c r="C110">
        <v>621</v>
      </c>
      <c r="D110" t="s">
        <v>376</v>
      </c>
      <c r="E110" s="4">
        <v>0</v>
      </c>
      <c r="F110" s="4"/>
      <c r="G110" s="4">
        <v>0</v>
      </c>
      <c r="H110" s="4">
        <v>0</v>
      </c>
      <c r="I110" s="4">
        <v>0</v>
      </c>
      <c r="J110" s="4">
        <v>0</v>
      </c>
      <c r="K110" s="4"/>
      <c r="L110" s="4"/>
      <c r="M110" s="4"/>
      <c r="N110" s="4"/>
      <c r="O110" s="4">
        <v>0</v>
      </c>
      <c r="P110" s="4"/>
      <c r="Q110" s="4"/>
      <c r="R110" s="4">
        <f>SUM(E110:Q110)</f>
        <v>0</v>
      </c>
      <c r="S110">
        <v>108</v>
      </c>
    </row>
    <row r="111" spans="2:19" x14ac:dyDescent="0.3">
      <c r="C111">
        <v>629</v>
      </c>
      <c r="D111" t="s">
        <v>476</v>
      </c>
      <c r="E111" s="4">
        <v>0</v>
      </c>
      <c r="F111" s="4"/>
      <c r="G111" s="4">
        <v>0</v>
      </c>
      <c r="H111" s="4">
        <v>0</v>
      </c>
      <c r="I111" s="4">
        <v>0</v>
      </c>
      <c r="J111" s="4">
        <v>0</v>
      </c>
      <c r="K111" s="4"/>
      <c r="L111" s="4"/>
      <c r="M111" s="4"/>
      <c r="N111" s="4"/>
      <c r="O111" s="4">
        <v>0</v>
      </c>
      <c r="P111" s="4"/>
      <c r="Q111" s="4"/>
      <c r="R111" s="4">
        <f>SUM(E111:Q111)</f>
        <v>0</v>
      </c>
      <c r="S111" s="1">
        <v>109</v>
      </c>
    </row>
    <row r="112" spans="2:19" x14ac:dyDescent="0.3">
      <c r="E112" s="4"/>
      <c r="F112" s="4"/>
      <c r="G112" s="4"/>
      <c r="H112" s="4"/>
      <c r="I112" s="4"/>
      <c r="J112" s="4"/>
      <c r="K112" s="4"/>
      <c r="L112" s="4"/>
      <c r="M112" s="4"/>
      <c r="N112" s="4"/>
      <c r="O112" s="4"/>
      <c r="P112" s="4"/>
      <c r="Q112" s="4"/>
      <c r="R112" s="4"/>
      <c r="S112">
        <v>110</v>
      </c>
    </row>
    <row r="113" spans="2:19" x14ac:dyDescent="0.3">
      <c r="B113" s="105">
        <v>63</v>
      </c>
      <c r="C113" s="105"/>
      <c r="D113" s="105" t="s">
        <v>763</v>
      </c>
      <c r="E113" s="103">
        <f>E114+E115+E116+E117+E118+E119+E120+E121+E122</f>
        <v>0</v>
      </c>
      <c r="F113" s="103">
        <f t="shared" ref="F113:R113" si="23">F114+F115+F116+F117+F118+F119+F120+F121+F122</f>
        <v>0</v>
      </c>
      <c r="G113" s="103">
        <f t="shared" si="23"/>
        <v>0</v>
      </c>
      <c r="H113" s="103">
        <f t="shared" si="23"/>
        <v>0</v>
      </c>
      <c r="I113" s="103">
        <f t="shared" si="23"/>
        <v>0</v>
      </c>
      <c r="J113" s="103">
        <f t="shared" si="23"/>
        <v>91128</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91128</v>
      </c>
      <c r="S113">
        <v>111</v>
      </c>
    </row>
    <row r="114" spans="2:19" x14ac:dyDescent="0.3">
      <c r="C114">
        <v>630</v>
      </c>
      <c r="D114" t="s">
        <v>477</v>
      </c>
      <c r="E114" s="4">
        <v>0</v>
      </c>
      <c r="F114" s="4"/>
      <c r="G114" s="4">
        <v>0</v>
      </c>
      <c r="H114" s="4">
        <v>0</v>
      </c>
      <c r="I114" s="4">
        <v>0</v>
      </c>
      <c r="J114" s="4">
        <v>0</v>
      </c>
      <c r="K114" s="4"/>
      <c r="L114" s="4"/>
      <c r="M114" s="4"/>
      <c r="N114" s="4"/>
      <c r="O114" s="4">
        <v>0</v>
      </c>
      <c r="P114" s="4"/>
      <c r="Q114" s="4"/>
      <c r="R114" s="4">
        <f t="shared" ref="R114:R122" si="24">SUM(E114:Q114)</f>
        <v>0</v>
      </c>
      <c r="S114" s="1">
        <v>112</v>
      </c>
    </row>
    <row r="115" spans="2:19" x14ac:dyDescent="0.3">
      <c r="C115">
        <v>631</v>
      </c>
      <c r="D115" t="s">
        <v>478</v>
      </c>
      <c r="E115" s="4">
        <v>0</v>
      </c>
      <c r="F115" s="4"/>
      <c r="G115" s="4">
        <v>0</v>
      </c>
      <c r="H115" s="4">
        <v>0</v>
      </c>
      <c r="I115" s="4">
        <v>0</v>
      </c>
      <c r="J115" s="4">
        <v>91128</v>
      </c>
      <c r="K115" s="4"/>
      <c r="L115" s="4"/>
      <c r="M115" s="4"/>
      <c r="N115" s="4"/>
      <c r="O115" s="4">
        <v>0</v>
      </c>
      <c r="P115" s="4"/>
      <c r="Q115" s="4"/>
      <c r="R115" s="4">
        <f t="shared" si="24"/>
        <v>91128</v>
      </c>
      <c r="S115">
        <v>113</v>
      </c>
    </row>
    <row r="116" spans="2:19" x14ac:dyDescent="0.3">
      <c r="C116">
        <v>632</v>
      </c>
      <c r="D116" t="s">
        <v>479</v>
      </c>
      <c r="E116" s="4">
        <v>0</v>
      </c>
      <c r="F116" s="4"/>
      <c r="G116" s="4">
        <v>0</v>
      </c>
      <c r="H116" s="4">
        <v>0</v>
      </c>
      <c r="I116" s="4">
        <v>0</v>
      </c>
      <c r="J116" s="4">
        <v>0</v>
      </c>
      <c r="K116" s="4"/>
      <c r="L116" s="4"/>
      <c r="M116" s="4"/>
      <c r="N116" s="4"/>
      <c r="O116" s="4">
        <v>0</v>
      </c>
      <c r="P116" s="4"/>
      <c r="Q116" s="4"/>
      <c r="R116" s="4">
        <f t="shared" si="24"/>
        <v>0</v>
      </c>
      <c r="S116">
        <v>114</v>
      </c>
    </row>
    <row r="117" spans="2:19" x14ac:dyDescent="0.3">
      <c r="C117">
        <v>633</v>
      </c>
      <c r="D117" t="s">
        <v>480</v>
      </c>
      <c r="E117" s="4">
        <v>0</v>
      </c>
      <c r="F117" s="4"/>
      <c r="G117" s="4">
        <v>0</v>
      </c>
      <c r="H117" s="4">
        <v>0</v>
      </c>
      <c r="I117" s="4">
        <v>0</v>
      </c>
      <c r="J117" s="4">
        <v>0</v>
      </c>
      <c r="K117" s="4"/>
      <c r="L117" s="4"/>
      <c r="M117" s="4"/>
      <c r="N117" s="4"/>
      <c r="O117" s="4">
        <v>0</v>
      </c>
      <c r="P117" s="4"/>
      <c r="Q117" s="4"/>
      <c r="R117" s="4">
        <f t="shared" si="24"/>
        <v>0</v>
      </c>
      <c r="S117" s="1">
        <v>115</v>
      </c>
    </row>
    <row r="118" spans="2:19" x14ac:dyDescent="0.3">
      <c r="C118">
        <v>634</v>
      </c>
      <c r="D118" t="s">
        <v>481</v>
      </c>
      <c r="E118" s="4">
        <v>0</v>
      </c>
      <c r="F118" s="4"/>
      <c r="G118" s="4">
        <v>0</v>
      </c>
      <c r="H118" s="4">
        <v>0</v>
      </c>
      <c r="I118" s="4">
        <v>0</v>
      </c>
      <c r="J118" s="4">
        <v>0</v>
      </c>
      <c r="K118" s="4"/>
      <c r="L118" s="4"/>
      <c r="M118" s="4"/>
      <c r="N118" s="4"/>
      <c r="O118" s="4">
        <v>0</v>
      </c>
      <c r="P118" s="4"/>
      <c r="Q118" s="4"/>
      <c r="R118" s="4">
        <f t="shared" si="24"/>
        <v>0</v>
      </c>
      <c r="S118">
        <v>116</v>
      </c>
    </row>
    <row r="119" spans="2:19" x14ac:dyDescent="0.3">
      <c r="C119">
        <v>635</v>
      </c>
      <c r="D119" t="s">
        <v>482</v>
      </c>
      <c r="E119" s="4">
        <v>0</v>
      </c>
      <c r="F119" s="4"/>
      <c r="G119" s="4">
        <v>0</v>
      </c>
      <c r="H119" s="4">
        <v>0</v>
      </c>
      <c r="I119" s="4">
        <v>0</v>
      </c>
      <c r="J119" s="4">
        <v>0</v>
      </c>
      <c r="K119" s="4"/>
      <c r="L119" s="4"/>
      <c r="M119" s="4"/>
      <c r="N119" s="4"/>
      <c r="O119" s="4">
        <v>0</v>
      </c>
      <c r="P119" s="4"/>
      <c r="Q119" s="4"/>
      <c r="R119" s="4">
        <f t="shared" si="24"/>
        <v>0</v>
      </c>
      <c r="S119">
        <v>117</v>
      </c>
    </row>
    <row r="120" spans="2:19" x14ac:dyDescent="0.3">
      <c r="C120">
        <v>636</v>
      </c>
      <c r="D120" t="s">
        <v>483</v>
      </c>
      <c r="E120" s="4">
        <v>0</v>
      </c>
      <c r="F120" s="4"/>
      <c r="G120" s="4">
        <v>0</v>
      </c>
      <c r="H120" s="4">
        <v>0</v>
      </c>
      <c r="I120" s="4">
        <v>0</v>
      </c>
      <c r="J120" s="4">
        <v>0</v>
      </c>
      <c r="K120" s="4"/>
      <c r="L120" s="4"/>
      <c r="M120" s="4"/>
      <c r="N120" s="4"/>
      <c r="O120" s="4">
        <v>0</v>
      </c>
      <c r="P120" s="4"/>
      <c r="Q120" s="4"/>
      <c r="R120" s="4">
        <f t="shared" si="24"/>
        <v>0</v>
      </c>
      <c r="S120" s="1">
        <v>118</v>
      </c>
    </row>
    <row r="121" spans="2:19" x14ac:dyDescent="0.3">
      <c r="C121">
        <v>637</v>
      </c>
      <c r="D121" t="s">
        <v>484</v>
      </c>
      <c r="E121" s="4">
        <v>0</v>
      </c>
      <c r="F121" s="4"/>
      <c r="G121" s="4">
        <v>0</v>
      </c>
      <c r="H121" s="4">
        <v>0</v>
      </c>
      <c r="I121" s="4">
        <v>0</v>
      </c>
      <c r="J121" s="4">
        <v>0</v>
      </c>
      <c r="K121" s="4"/>
      <c r="L121" s="4"/>
      <c r="M121" s="4"/>
      <c r="N121" s="4"/>
      <c r="O121" s="4">
        <v>0</v>
      </c>
      <c r="P121" s="4"/>
      <c r="Q121" s="4"/>
      <c r="R121" s="4">
        <f t="shared" si="24"/>
        <v>0</v>
      </c>
      <c r="S121">
        <v>119</v>
      </c>
    </row>
    <row r="122" spans="2:19" x14ac:dyDescent="0.3">
      <c r="C122">
        <v>638</v>
      </c>
      <c r="D122" t="s">
        <v>485</v>
      </c>
      <c r="E122" s="4">
        <v>0</v>
      </c>
      <c r="F122" s="4"/>
      <c r="G122" s="4">
        <v>0</v>
      </c>
      <c r="H122" s="4">
        <v>0</v>
      </c>
      <c r="I122" s="4">
        <v>0</v>
      </c>
      <c r="J122" s="4">
        <v>0</v>
      </c>
      <c r="K122" s="4"/>
      <c r="L122" s="4"/>
      <c r="M122" s="4"/>
      <c r="N122" s="4"/>
      <c r="O122" s="4">
        <v>0</v>
      </c>
      <c r="P122" s="4"/>
      <c r="Q122" s="4"/>
      <c r="R122" s="4">
        <f t="shared" si="24"/>
        <v>0</v>
      </c>
      <c r="S122">
        <v>120</v>
      </c>
    </row>
    <row r="123" spans="2:19" x14ac:dyDescent="0.3">
      <c r="E123" s="4"/>
      <c r="F123" s="4"/>
      <c r="G123" s="4"/>
      <c r="H123" s="4"/>
      <c r="I123" s="4"/>
      <c r="J123" s="4"/>
      <c r="K123" s="4"/>
      <c r="L123" s="4"/>
      <c r="M123" s="4"/>
      <c r="N123" s="4"/>
      <c r="O123" s="4"/>
      <c r="P123" s="4"/>
      <c r="Q123" s="4"/>
      <c r="R123" s="4"/>
      <c r="S123" s="1">
        <v>121</v>
      </c>
    </row>
    <row r="124" spans="2:19" x14ac:dyDescent="0.3">
      <c r="B124" s="105">
        <v>64</v>
      </c>
      <c r="C124" s="105"/>
      <c r="D124" s="105" t="s">
        <v>497</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3">
      <c r="C125">
        <v>640</v>
      </c>
      <c r="D125" t="s">
        <v>477</v>
      </c>
      <c r="E125" s="4">
        <v>0</v>
      </c>
      <c r="F125" s="4"/>
      <c r="G125" s="4">
        <v>0</v>
      </c>
      <c r="H125" s="4">
        <v>0</v>
      </c>
      <c r="I125" s="4">
        <v>0</v>
      </c>
      <c r="J125" s="4">
        <v>0</v>
      </c>
      <c r="K125" s="4"/>
      <c r="L125" s="4"/>
      <c r="M125" s="4"/>
      <c r="N125" s="4"/>
      <c r="O125" s="4">
        <v>0</v>
      </c>
      <c r="P125" s="4"/>
      <c r="Q125" s="4"/>
      <c r="R125" s="4">
        <f t="shared" ref="R125:R133" si="26">SUM(E125:Q125)</f>
        <v>0</v>
      </c>
      <c r="S125">
        <v>123</v>
      </c>
    </row>
    <row r="126" spans="2:19" x14ac:dyDescent="0.3">
      <c r="C126">
        <v>641</v>
      </c>
      <c r="D126" t="s">
        <v>478</v>
      </c>
      <c r="E126" s="4">
        <v>0</v>
      </c>
      <c r="F126" s="4"/>
      <c r="G126" s="4">
        <v>0</v>
      </c>
      <c r="H126" s="4">
        <v>0</v>
      </c>
      <c r="I126" s="4">
        <v>0</v>
      </c>
      <c r="J126" s="4">
        <v>0</v>
      </c>
      <c r="K126" s="4"/>
      <c r="L126" s="4"/>
      <c r="M126" s="4"/>
      <c r="N126" s="4"/>
      <c r="O126" s="4">
        <v>0</v>
      </c>
      <c r="P126" s="4"/>
      <c r="Q126" s="4"/>
      <c r="R126" s="4">
        <f t="shared" si="26"/>
        <v>0</v>
      </c>
      <c r="S126" s="1">
        <v>124</v>
      </c>
    </row>
    <row r="127" spans="2:19" x14ac:dyDescent="0.3">
      <c r="C127">
        <v>642</v>
      </c>
      <c r="D127" t="s">
        <v>479</v>
      </c>
      <c r="E127" s="4">
        <v>0</v>
      </c>
      <c r="F127" s="4"/>
      <c r="G127" s="4">
        <v>0</v>
      </c>
      <c r="H127" s="4">
        <v>0</v>
      </c>
      <c r="I127" s="4">
        <v>0</v>
      </c>
      <c r="J127" s="4">
        <v>0</v>
      </c>
      <c r="K127" s="4"/>
      <c r="L127" s="4"/>
      <c r="M127" s="4"/>
      <c r="N127" s="4"/>
      <c r="O127" s="4">
        <v>0</v>
      </c>
      <c r="P127" s="4"/>
      <c r="Q127" s="4"/>
      <c r="R127" s="4">
        <f t="shared" si="26"/>
        <v>0</v>
      </c>
      <c r="S127">
        <v>125</v>
      </c>
    </row>
    <row r="128" spans="2:19" x14ac:dyDescent="0.3">
      <c r="C128">
        <v>643</v>
      </c>
      <c r="D128" t="s">
        <v>480</v>
      </c>
      <c r="E128" s="4">
        <v>0</v>
      </c>
      <c r="F128" s="4"/>
      <c r="G128" s="4">
        <v>0</v>
      </c>
      <c r="H128" s="4">
        <v>0</v>
      </c>
      <c r="I128" s="4">
        <v>0</v>
      </c>
      <c r="J128" s="4">
        <v>0</v>
      </c>
      <c r="K128" s="4"/>
      <c r="L128" s="4"/>
      <c r="M128" s="4"/>
      <c r="N128" s="4"/>
      <c r="O128" s="4">
        <v>0</v>
      </c>
      <c r="P128" s="4"/>
      <c r="Q128" s="4"/>
      <c r="R128" s="4">
        <f t="shared" si="26"/>
        <v>0</v>
      </c>
      <c r="S128">
        <v>126</v>
      </c>
    </row>
    <row r="129" spans="2:19" x14ac:dyDescent="0.3">
      <c r="C129">
        <v>644</v>
      </c>
      <c r="D129" t="s">
        <v>481</v>
      </c>
      <c r="E129" s="4">
        <v>0</v>
      </c>
      <c r="F129" s="4"/>
      <c r="G129" s="4">
        <v>0</v>
      </c>
      <c r="H129" s="4">
        <v>0</v>
      </c>
      <c r="I129" s="4">
        <v>0</v>
      </c>
      <c r="J129" s="4">
        <v>0</v>
      </c>
      <c r="K129" s="4"/>
      <c r="L129" s="4"/>
      <c r="M129" s="4"/>
      <c r="N129" s="4"/>
      <c r="O129" s="4">
        <v>0</v>
      </c>
      <c r="P129" s="4"/>
      <c r="Q129" s="4"/>
      <c r="R129" s="4">
        <f t="shared" si="26"/>
        <v>0</v>
      </c>
      <c r="S129" s="1">
        <v>127</v>
      </c>
    </row>
    <row r="130" spans="2:19" x14ac:dyDescent="0.3">
      <c r="C130">
        <v>645</v>
      </c>
      <c r="D130" t="s">
        <v>482</v>
      </c>
      <c r="E130" s="4">
        <v>0</v>
      </c>
      <c r="F130" s="4"/>
      <c r="G130" s="4">
        <v>0</v>
      </c>
      <c r="H130" s="4">
        <v>0</v>
      </c>
      <c r="I130" s="4">
        <v>0</v>
      </c>
      <c r="J130" s="4">
        <v>0</v>
      </c>
      <c r="K130" s="4"/>
      <c r="L130" s="4"/>
      <c r="M130" s="4"/>
      <c r="N130" s="4"/>
      <c r="O130" s="4">
        <v>0</v>
      </c>
      <c r="P130" s="4"/>
      <c r="Q130" s="4"/>
      <c r="R130" s="4">
        <f t="shared" si="26"/>
        <v>0</v>
      </c>
      <c r="S130">
        <v>128</v>
      </c>
    </row>
    <row r="131" spans="2:19" x14ac:dyDescent="0.3">
      <c r="C131">
        <v>646</v>
      </c>
      <c r="D131" t="s">
        <v>483</v>
      </c>
      <c r="E131" s="4">
        <v>0</v>
      </c>
      <c r="F131" s="4"/>
      <c r="G131" s="4">
        <v>0</v>
      </c>
      <c r="H131" s="4">
        <v>0</v>
      </c>
      <c r="I131" s="4">
        <v>0</v>
      </c>
      <c r="J131" s="4">
        <v>0</v>
      </c>
      <c r="K131" s="4"/>
      <c r="L131" s="4"/>
      <c r="M131" s="4"/>
      <c r="N131" s="4"/>
      <c r="O131" s="4">
        <v>0</v>
      </c>
      <c r="P131" s="4"/>
      <c r="Q131" s="4"/>
      <c r="R131" s="4">
        <f t="shared" si="26"/>
        <v>0</v>
      </c>
      <c r="S131">
        <v>129</v>
      </c>
    </row>
    <row r="132" spans="2:19" x14ac:dyDescent="0.3">
      <c r="C132">
        <v>647</v>
      </c>
      <c r="D132" t="s">
        <v>484</v>
      </c>
      <c r="E132" s="4">
        <v>0</v>
      </c>
      <c r="F132" s="4"/>
      <c r="G132" s="4">
        <v>0</v>
      </c>
      <c r="H132" s="4">
        <v>0</v>
      </c>
      <c r="I132" s="4">
        <v>0</v>
      </c>
      <c r="J132" s="4">
        <v>0</v>
      </c>
      <c r="K132" s="4"/>
      <c r="L132" s="4"/>
      <c r="M132" s="4"/>
      <c r="N132" s="4"/>
      <c r="O132" s="4">
        <v>0</v>
      </c>
      <c r="P132" s="4"/>
      <c r="Q132" s="4"/>
      <c r="R132" s="4">
        <f t="shared" si="26"/>
        <v>0</v>
      </c>
      <c r="S132" s="1">
        <v>130</v>
      </c>
    </row>
    <row r="133" spans="2:19" x14ac:dyDescent="0.3">
      <c r="C133">
        <v>648</v>
      </c>
      <c r="D133" t="s">
        <v>485</v>
      </c>
      <c r="E133" s="4">
        <v>0</v>
      </c>
      <c r="F133" s="4"/>
      <c r="G133" s="4">
        <v>0</v>
      </c>
      <c r="H133" s="4">
        <v>0</v>
      </c>
      <c r="I133" s="4">
        <v>0</v>
      </c>
      <c r="J133" s="4">
        <v>0</v>
      </c>
      <c r="K133" s="4"/>
      <c r="L133" s="4"/>
      <c r="M133" s="4"/>
      <c r="N133" s="4"/>
      <c r="O133" s="4">
        <v>0</v>
      </c>
      <c r="P133" s="4"/>
      <c r="Q133" s="4"/>
      <c r="R133" s="4">
        <f t="shared" si="26"/>
        <v>0</v>
      </c>
      <c r="S133">
        <v>131</v>
      </c>
    </row>
    <row r="134" spans="2:19" x14ac:dyDescent="0.3">
      <c r="E134" s="4"/>
      <c r="F134" s="4"/>
      <c r="G134" s="4"/>
      <c r="H134" s="4"/>
      <c r="I134" s="4"/>
      <c r="J134" s="4"/>
      <c r="K134" s="4"/>
      <c r="L134" s="4"/>
      <c r="M134" s="4"/>
      <c r="N134" s="4"/>
      <c r="O134" s="4"/>
      <c r="P134" s="4"/>
      <c r="Q134" s="4"/>
      <c r="R134" s="4"/>
      <c r="S134">
        <v>132</v>
      </c>
    </row>
    <row r="135" spans="2:19" x14ac:dyDescent="0.3">
      <c r="B135" s="105">
        <v>65</v>
      </c>
      <c r="C135" s="105"/>
      <c r="D135" s="105" t="s">
        <v>498</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3">
      <c r="C136">
        <v>650</v>
      </c>
      <c r="D136" t="s">
        <v>477</v>
      </c>
      <c r="E136" s="4">
        <v>0</v>
      </c>
      <c r="F136" s="4"/>
      <c r="G136" s="4">
        <v>0</v>
      </c>
      <c r="H136" s="4">
        <v>0</v>
      </c>
      <c r="I136" s="4">
        <v>0</v>
      </c>
      <c r="J136" s="4">
        <v>0</v>
      </c>
      <c r="K136" s="4"/>
      <c r="L136" s="4"/>
      <c r="M136" s="4"/>
      <c r="N136" s="4"/>
      <c r="O136" s="4">
        <v>0</v>
      </c>
      <c r="P136" s="4"/>
      <c r="Q136" s="4"/>
      <c r="R136" s="4">
        <f t="shared" ref="R136:R144" si="28">SUM(E136:Q136)</f>
        <v>0</v>
      </c>
      <c r="S136">
        <v>134</v>
      </c>
    </row>
    <row r="137" spans="2:19" x14ac:dyDescent="0.3">
      <c r="C137">
        <v>651</v>
      </c>
      <c r="D137" t="s">
        <v>478</v>
      </c>
      <c r="E137" s="4">
        <v>0</v>
      </c>
      <c r="F137" s="4"/>
      <c r="G137" s="4">
        <v>0</v>
      </c>
      <c r="H137" s="4">
        <v>0</v>
      </c>
      <c r="I137" s="4">
        <v>0</v>
      </c>
      <c r="J137" s="4">
        <v>0</v>
      </c>
      <c r="K137" s="4"/>
      <c r="L137" s="4"/>
      <c r="M137" s="4"/>
      <c r="N137" s="4"/>
      <c r="O137" s="4">
        <v>0</v>
      </c>
      <c r="P137" s="4"/>
      <c r="Q137" s="4"/>
      <c r="R137" s="4">
        <f t="shared" si="28"/>
        <v>0</v>
      </c>
      <c r="S137">
        <v>135</v>
      </c>
    </row>
    <row r="138" spans="2:19" x14ac:dyDescent="0.3">
      <c r="C138">
        <v>652</v>
      </c>
      <c r="D138" t="s">
        <v>479</v>
      </c>
      <c r="E138" s="4">
        <v>0</v>
      </c>
      <c r="F138" s="4"/>
      <c r="G138" s="4">
        <v>0</v>
      </c>
      <c r="H138" s="4">
        <v>0</v>
      </c>
      <c r="I138" s="4">
        <v>0</v>
      </c>
      <c r="J138" s="4">
        <v>0</v>
      </c>
      <c r="K138" s="4"/>
      <c r="L138" s="4"/>
      <c r="M138" s="4"/>
      <c r="N138" s="4"/>
      <c r="O138" s="4">
        <v>0</v>
      </c>
      <c r="P138" s="4"/>
      <c r="Q138" s="4"/>
      <c r="R138" s="4">
        <f t="shared" si="28"/>
        <v>0</v>
      </c>
      <c r="S138" s="1">
        <v>136</v>
      </c>
    </row>
    <row r="139" spans="2:19" x14ac:dyDescent="0.3">
      <c r="C139">
        <v>653</v>
      </c>
      <c r="D139" t="s">
        <v>480</v>
      </c>
      <c r="E139" s="4">
        <v>0</v>
      </c>
      <c r="F139" s="4"/>
      <c r="G139" s="4">
        <v>0</v>
      </c>
      <c r="H139" s="4">
        <v>0</v>
      </c>
      <c r="I139" s="4">
        <v>0</v>
      </c>
      <c r="J139" s="4">
        <v>0</v>
      </c>
      <c r="K139" s="4"/>
      <c r="L139" s="4"/>
      <c r="M139" s="4"/>
      <c r="N139" s="4"/>
      <c r="O139" s="4">
        <v>0</v>
      </c>
      <c r="P139" s="4"/>
      <c r="Q139" s="4"/>
      <c r="R139" s="4">
        <f t="shared" si="28"/>
        <v>0</v>
      </c>
      <c r="S139">
        <v>137</v>
      </c>
    </row>
    <row r="140" spans="2:19" x14ac:dyDescent="0.3">
      <c r="C140">
        <v>654</v>
      </c>
      <c r="D140" t="s">
        <v>481</v>
      </c>
      <c r="E140" s="4">
        <v>0</v>
      </c>
      <c r="F140" s="4"/>
      <c r="G140" s="4">
        <v>0</v>
      </c>
      <c r="H140" s="4">
        <v>0</v>
      </c>
      <c r="I140" s="4">
        <v>0</v>
      </c>
      <c r="J140" s="4">
        <v>0</v>
      </c>
      <c r="K140" s="4"/>
      <c r="L140" s="4"/>
      <c r="M140" s="4"/>
      <c r="N140" s="4"/>
      <c r="O140" s="4">
        <v>0</v>
      </c>
      <c r="P140" s="4"/>
      <c r="Q140" s="4"/>
      <c r="R140" s="4">
        <f t="shared" si="28"/>
        <v>0</v>
      </c>
      <c r="S140">
        <v>138</v>
      </c>
    </row>
    <row r="141" spans="2:19" x14ac:dyDescent="0.3">
      <c r="C141">
        <v>655</v>
      </c>
      <c r="D141" t="s">
        <v>482</v>
      </c>
      <c r="E141" s="4">
        <v>0</v>
      </c>
      <c r="F141" s="4"/>
      <c r="G141" s="4">
        <v>0</v>
      </c>
      <c r="H141" s="4">
        <v>0</v>
      </c>
      <c r="I141" s="4">
        <v>0</v>
      </c>
      <c r="J141" s="4">
        <v>0</v>
      </c>
      <c r="K141" s="4"/>
      <c r="L141" s="4"/>
      <c r="M141" s="4"/>
      <c r="N141" s="4"/>
      <c r="O141" s="4">
        <v>0</v>
      </c>
      <c r="P141" s="4"/>
      <c r="Q141" s="4"/>
      <c r="R141" s="4">
        <f t="shared" si="28"/>
        <v>0</v>
      </c>
      <c r="S141" s="1">
        <v>139</v>
      </c>
    </row>
    <row r="142" spans="2:19" x14ac:dyDescent="0.3">
      <c r="C142">
        <v>656</v>
      </c>
      <c r="D142" t="s">
        <v>483</v>
      </c>
      <c r="E142" s="4">
        <v>0</v>
      </c>
      <c r="F142" s="4"/>
      <c r="G142" s="4">
        <v>0</v>
      </c>
      <c r="H142" s="4">
        <v>0</v>
      </c>
      <c r="I142" s="4">
        <v>0</v>
      </c>
      <c r="J142" s="4">
        <v>0</v>
      </c>
      <c r="K142" s="4"/>
      <c r="L142" s="4"/>
      <c r="M142" s="4"/>
      <c r="N142" s="4"/>
      <c r="O142" s="4">
        <v>0</v>
      </c>
      <c r="P142" s="4"/>
      <c r="Q142" s="4"/>
      <c r="R142" s="4">
        <f t="shared" si="28"/>
        <v>0</v>
      </c>
      <c r="S142">
        <v>140</v>
      </c>
    </row>
    <row r="143" spans="2:19" x14ac:dyDescent="0.3">
      <c r="C143">
        <v>657</v>
      </c>
      <c r="D143" t="s">
        <v>484</v>
      </c>
      <c r="E143" s="4">
        <v>0</v>
      </c>
      <c r="F143" s="4"/>
      <c r="G143" s="4">
        <v>0</v>
      </c>
      <c r="H143" s="4">
        <v>0</v>
      </c>
      <c r="I143" s="4">
        <v>0</v>
      </c>
      <c r="J143" s="4">
        <v>0</v>
      </c>
      <c r="K143" s="4"/>
      <c r="L143" s="4"/>
      <c r="M143" s="4"/>
      <c r="N143" s="4"/>
      <c r="O143" s="4">
        <v>0</v>
      </c>
      <c r="P143" s="4"/>
      <c r="Q143" s="4"/>
      <c r="R143" s="4">
        <f t="shared" si="28"/>
        <v>0</v>
      </c>
      <c r="S143">
        <v>141</v>
      </c>
    </row>
    <row r="144" spans="2:19" x14ac:dyDescent="0.3">
      <c r="C144">
        <v>658</v>
      </c>
      <c r="D144" t="s">
        <v>485</v>
      </c>
      <c r="E144" s="4">
        <v>0</v>
      </c>
      <c r="F144" s="4"/>
      <c r="G144" s="4">
        <v>0</v>
      </c>
      <c r="H144" s="4">
        <v>0</v>
      </c>
      <c r="I144" s="4">
        <v>0</v>
      </c>
      <c r="J144" s="4">
        <v>0</v>
      </c>
      <c r="K144" s="4"/>
      <c r="L144" s="4"/>
      <c r="M144" s="4"/>
      <c r="N144" s="4"/>
      <c r="O144" s="4">
        <v>0</v>
      </c>
      <c r="P144" s="4"/>
      <c r="Q144" s="4"/>
      <c r="R144" s="4">
        <f t="shared" si="28"/>
        <v>0</v>
      </c>
      <c r="S144" s="1">
        <v>142</v>
      </c>
    </row>
    <row r="145" spans="2:19" x14ac:dyDescent="0.3">
      <c r="E145" s="4"/>
      <c r="F145" s="4"/>
      <c r="G145" s="4"/>
      <c r="H145" s="4"/>
      <c r="I145" s="4"/>
      <c r="J145" s="4"/>
      <c r="K145" s="4"/>
      <c r="L145" s="4"/>
      <c r="M145" s="4"/>
      <c r="N145" s="4"/>
      <c r="O145" s="4"/>
      <c r="P145" s="4"/>
      <c r="Q145" s="4"/>
      <c r="R145" s="4"/>
      <c r="S145">
        <v>143</v>
      </c>
    </row>
    <row r="146" spans="2:19" x14ac:dyDescent="0.3">
      <c r="B146" s="105">
        <v>66</v>
      </c>
      <c r="C146" s="105"/>
      <c r="D146" s="105" t="s">
        <v>499</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3">
      <c r="C147">
        <v>660</v>
      </c>
      <c r="D147" t="s">
        <v>477</v>
      </c>
      <c r="E147" s="4">
        <v>0</v>
      </c>
      <c r="F147" s="4"/>
      <c r="G147" s="4">
        <v>0</v>
      </c>
      <c r="H147" s="4">
        <v>0</v>
      </c>
      <c r="I147" s="4">
        <v>0</v>
      </c>
      <c r="J147" s="4">
        <v>0</v>
      </c>
      <c r="K147" s="4"/>
      <c r="L147" s="4"/>
      <c r="M147" s="4"/>
      <c r="N147" s="4"/>
      <c r="O147" s="4">
        <v>0</v>
      </c>
      <c r="P147" s="4"/>
      <c r="Q147" s="4"/>
      <c r="R147" s="4">
        <f t="shared" ref="R147:R155" si="30">SUM(E147:Q147)</f>
        <v>0</v>
      </c>
      <c r="S147" s="1">
        <v>145</v>
      </c>
    </row>
    <row r="148" spans="2:19" x14ac:dyDescent="0.3">
      <c r="C148">
        <v>661</v>
      </c>
      <c r="D148" t="s">
        <v>478</v>
      </c>
      <c r="E148" s="4">
        <v>0</v>
      </c>
      <c r="F148" s="4"/>
      <c r="G148" s="4">
        <v>0</v>
      </c>
      <c r="H148" s="4">
        <v>0</v>
      </c>
      <c r="I148" s="4">
        <v>0</v>
      </c>
      <c r="J148" s="4">
        <v>0</v>
      </c>
      <c r="K148" s="4"/>
      <c r="L148" s="4"/>
      <c r="M148" s="4"/>
      <c r="N148" s="4"/>
      <c r="O148" s="4">
        <v>0</v>
      </c>
      <c r="P148" s="4"/>
      <c r="Q148" s="4"/>
      <c r="R148" s="4">
        <f t="shared" si="30"/>
        <v>0</v>
      </c>
      <c r="S148">
        <v>146</v>
      </c>
    </row>
    <row r="149" spans="2:19" x14ac:dyDescent="0.3">
      <c r="C149">
        <v>662</v>
      </c>
      <c r="D149" t="s">
        <v>479</v>
      </c>
      <c r="E149" s="4">
        <v>0</v>
      </c>
      <c r="F149" s="4"/>
      <c r="G149" s="4">
        <v>0</v>
      </c>
      <c r="H149" s="4">
        <v>0</v>
      </c>
      <c r="I149" s="4">
        <v>0</v>
      </c>
      <c r="J149" s="4">
        <v>0</v>
      </c>
      <c r="K149" s="4"/>
      <c r="L149" s="4"/>
      <c r="M149" s="4"/>
      <c r="N149" s="4"/>
      <c r="O149" s="4">
        <v>0</v>
      </c>
      <c r="P149" s="4"/>
      <c r="Q149" s="4"/>
      <c r="R149" s="4">
        <f t="shared" si="30"/>
        <v>0</v>
      </c>
      <c r="S149">
        <v>147</v>
      </c>
    </row>
    <row r="150" spans="2:19" x14ac:dyDescent="0.3">
      <c r="C150">
        <v>663</v>
      </c>
      <c r="D150" t="s">
        <v>480</v>
      </c>
      <c r="E150" s="4">
        <v>0</v>
      </c>
      <c r="F150" s="4"/>
      <c r="G150" s="4">
        <v>0</v>
      </c>
      <c r="H150" s="4">
        <v>0</v>
      </c>
      <c r="I150" s="4">
        <v>0</v>
      </c>
      <c r="J150" s="4">
        <v>0</v>
      </c>
      <c r="K150" s="4"/>
      <c r="L150" s="4"/>
      <c r="M150" s="4"/>
      <c r="N150" s="4"/>
      <c r="O150" s="4">
        <v>0</v>
      </c>
      <c r="P150" s="4"/>
      <c r="Q150" s="4"/>
      <c r="R150" s="4">
        <f t="shared" si="30"/>
        <v>0</v>
      </c>
      <c r="S150" s="1">
        <v>148</v>
      </c>
    </row>
    <row r="151" spans="2:19" x14ac:dyDescent="0.3">
      <c r="C151">
        <v>664</v>
      </c>
      <c r="D151" t="s">
        <v>481</v>
      </c>
      <c r="E151" s="4">
        <v>0</v>
      </c>
      <c r="F151" s="4"/>
      <c r="G151" s="4">
        <v>0</v>
      </c>
      <c r="H151" s="4">
        <v>0</v>
      </c>
      <c r="I151" s="4">
        <v>0</v>
      </c>
      <c r="J151" s="4">
        <v>0</v>
      </c>
      <c r="K151" s="4"/>
      <c r="L151" s="4"/>
      <c r="M151" s="4"/>
      <c r="N151" s="4"/>
      <c r="O151" s="4">
        <v>0</v>
      </c>
      <c r="P151" s="4"/>
      <c r="Q151" s="4"/>
      <c r="R151" s="4">
        <f t="shared" si="30"/>
        <v>0</v>
      </c>
      <c r="S151">
        <v>149</v>
      </c>
    </row>
    <row r="152" spans="2:19" x14ac:dyDescent="0.3">
      <c r="C152">
        <v>665</v>
      </c>
      <c r="D152" t="s">
        <v>482</v>
      </c>
      <c r="E152" s="4">
        <v>0</v>
      </c>
      <c r="F152" s="4"/>
      <c r="G152" s="4">
        <v>0</v>
      </c>
      <c r="H152" s="4">
        <v>0</v>
      </c>
      <c r="I152" s="4">
        <v>0</v>
      </c>
      <c r="J152" s="4">
        <v>0</v>
      </c>
      <c r="K152" s="4"/>
      <c r="L152" s="4"/>
      <c r="M152" s="4"/>
      <c r="N152" s="4"/>
      <c r="O152" s="4">
        <v>0</v>
      </c>
      <c r="P152" s="4"/>
      <c r="Q152" s="4"/>
      <c r="R152" s="4">
        <f t="shared" si="30"/>
        <v>0</v>
      </c>
      <c r="S152">
        <v>150</v>
      </c>
    </row>
    <row r="153" spans="2:19" x14ac:dyDescent="0.3">
      <c r="C153">
        <v>666</v>
      </c>
      <c r="D153" t="s">
        <v>483</v>
      </c>
      <c r="E153" s="4">
        <v>0</v>
      </c>
      <c r="F153" s="4"/>
      <c r="G153" s="4">
        <v>0</v>
      </c>
      <c r="H153" s="4">
        <v>0</v>
      </c>
      <c r="I153" s="4">
        <v>0</v>
      </c>
      <c r="J153" s="4">
        <v>0</v>
      </c>
      <c r="K153" s="4"/>
      <c r="L153" s="4"/>
      <c r="M153" s="4"/>
      <c r="N153" s="4"/>
      <c r="O153" s="4">
        <v>0</v>
      </c>
      <c r="P153" s="4"/>
      <c r="Q153" s="4"/>
      <c r="R153" s="4">
        <f t="shared" si="30"/>
        <v>0</v>
      </c>
      <c r="S153" s="1">
        <v>151</v>
      </c>
    </row>
    <row r="154" spans="2:19" x14ac:dyDescent="0.3">
      <c r="C154">
        <v>667</v>
      </c>
      <c r="D154" t="s">
        <v>484</v>
      </c>
      <c r="E154" s="4">
        <v>0</v>
      </c>
      <c r="F154" s="4"/>
      <c r="G154" s="4">
        <v>0</v>
      </c>
      <c r="H154" s="4">
        <v>0</v>
      </c>
      <c r="I154" s="4">
        <v>0</v>
      </c>
      <c r="J154" s="4">
        <v>0</v>
      </c>
      <c r="K154" s="4"/>
      <c r="L154" s="4"/>
      <c r="M154" s="4"/>
      <c r="N154" s="4"/>
      <c r="O154" s="4">
        <v>0</v>
      </c>
      <c r="P154" s="4"/>
      <c r="Q154" s="4"/>
      <c r="R154" s="4">
        <f t="shared" si="30"/>
        <v>0</v>
      </c>
      <c r="S154">
        <v>152</v>
      </c>
    </row>
    <row r="155" spans="2:19" x14ac:dyDescent="0.3">
      <c r="C155">
        <v>668</v>
      </c>
      <c r="D155" t="s">
        <v>485</v>
      </c>
      <c r="E155" s="4">
        <v>0</v>
      </c>
      <c r="F155" s="4"/>
      <c r="G155" s="4">
        <v>0</v>
      </c>
      <c r="H155" s="4">
        <v>0</v>
      </c>
      <c r="I155" s="4">
        <v>0</v>
      </c>
      <c r="J155" s="4">
        <v>0</v>
      </c>
      <c r="K155" s="4"/>
      <c r="L155" s="4"/>
      <c r="M155" s="4"/>
      <c r="N155" s="4"/>
      <c r="O155" s="4">
        <v>0</v>
      </c>
      <c r="P155" s="4"/>
      <c r="Q155" s="4"/>
      <c r="R155" s="4">
        <f t="shared" si="30"/>
        <v>0</v>
      </c>
      <c r="S155">
        <v>153</v>
      </c>
    </row>
    <row r="156" spans="2:19" x14ac:dyDescent="0.3">
      <c r="E156" s="4"/>
      <c r="F156" s="4"/>
      <c r="G156" s="4"/>
      <c r="H156" s="4"/>
      <c r="I156" s="4"/>
      <c r="J156" s="4"/>
      <c r="K156" s="4"/>
      <c r="L156" s="4"/>
      <c r="M156" s="4"/>
      <c r="N156" s="4"/>
      <c r="O156" s="4"/>
      <c r="P156" s="4"/>
      <c r="Q156" s="4"/>
      <c r="R156" s="4"/>
      <c r="S156" s="1">
        <v>154</v>
      </c>
    </row>
    <row r="157" spans="2:19" x14ac:dyDescent="0.3">
      <c r="B157" s="105">
        <v>67</v>
      </c>
      <c r="C157" s="105"/>
      <c r="D157" s="105" t="s">
        <v>487</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3">
      <c r="C158">
        <v>670</v>
      </c>
      <c r="D158" t="s">
        <v>477</v>
      </c>
      <c r="E158" s="4">
        <v>0</v>
      </c>
      <c r="F158" s="4"/>
      <c r="G158" s="4">
        <v>0</v>
      </c>
      <c r="H158" s="4">
        <v>0</v>
      </c>
      <c r="I158" s="4">
        <v>0</v>
      </c>
      <c r="J158" s="4">
        <v>0</v>
      </c>
      <c r="K158" s="4"/>
      <c r="L158" s="4"/>
      <c r="M158" s="4"/>
      <c r="N158" s="4"/>
      <c r="O158" s="4">
        <v>0</v>
      </c>
      <c r="P158" s="4"/>
      <c r="Q158" s="4"/>
      <c r="R158" s="4">
        <f t="shared" ref="R158:R166" si="32">SUM(E158:Q158)</f>
        <v>0</v>
      </c>
      <c r="S158">
        <v>156</v>
      </c>
    </row>
    <row r="159" spans="2:19" x14ac:dyDescent="0.3">
      <c r="C159">
        <v>671</v>
      </c>
      <c r="D159" t="s">
        <v>478</v>
      </c>
      <c r="E159" s="4">
        <v>0</v>
      </c>
      <c r="F159" s="4"/>
      <c r="G159" s="4">
        <v>0</v>
      </c>
      <c r="H159" s="4">
        <v>0</v>
      </c>
      <c r="I159" s="4">
        <v>0</v>
      </c>
      <c r="J159" s="4">
        <v>0</v>
      </c>
      <c r="K159" s="4"/>
      <c r="L159" s="4"/>
      <c r="M159" s="4"/>
      <c r="N159" s="4"/>
      <c r="O159" s="4">
        <v>0</v>
      </c>
      <c r="P159" s="4"/>
      <c r="Q159" s="4"/>
      <c r="R159" s="4">
        <f t="shared" si="32"/>
        <v>0</v>
      </c>
      <c r="S159" s="1">
        <v>157</v>
      </c>
    </row>
    <row r="160" spans="2:19" x14ac:dyDescent="0.3">
      <c r="C160">
        <v>672</v>
      </c>
      <c r="D160" t="s">
        <v>479</v>
      </c>
      <c r="E160" s="4">
        <v>0</v>
      </c>
      <c r="F160" s="4"/>
      <c r="G160" s="4">
        <v>0</v>
      </c>
      <c r="H160" s="4">
        <v>0</v>
      </c>
      <c r="I160" s="4">
        <v>0</v>
      </c>
      <c r="J160" s="4">
        <v>0</v>
      </c>
      <c r="K160" s="4"/>
      <c r="L160" s="4"/>
      <c r="M160" s="4"/>
      <c r="N160" s="4"/>
      <c r="O160" s="4">
        <v>0</v>
      </c>
      <c r="P160" s="4"/>
      <c r="Q160" s="4"/>
      <c r="R160" s="4">
        <f t="shared" si="32"/>
        <v>0</v>
      </c>
      <c r="S160">
        <v>158</v>
      </c>
    </row>
    <row r="161" spans="2:19" x14ac:dyDescent="0.3">
      <c r="C161">
        <v>673</v>
      </c>
      <c r="D161" t="s">
        <v>480</v>
      </c>
      <c r="E161" s="4">
        <v>0</v>
      </c>
      <c r="F161" s="4"/>
      <c r="G161" s="4">
        <v>0</v>
      </c>
      <c r="H161" s="4">
        <v>0</v>
      </c>
      <c r="I161" s="4">
        <v>0</v>
      </c>
      <c r="J161" s="4">
        <v>0</v>
      </c>
      <c r="K161" s="4"/>
      <c r="L161" s="4"/>
      <c r="M161" s="4"/>
      <c r="N161" s="4"/>
      <c r="O161" s="4">
        <v>0</v>
      </c>
      <c r="P161" s="4"/>
      <c r="Q161" s="4"/>
      <c r="R161" s="4">
        <f t="shared" si="32"/>
        <v>0</v>
      </c>
      <c r="S161">
        <v>159</v>
      </c>
    </row>
    <row r="162" spans="2:19" x14ac:dyDescent="0.3">
      <c r="C162">
        <v>674</v>
      </c>
      <c r="D162" t="s">
        <v>481</v>
      </c>
      <c r="E162" s="4">
        <v>0</v>
      </c>
      <c r="F162" s="4"/>
      <c r="G162" s="4">
        <v>0</v>
      </c>
      <c r="H162" s="4">
        <v>0</v>
      </c>
      <c r="I162" s="4">
        <v>0</v>
      </c>
      <c r="J162" s="4">
        <v>0</v>
      </c>
      <c r="K162" s="4"/>
      <c r="L162" s="4"/>
      <c r="M162" s="4"/>
      <c r="N162" s="4"/>
      <c r="O162" s="4">
        <v>0</v>
      </c>
      <c r="P162" s="4"/>
      <c r="Q162" s="4"/>
      <c r="R162" s="4">
        <f t="shared" si="32"/>
        <v>0</v>
      </c>
      <c r="S162" s="1">
        <v>160</v>
      </c>
    </row>
    <row r="163" spans="2:19" x14ac:dyDescent="0.3">
      <c r="C163">
        <v>675</v>
      </c>
      <c r="D163" t="s">
        <v>482</v>
      </c>
      <c r="E163" s="4">
        <v>0</v>
      </c>
      <c r="F163" s="4"/>
      <c r="G163" s="4">
        <v>0</v>
      </c>
      <c r="H163" s="4">
        <v>0</v>
      </c>
      <c r="I163" s="4">
        <v>0</v>
      </c>
      <c r="J163" s="4">
        <v>0</v>
      </c>
      <c r="K163" s="4"/>
      <c r="L163" s="4"/>
      <c r="M163" s="4"/>
      <c r="N163" s="4"/>
      <c r="O163" s="4">
        <v>0</v>
      </c>
      <c r="P163" s="4"/>
      <c r="Q163" s="4"/>
      <c r="R163" s="4">
        <f t="shared" si="32"/>
        <v>0</v>
      </c>
      <c r="S163">
        <v>161</v>
      </c>
    </row>
    <row r="164" spans="2:19" x14ac:dyDescent="0.3">
      <c r="C164">
        <v>676</v>
      </c>
      <c r="D164" t="s">
        <v>483</v>
      </c>
      <c r="E164" s="4">
        <v>0</v>
      </c>
      <c r="F164" s="4"/>
      <c r="G164" s="4">
        <v>0</v>
      </c>
      <c r="H164" s="4">
        <v>0</v>
      </c>
      <c r="I164" s="4">
        <v>0</v>
      </c>
      <c r="J164" s="4">
        <v>0</v>
      </c>
      <c r="K164" s="4"/>
      <c r="L164" s="4"/>
      <c r="M164" s="4"/>
      <c r="N164" s="4"/>
      <c r="O164" s="4">
        <v>0</v>
      </c>
      <c r="P164" s="4"/>
      <c r="Q164" s="4"/>
      <c r="R164" s="4">
        <f t="shared" si="32"/>
        <v>0</v>
      </c>
      <c r="S164">
        <v>162</v>
      </c>
    </row>
    <row r="165" spans="2:19" x14ac:dyDescent="0.3">
      <c r="C165">
        <v>677</v>
      </c>
      <c r="D165" t="s">
        <v>484</v>
      </c>
      <c r="E165" s="4">
        <v>0</v>
      </c>
      <c r="F165" s="4"/>
      <c r="G165" s="4">
        <v>0</v>
      </c>
      <c r="H165" s="4">
        <v>0</v>
      </c>
      <c r="I165" s="4">
        <v>0</v>
      </c>
      <c r="J165" s="4">
        <v>0</v>
      </c>
      <c r="K165" s="4"/>
      <c r="L165" s="4"/>
      <c r="M165" s="4"/>
      <c r="N165" s="4"/>
      <c r="O165" s="4">
        <v>0</v>
      </c>
      <c r="P165" s="4"/>
      <c r="Q165" s="4"/>
      <c r="R165" s="4">
        <f t="shared" si="32"/>
        <v>0</v>
      </c>
      <c r="S165" s="1">
        <v>163</v>
      </c>
    </row>
    <row r="166" spans="2:19" x14ac:dyDescent="0.3">
      <c r="C166">
        <v>678</v>
      </c>
      <c r="D166" t="s">
        <v>485</v>
      </c>
      <c r="E166" s="4">
        <v>0</v>
      </c>
      <c r="F166" s="4"/>
      <c r="G166" s="4">
        <v>0</v>
      </c>
      <c r="H166" s="4">
        <v>0</v>
      </c>
      <c r="I166" s="4">
        <v>0</v>
      </c>
      <c r="J166" s="4">
        <v>0</v>
      </c>
      <c r="K166" s="4"/>
      <c r="L166" s="4"/>
      <c r="M166" s="4"/>
      <c r="N166" s="4"/>
      <c r="O166" s="4">
        <v>0</v>
      </c>
      <c r="P166" s="4"/>
      <c r="Q166" s="4"/>
      <c r="R166" s="4">
        <f t="shared" si="32"/>
        <v>0</v>
      </c>
      <c r="S166">
        <v>164</v>
      </c>
    </row>
    <row r="167" spans="2:19" x14ac:dyDescent="0.3">
      <c r="E167" s="4"/>
      <c r="F167" s="4"/>
      <c r="G167" s="4"/>
      <c r="H167" s="4"/>
      <c r="I167" s="4"/>
      <c r="J167" s="4"/>
      <c r="K167" s="4"/>
      <c r="L167" s="4"/>
      <c r="M167" s="4"/>
      <c r="N167" s="4"/>
      <c r="O167" s="4"/>
      <c r="P167" s="4"/>
      <c r="Q167" s="4"/>
      <c r="R167" s="4"/>
      <c r="S167">
        <v>165</v>
      </c>
    </row>
    <row r="168" spans="2:19" x14ac:dyDescent="0.3">
      <c r="B168" s="105">
        <v>68</v>
      </c>
      <c r="C168" s="105"/>
      <c r="D168" s="105" t="s">
        <v>500</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3">
      <c r="C169">
        <v>680</v>
      </c>
      <c r="D169" t="s">
        <v>465</v>
      </c>
      <c r="E169" s="4">
        <v>0</v>
      </c>
      <c r="F169" s="4"/>
      <c r="G169" s="4">
        <v>0</v>
      </c>
      <c r="H169" s="4">
        <v>0</v>
      </c>
      <c r="I169" s="4">
        <v>0</v>
      </c>
      <c r="J169" s="4">
        <v>0</v>
      </c>
      <c r="K169" s="4"/>
      <c r="L169" s="4"/>
      <c r="M169" s="4"/>
      <c r="N169" s="4"/>
      <c r="O169" s="4">
        <v>0</v>
      </c>
      <c r="P169" s="4"/>
      <c r="Q169" s="4"/>
      <c r="R169" s="4">
        <f t="shared" ref="R169:R176" si="34">SUM(E169:Q169)</f>
        <v>0</v>
      </c>
      <c r="S169">
        <v>167</v>
      </c>
    </row>
    <row r="170" spans="2:19" x14ac:dyDescent="0.3">
      <c r="C170">
        <v>682</v>
      </c>
      <c r="D170" t="s">
        <v>475</v>
      </c>
      <c r="E170" s="4">
        <v>0</v>
      </c>
      <c r="F170" s="4"/>
      <c r="G170" s="4">
        <v>0</v>
      </c>
      <c r="H170" s="4">
        <v>0</v>
      </c>
      <c r="I170" s="4">
        <v>0</v>
      </c>
      <c r="J170" s="4">
        <v>0</v>
      </c>
      <c r="K170" s="4"/>
      <c r="L170" s="4"/>
      <c r="M170" s="4"/>
      <c r="N170" s="4"/>
      <c r="O170" s="4">
        <v>0</v>
      </c>
      <c r="P170" s="4"/>
      <c r="Q170" s="4"/>
      <c r="R170" s="4">
        <f t="shared" si="34"/>
        <v>0</v>
      </c>
      <c r="S170">
        <v>168</v>
      </c>
    </row>
    <row r="171" spans="2:19" x14ac:dyDescent="0.3">
      <c r="C171">
        <v>683</v>
      </c>
      <c r="D171" t="s">
        <v>501</v>
      </c>
      <c r="E171" s="4">
        <v>0</v>
      </c>
      <c r="F171" s="4"/>
      <c r="G171" s="4">
        <v>0</v>
      </c>
      <c r="H171" s="4">
        <v>0</v>
      </c>
      <c r="I171" s="4">
        <v>0</v>
      </c>
      <c r="J171" s="4">
        <v>0</v>
      </c>
      <c r="K171" s="4"/>
      <c r="L171" s="4"/>
      <c r="M171" s="4"/>
      <c r="N171" s="4"/>
      <c r="O171" s="4">
        <v>0</v>
      </c>
      <c r="P171" s="4"/>
      <c r="Q171" s="4"/>
      <c r="R171" s="4">
        <f t="shared" si="34"/>
        <v>0</v>
      </c>
      <c r="S171" s="1">
        <v>169</v>
      </c>
    </row>
    <row r="172" spans="2:19" x14ac:dyDescent="0.3">
      <c r="C172">
        <v>684</v>
      </c>
      <c r="D172" t="s">
        <v>257</v>
      </c>
      <c r="E172" s="4">
        <v>0</v>
      </c>
      <c r="F172" s="4"/>
      <c r="G172" s="4">
        <v>0</v>
      </c>
      <c r="H172" s="4">
        <v>0</v>
      </c>
      <c r="I172" s="4">
        <v>0</v>
      </c>
      <c r="J172" s="4">
        <v>0</v>
      </c>
      <c r="K172" s="4"/>
      <c r="L172" s="4"/>
      <c r="M172" s="4"/>
      <c r="N172" s="4"/>
      <c r="O172" s="4">
        <v>0</v>
      </c>
      <c r="P172" s="4"/>
      <c r="Q172" s="4"/>
      <c r="R172" s="4">
        <f t="shared" si="34"/>
        <v>0</v>
      </c>
      <c r="S172">
        <v>170</v>
      </c>
    </row>
    <row r="173" spans="2:19" x14ac:dyDescent="0.3">
      <c r="C173">
        <v>685</v>
      </c>
      <c r="D173" t="s">
        <v>388</v>
      </c>
      <c r="E173" s="4">
        <v>0</v>
      </c>
      <c r="F173" s="4"/>
      <c r="G173" s="4">
        <v>0</v>
      </c>
      <c r="H173" s="4">
        <v>0</v>
      </c>
      <c r="I173" s="4">
        <v>0</v>
      </c>
      <c r="J173" s="4">
        <v>0</v>
      </c>
      <c r="K173" s="4"/>
      <c r="L173" s="4"/>
      <c r="M173" s="4"/>
      <c r="N173" s="4"/>
      <c r="O173" s="4">
        <v>0</v>
      </c>
      <c r="P173" s="4"/>
      <c r="Q173" s="4"/>
      <c r="R173" s="4">
        <f t="shared" si="34"/>
        <v>0</v>
      </c>
      <c r="S173">
        <v>171</v>
      </c>
    </row>
    <row r="174" spans="2:19" x14ac:dyDescent="0.3">
      <c r="C174">
        <v>686</v>
      </c>
      <c r="D174" t="s">
        <v>502</v>
      </c>
      <c r="E174" s="4">
        <v>0</v>
      </c>
      <c r="F174" s="4"/>
      <c r="G174" s="4">
        <v>0</v>
      </c>
      <c r="H174" s="4">
        <v>0</v>
      </c>
      <c r="I174" s="4">
        <v>0</v>
      </c>
      <c r="J174" s="4">
        <v>0</v>
      </c>
      <c r="K174" s="4"/>
      <c r="L174" s="4"/>
      <c r="M174" s="4"/>
      <c r="N174" s="4"/>
      <c r="O174" s="4">
        <v>0</v>
      </c>
      <c r="P174" s="4"/>
      <c r="Q174" s="4"/>
      <c r="R174" s="4">
        <f t="shared" si="34"/>
        <v>0</v>
      </c>
      <c r="S174" s="1">
        <v>172</v>
      </c>
    </row>
    <row r="175" spans="2:19" x14ac:dyDescent="0.3">
      <c r="C175">
        <v>689</v>
      </c>
      <c r="D175" t="s">
        <v>503</v>
      </c>
      <c r="E175" s="4">
        <v>0</v>
      </c>
      <c r="F175" s="4"/>
      <c r="G175" s="4">
        <v>0</v>
      </c>
      <c r="H175" s="4">
        <v>0</v>
      </c>
      <c r="I175" s="4">
        <v>0</v>
      </c>
      <c r="J175" s="4">
        <v>0</v>
      </c>
      <c r="K175" s="4"/>
      <c r="L175" s="4"/>
      <c r="M175" s="4"/>
      <c r="N175" s="4"/>
      <c r="O175" s="4">
        <v>0</v>
      </c>
      <c r="P175" s="4"/>
      <c r="Q175" s="4"/>
      <c r="R175" s="4">
        <f t="shared" si="34"/>
        <v>0</v>
      </c>
      <c r="S175">
        <v>173</v>
      </c>
    </row>
    <row r="176" spans="2:19" x14ac:dyDescent="0.3">
      <c r="E176" s="4"/>
      <c r="F176" s="4"/>
      <c r="G176" s="4"/>
      <c r="H176" s="4"/>
      <c r="I176" s="4"/>
      <c r="J176" s="4"/>
      <c r="K176" s="4"/>
      <c r="L176" s="4"/>
      <c r="M176" s="4"/>
      <c r="N176" s="4"/>
      <c r="O176" s="4"/>
      <c r="P176" s="4"/>
      <c r="Q176" s="4"/>
      <c r="R176" s="4">
        <f t="shared" si="34"/>
        <v>0</v>
      </c>
      <c r="S176">
        <v>174</v>
      </c>
    </row>
    <row r="177" spans="2:19" x14ac:dyDescent="0.3">
      <c r="B177" s="105">
        <v>69</v>
      </c>
      <c r="C177" s="105"/>
      <c r="D177" s="105" t="s">
        <v>504</v>
      </c>
      <c r="E177" s="103">
        <f>E178</f>
        <v>1231750.7</v>
      </c>
      <c r="F177" s="103">
        <f t="shared" ref="F177:R177" si="35">F178</f>
        <v>0</v>
      </c>
      <c r="G177" s="103">
        <f t="shared" si="35"/>
        <v>0</v>
      </c>
      <c r="H177" s="103">
        <f t="shared" si="35"/>
        <v>0</v>
      </c>
      <c r="I177" s="103">
        <f t="shared" si="35"/>
        <v>24198</v>
      </c>
      <c r="J177" s="103">
        <f t="shared" si="35"/>
        <v>299600.59999999998</v>
      </c>
      <c r="K177" s="103">
        <f t="shared" si="35"/>
        <v>0</v>
      </c>
      <c r="L177" s="103">
        <f t="shared" si="35"/>
        <v>0</v>
      </c>
      <c r="M177" s="103">
        <f t="shared" si="35"/>
        <v>0</v>
      </c>
      <c r="N177" s="103">
        <f t="shared" si="35"/>
        <v>0</v>
      </c>
      <c r="O177" s="103">
        <f t="shared" si="35"/>
        <v>0</v>
      </c>
      <c r="P177" s="103">
        <f t="shared" si="35"/>
        <v>0</v>
      </c>
      <c r="Q177" s="103">
        <f t="shared" si="35"/>
        <v>0</v>
      </c>
      <c r="R177" s="103">
        <f t="shared" si="35"/>
        <v>1555549.2999999998</v>
      </c>
      <c r="S177" s="1">
        <v>175</v>
      </c>
    </row>
    <row r="178" spans="2:19" x14ac:dyDescent="0.3">
      <c r="C178">
        <v>690</v>
      </c>
      <c r="D178" t="s">
        <v>504</v>
      </c>
      <c r="E178" s="4">
        <v>1231750.7</v>
      </c>
      <c r="F178" s="4"/>
      <c r="G178" s="4">
        <v>0</v>
      </c>
      <c r="H178" s="4">
        <v>0</v>
      </c>
      <c r="I178" s="4">
        <v>24198</v>
      </c>
      <c r="J178" s="4">
        <v>299600.59999999998</v>
      </c>
      <c r="K178" s="4"/>
      <c r="L178" s="4"/>
      <c r="M178" s="4"/>
      <c r="N178" s="4"/>
      <c r="O178" s="4">
        <v>0</v>
      </c>
      <c r="P178" s="4"/>
      <c r="Q178" s="4"/>
      <c r="R178" s="4">
        <f>SUM(E178:Q178)</f>
        <v>1555549.2999999998</v>
      </c>
      <c r="S178">
        <v>176</v>
      </c>
    </row>
    <row r="179" spans="2:19" x14ac:dyDescent="0.3">
      <c r="E179" s="4"/>
      <c r="F179" s="4"/>
      <c r="G179" s="4"/>
      <c r="H179" s="4"/>
      <c r="I179" s="4"/>
      <c r="J179" s="4"/>
      <c r="K179" s="4"/>
      <c r="L179" s="4"/>
      <c r="M179" s="4"/>
      <c r="N179" s="4"/>
      <c r="O179" s="4"/>
      <c r="P179" s="4"/>
      <c r="Q179" s="4"/>
      <c r="R179" s="4"/>
      <c r="S179">
        <v>177</v>
      </c>
    </row>
    <row r="180" spans="2:19" x14ac:dyDescent="0.3">
      <c r="E180" s="4"/>
      <c r="F180" s="4"/>
      <c r="G180" s="4"/>
      <c r="H180" s="4"/>
      <c r="I180" s="4"/>
      <c r="J180" s="4"/>
      <c r="K180" s="4"/>
      <c r="L180" s="4"/>
      <c r="M180" s="4"/>
      <c r="N180" s="4"/>
      <c r="O180" s="4"/>
      <c r="P180" s="4"/>
      <c r="Q180" s="4"/>
      <c r="R180" s="4"/>
      <c r="S180" s="1">
        <v>178</v>
      </c>
    </row>
    <row r="181" spans="2:19" x14ac:dyDescent="0.3">
      <c r="E181" s="4"/>
      <c r="F181" s="4"/>
      <c r="G181" s="4"/>
      <c r="H181" s="4"/>
      <c r="I181" s="4"/>
      <c r="J181" s="4"/>
      <c r="K181" s="4"/>
      <c r="L181" s="4"/>
      <c r="M181" s="4"/>
      <c r="N181" s="4"/>
      <c r="O181" s="4"/>
      <c r="P181" s="4"/>
      <c r="Q181" s="4"/>
      <c r="R181" s="4"/>
      <c r="S181">
        <v>179</v>
      </c>
    </row>
    <row r="182" spans="2:19" x14ac:dyDescent="0.3">
      <c r="D182" s="106" t="s">
        <v>225</v>
      </c>
      <c r="E182" s="109">
        <f>E4-E87</f>
        <v>1231750.7000000002</v>
      </c>
      <c r="F182" s="109">
        <f t="shared" ref="F182:R182" si="36">F4-F87</f>
        <v>0</v>
      </c>
      <c r="G182" s="109">
        <f t="shared" si="36"/>
        <v>0</v>
      </c>
      <c r="H182" s="109">
        <f t="shared" si="36"/>
        <v>0</v>
      </c>
      <c r="I182" s="109">
        <f t="shared" si="36"/>
        <v>24198</v>
      </c>
      <c r="J182" s="109">
        <f t="shared" si="36"/>
        <v>208472.60000000003</v>
      </c>
      <c r="K182" s="109">
        <f t="shared" si="36"/>
        <v>0</v>
      </c>
      <c r="L182" s="109">
        <f t="shared" si="36"/>
        <v>0</v>
      </c>
      <c r="M182" s="109">
        <f t="shared" si="36"/>
        <v>0</v>
      </c>
      <c r="N182" s="109">
        <f t="shared" si="36"/>
        <v>0</v>
      </c>
      <c r="O182" s="109">
        <f t="shared" si="36"/>
        <v>0</v>
      </c>
      <c r="P182" s="109">
        <f t="shared" si="36"/>
        <v>0</v>
      </c>
      <c r="Q182" s="109">
        <f t="shared" si="36"/>
        <v>0</v>
      </c>
      <c r="R182" s="109">
        <f t="shared" si="36"/>
        <v>1464421.3</v>
      </c>
      <c r="S182">
        <v>180</v>
      </c>
    </row>
    <row r="184" spans="2:19" x14ac:dyDescent="0.3">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F155" sqref="F155"/>
    </sheetView>
  </sheetViews>
  <sheetFormatPr baseColWidth="10" defaultRowHeight="14.4" x14ac:dyDescent="0.3"/>
  <cols>
    <col min="1" max="2" width="5.6640625" customWidth="1"/>
    <col min="3" max="3" width="9" customWidth="1"/>
    <col min="4" max="4" width="63.5546875" customWidth="1"/>
    <col min="5" max="5" width="22.6640625" customWidth="1"/>
  </cols>
  <sheetData>
    <row r="1" spans="1:5" ht="25.8" x14ac:dyDescent="0.5">
      <c r="A1" s="42" t="s">
        <v>779</v>
      </c>
      <c r="B1" s="7"/>
      <c r="C1" s="7"/>
      <c r="D1" s="7"/>
    </row>
    <row r="3" spans="1:5" ht="15" thickBot="1" x14ac:dyDescent="0.35"/>
    <row r="4" spans="1:5" ht="15" thickBot="1" x14ac:dyDescent="0.35">
      <c r="A4" t="s">
        <v>769</v>
      </c>
      <c r="D4" s="174" t="s">
        <v>28</v>
      </c>
    </row>
    <row r="7" spans="1:5" ht="21" x14ac:dyDescent="0.4">
      <c r="A7" s="102">
        <v>5</v>
      </c>
      <c r="B7" s="102"/>
      <c r="C7" s="102"/>
      <c r="D7" s="102" t="s">
        <v>193</v>
      </c>
      <c r="E7" s="185">
        <f>HLOOKUP($D$4,'Bourgeoisie investissement'!$E$3:$R$184,2,0)</f>
        <v>299600.60000000003</v>
      </c>
    </row>
    <row r="8" spans="1:5" x14ac:dyDescent="0.3">
      <c r="A8" s="78"/>
      <c r="B8" s="69">
        <v>50</v>
      </c>
      <c r="C8" s="69"/>
      <c r="D8" s="69" t="s">
        <v>465</v>
      </c>
      <c r="E8" s="70">
        <f>HLOOKUP($D$4,'Bourgeoisie investissement'!$E$3:$R$184,3,0)</f>
        <v>299600.60000000003</v>
      </c>
    </row>
    <row r="9" spans="1:5" x14ac:dyDescent="0.3">
      <c r="C9">
        <v>500</v>
      </c>
      <c r="D9" t="s">
        <v>467</v>
      </c>
      <c r="E9" s="89">
        <f>HLOOKUP($D$4,'Bourgeoisie investissement'!$E$3:$R$184,4,0)</f>
        <v>0</v>
      </c>
    </row>
    <row r="10" spans="1:5" x14ac:dyDescent="0.3">
      <c r="C10">
        <v>501</v>
      </c>
      <c r="D10" t="s">
        <v>468</v>
      </c>
      <c r="E10" s="89">
        <f>HLOOKUP($D$4,'Bourgeoisie investissement'!$E$3:$R$184,5,0)</f>
        <v>0</v>
      </c>
    </row>
    <row r="11" spans="1:5" x14ac:dyDescent="0.3">
      <c r="C11">
        <v>502</v>
      </c>
      <c r="D11" t="s">
        <v>469</v>
      </c>
      <c r="E11" s="89">
        <f>HLOOKUP($D$4,'Bourgeoisie investissement'!$E$3:$R$184,6,0)</f>
        <v>0</v>
      </c>
    </row>
    <row r="12" spans="1:5" x14ac:dyDescent="0.3">
      <c r="C12">
        <v>503</v>
      </c>
      <c r="D12" t="s">
        <v>470</v>
      </c>
      <c r="E12" s="89">
        <f>HLOOKUP($D$4,'Bourgeoisie investissement'!$E$3:$R$184,7,0)</f>
        <v>39823.15</v>
      </c>
    </row>
    <row r="13" spans="1:5" x14ac:dyDescent="0.3">
      <c r="C13">
        <v>504</v>
      </c>
      <c r="D13" t="s">
        <v>471</v>
      </c>
      <c r="E13" s="89">
        <f>HLOOKUP($D$4,'Bourgeoisie investissement'!$E$3:$R$184,8,0)</f>
        <v>259777.45</v>
      </c>
    </row>
    <row r="14" spans="1:5" x14ac:dyDescent="0.3">
      <c r="C14">
        <v>505</v>
      </c>
      <c r="D14" t="s">
        <v>472</v>
      </c>
      <c r="E14" s="89">
        <f>HLOOKUP($D$4,'Bourgeoisie investissement'!$E$3:$R$184,9,0)</f>
        <v>0</v>
      </c>
    </row>
    <row r="15" spans="1:5" x14ac:dyDescent="0.3">
      <c r="C15">
        <v>506</v>
      </c>
      <c r="D15" t="s">
        <v>473</v>
      </c>
      <c r="E15" s="89">
        <f>HLOOKUP($D$4,'Bourgeoisie investissement'!$E$3:$R$184,10,0)</f>
        <v>0</v>
      </c>
    </row>
    <row r="16" spans="1:5" x14ac:dyDescent="0.3">
      <c r="C16">
        <v>509</v>
      </c>
      <c r="D16" t="s">
        <v>474</v>
      </c>
      <c r="E16" s="89">
        <f>HLOOKUP($D$4,'Bourgeoisie investissement'!$E$3:$R$184,11,0)</f>
        <v>0</v>
      </c>
    </row>
    <row r="17" spans="2:5" x14ac:dyDescent="0.3">
      <c r="E17" s="89"/>
    </row>
    <row r="18" spans="2:5" x14ac:dyDescent="0.3">
      <c r="B18" s="69">
        <v>51</v>
      </c>
      <c r="C18" s="69"/>
      <c r="D18" s="69" t="s">
        <v>466</v>
      </c>
      <c r="E18" s="70">
        <f>HLOOKUP($D$4,'Bourgeoisie investissement'!$E$3:$R$184,13,0)</f>
        <v>0</v>
      </c>
    </row>
    <row r="19" spans="2:5" x14ac:dyDescent="0.3">
      <c r="C19">
        <v>510</v>
      </c>
      <c r="D19" t="s">
        <v>467</v>
      </c>
      <c r="E19" s="89">
        <f>HLOOKUP($D$4,'Bourgeoisie investissement'!$E$3:$R$184,14,0)</f>
        <v>0</v>
      </c>
    </row>
    <row r="20" spans="2:5" x14ac:dyDescent="0.3">
      <c r="C20">
        <v>511</v>
      </c>
      <c r="D20" t="s">
        <v>468</v>
      </c>
      <c r="E20" s="89">
        <f>HLOOKUP($D$4,'Bourgeoisie investissement'!$E$3:$R$184,15,0)</f>
        <v>0</v>
      </c>
    </row>
    <row r="21" spans="2:5" x14ac:dyDescent="0.3">
      <c r="C21">
        <v>512</v>
      </c>
      <c r="D21" t="s">
        <v>469</v>
      </c>
      <c r="E21" s="89">
        <f>HLOOKUP($D$4,'Bourgeoisie investissement'!$E$3:$R$184,16,0)</f>
        <v>0</v>
      </c>
    </row>
    <row r="22" spans="2:5" x14ac:dyDescent="0.3">
      <c r="C22">
        <v>513</v>
      </c>
      <c r="D22" t="s">
        <v>470</v>
      </c>
      <c r="E22" s="89">
        <f>HLOOKUP($D$4,'Bourgeoisie investissement'!$E$3:$R$184,17,0)</f>
        <v>0</v>
      </c>
    </row>
    <row r="23" spans="2:5" x14ac:dyDescent="0.3">
      <c r="C23">
        <v>514</v>
      </c>
      <c r="D23" t="s">
        <v>471</v>
      </c>
      <c r="E23" s="89">
        <f>HLOOKUP($D$4,'Bourgeoisie investissement'!$E$3:$R$184,18,0)</f>
        <v>0</v>
      </c>
    </row>
    <row r="24" spans="2:5" x14ac:dyDescent="0.3">
      <c r="C24">
        <v>515</v>
      </c>
      <c r="D24" t="s">
        <v>472</v>
      </c>
      <c r="E24" s="89">
        <f>HLOOKUP($D$4,'Bourgeoisie investissement'!$E$3:$R$184,19,0)</f>
        <v>0</v>
      </c>
    </row>
    <row r="25" spans="2:5" x14ac:dyDescent="0.3">
      <c r="C25">
        <v>516</v>
      </c>
      <c r="D25" t="s">
        <v>473</v>
      </c>
      <c r="E25" s="89">
        <f>HLOOKUP($D$4,'Bourgeoisie investissement'!$E$3:$R$184,20,0)</f>
        <v>0</v>
      </c>
    </row>
    <row r="26" spans="2:5" x14ac:dyDescent="0.3">
      <c r="C26">
        <v>519</v>
      </c>
      <c r="D26" t="s">
        <v>474</v>
      </c>
      <c r="E26" s="89">
        <f>HLOOKUP($D$4,'Bourgeoisie investissement'!$E$3:$R$184,21,0)</f>
        <v>0</v>
      </c>
    </row>
    <row r="27" spans="2:5" x14ac:dyDescent="0.3">
      <c r="E27" s="89"/>
    </row>
    <row r="28" spans="2:5" x14ac:dyDescent="0.3">
      <c r="B28" s="69">
        <v>52</v>
      </c>
      <c r="C28" s="69"/>
      <c r="D28" s="69" t="s">
        <v>475</v>
      </c>
      <c r="E28" s="70">
        <f>HLOOKUP($D$4,'Bourgeoisie investissement'!$E$3:$R$184,23,0)</f>
        <v>0</v>
      </c>
    </row>
    <row r="29" spans="2:5" x14ac:dyDescent="0.3">
      <c r="C29">
        <v>520</v>
      </c>
      <c r="D29" t="s">
        <v>375</v>
      </c>
      <c r="E29" s="89">
        <f>HLOOKUP($D$4,'Bourgeoisie investissement'!$E$3:$R$184,24,0)</f>
        <v>0</v>
      </c>
    </row>
    <row r="30" spans="2:5" x14ac:dyDescent="0.3">
      <c r="C30">
        <v>521</v>
      </c>
      <c r="D30" t="s">
        <v>376</v>
      </c>
      <c r="E30" s="89">
        <f>HLOOKUP($D$4,'Bourgeoisie investissement'!$E$3:$R$184,25,0)</f>
        <v>0</v>
      </c>
    </row>
    <row r="31" spans="2:5" x14ac:dyDescent="0.3">
      <c r="C31">
        <v>529</v>
      </c>
      <c r="D31" t="s">
        <v>476</v>
      </c>
      <c r="E31" s="89">
        <f>HLOOKUP($D$4,'Bourgeoisie investissement'!$E$3:$R$184,26,0)</f>
        <v>0</v>
      </c>
    </row>
    <row r="32" spans="2:5" x14ac:dyDescent="0.3">
      <c r="E32" s="89"/>
    </row>
    <row r="33" spans="2:5" x14ac:dyDescent="0.3">
      <c r="B33" s="69">
        <v>54</v>
      </c>
      <c r="C33" s="69"/>
      <c r="D33" s="69" t="s">
        <v>257</v>
      </c>
      <c r="E33" s="70">
        <f>HLOOKUP($D$4,'Bourgeoisie investissement'!$E$3:$R$184,28,0)</f>
        <v>0</v>
      </c>
    </row>
    <row r="34" spans="2:5" x14ac:dyDescent="0.3">
      <c r="C34">
        <v>540</v>
      </c>
      <c r="D34" t="s">
        <v>477</v>
      </c>
      <c r="E34" s="89">
        <f>HLOOKUP($D$4,'Bourgeoisie investissement'!$E$3:$R$184,29,0)</f>
        <v>0</v>
      </c>
    </row>
    <row r="35" spans="2:5" x14ac:dyDescent="0.3">
      <c r="C35">
        <v>541</v>
      </c>
      <c r="D35" t="s">
        <v>478</v>
      </c>
      <c r="E35" s="89">
        <f>HLOOKUP($D$4,'Bourgeoisie investissement'!$E$3:$R$184,30,0)</f>
        <v>0</v>
      </c>
    </row>
    <row r="36" spans="2:5" x14ac:dyDescent="0.3">
      <c r="C36">
        <v>542</v>
      </c>
      <c r="D36" t="s">
        <v>479</v>
      </c>
      <c r="E36" s="89">
        <f>HLOOKUP($D$4,'Bourgeoisie investissement'!$E$3:$R$184,31,0)</f>
        <v>0</v>
      </c>
    </row>
    <row r="37" spans="2:5" x14ac:dyDescent="0.3">
      <c r="C37">
        <v>543</v>
      </c>
      <c r="D37" t="s">
        <v>480</v>
      </c>
      <c r="E37" s="89">
        <f>HLOOKUP($D$4,'Bourgeoisie investissement'!$E$3:$R$184,32,0)</f>
        <v>0</v>
      </c>
    </row>
    <row r="38" spans="2:5" x14ac:dyDescent="0.3">
      <c r="C38">
        <v>544</v>
      </c>
      <c r="D38" t="s">
        <v>481</v>
      </c>
      <c r="E38" s="89">
        <f>HLOOKUP($D$4,'Bourgeoisie investissement'!$E$3:$R$184,33,0)</f>
        <v>0</v>
      </c>
    </row>
    <row r="39" spans="2:5" x14ac:dyDescent="0.3">
      <c r="C39">
        <v>545</v>
      </c>
      <c r="D39" t="s">
        <v>482</v>
      </c>
      <c r="E39" s="89">
        <f>HLOOKUP($D$4,'Bourgeoisie investissement'!$E$3:$R$184,34,0)</f>
        <v>0</v>
      </c>
    </row>
    <row r="40" spans="2:5" x14ac:dyDescent="0.3">
      <c r="C40">
        <v>546</v>
      </c>
      <c r="D40" t="s">
        <v>483</v>
      </c>
      <c r="E40" s="89">
        <f>HLOOKUP($D$4,'Bourgeoisie investissement'!$E$3:$R$184,35,0)</f>
        <v>0</v>
      </c>
    </row>
    <row r="41" spans="2:5" x14ac:dyDescent="0.3">
      <c r="C41">
        <v>547</v>
      </c>
      <c r="D41" t="s">
        <v>484</v>
      </c>
      <c r="E41" s="89">
        <f>HLOOKUP($D$4,'Bourgeoisie investissement'!$E$3:$R$184,36,0)</f>
        <v>0</v>
      </c>
    </row>
    <row r="42" spans="2:5" x14ac:dyDescent="0.3">
      <c r="C42">
        <v>548</v>
      </c>
      <c r="D42" t="s">
        <v>485</v>
      </c>
      <c r="E42" s="89">
        <f>HLOOKUP($D$4,'Bourgeoisie investissement'!$E$3:$R$184,37,0)</f>
        <v>0</v>
      </c>
    </row>
    <row r="43" spans="2:5" x14ac:dyDescent="0.3">
      <c r="E43" s="89"/>
    </row>
    <row r="44" spans="2:5" x14ac:dyDescent="0.3">
      <c r="B44" s="69">
        <v>55</v>
      </c>
      <c r="C44" s="69"/>
      <c r="D44" s="69" t="s">
        <v>388</v>
      </c>
      <c r="E44" s="70">
        <f>HLOOKUP($D$4,'Bourgeoisie investissement'!$E$3:$R$184,39,0)</f>
        <v>0</v>
      </c>
    </row>
    <row r="45" spans="2:5" x14ac:dyDescent="0.3">
      <c r="C45">
        <v>550</v>
      </c>
      <c r="D45" t="s">
        <v>477</v>
      </c>
      <c r="E45" s="89">
        <f>HLOOKUP($D$4,'Bourgeoisie investissement'!$E$3:$R$184,40,0)</f>
        <v>0</v>
      </c>
    </row>
    <row r="46" spans="2:5" x14ac:dyDescent="0.3">
      <c r="C46">
        <v>551</v>
      </c>
      <c r="D46" t="s">
        <v>478</v>
      </c>
      <c r="E46" s="89">
        <f>HLOOKUP($D$4,'Bourgeoisie investissement'!$E$3:$R$184,41,0)</f>
        <v>0</v>
      </c>
    </row>
    <row r="47" spans="2:5" x14ac:dyDescent="0.3">
      <c r="C47">
        <v>552</v>
      </c>
      <c r="D47" t="s">
        <v>479</v>
      </c>
      <c r="E47" s="89">
        <f>HLOOKUP($D$4,'Bourgeoisie investissement'!$E$3:$R$184,42,0)</f>
        <v>0</v>
      </c>
    </row>
    <row r="48" spans="2:5" x14ac:dyDescent="0.3">
      <c r="C48">
        <v>553</v>
      </c>
      <c r="D48" t="s">
        <v>480</v>
      </c>
      <c r="E48" s="89">
        <f>HLOOKUP($D$4,'Bourgeoisie investissement'!$E$3:$R$184,43,0)</f>
        <v>0</v>
      </c>
    </row>
    <row r="49" spans="2:5" x14ac:dyDescent="0.3">
      <c r="C49">
        <v>554</v>
      </c>
      <c r="D49" t="s">
        <v>481</v>
      </c>
      <c r="E49" s="89">
        <f>HLOOKUP($D$4,'Bourgeoisie investissement'!$E$3:$R$184,44,0)</f>
        <v>0</v>
      </c>
    </row>
    <row r="50" spans="2:5" x14ac:dyDescent="0.3">
      <c r="C50">
        <v>555</v>
      </c>
      <c r="D50" t="s">
        <v>482</v>
      </c>
      <c r="E50" s="89">
        <f>HLOOKUP($D$4,'Bourgeoisie investissement'!$E$3:$R$184,45,0)</f>
        <v>0</v>
      </c>
    </row>
    <row r="51" spans="2:5" x14ac:dyDescent="0.3">
      <c r="C51">
        <v>556</v>
      </c>
      <c r="D51" t="s">
        <v>483</v>
      </c>
      <c r="E51" s="89">
        <f>HLOOKUP($D$4,'Bourgeoisie investissement'!$E$3:$R$184,46,0)</f>
        <v>0</v>
      </c>
    </row>
    <row r="52" spans="2:5" x14ac:dyDescent="0.3">
      <c r="C52">
        <v>557</v>
      </c>
      <c r="D52" t="s">
        <v>484</v>
      </c>
      <c r="E52" s="89">
        <f>HLOOKUP($D$4,'Bourgeoisie investissement'!$E$3:$R$184,47,0)</f>
        <v>0</v>
      </c>
    </row>
    <row r="53" spans="2:5" x14ac:dyDescent="0.3">
      <c r="C53">
        <v>558</v>
      </c>
      <c r="D53" t="s">
        <v>485</v>
      </c>
      <c r="E53" s="89">
        <f>HLOOKUP($D$4,'Bourgeoisie investissement'!$E$3:$R$184,48,0)</f>
        <v>0</v>
      </c>
    </row>
    <row r="54" spans="2:5" x14ac:dyDescent="0.3">
      <c r="E54" s="89"/>
    </row>
    <row r="55" spans="2:5" x14ac:dyDescent="0.3">
      <c r="B55" s="69">
        <v>56</v>
      </c>
      <c r="C55" s="69"/>
      <c r="D55" s="69" t="s">
        <v>486</v>
      </c>
      <c r="E55" s="70">
        <f>HLOOKUP($D$4,'Bourgeoisie investissement'!$E$3:$R$184,50,0)</f>
        <v>0</v>
      </c>
    </row>
    <row r="56" spans="2:5" x14ac:dyDescent="0.3">
      <c r="C56">
        <v>560</v>
      </c>
      <c r="D56" t="s">
        <v>477</v>
      </c>
      <c r="E56" s="89">
        <f>HLOOKUP($D$4,'Bourgeoisie investissement'!$E$3:$R$184,51,0)</f>
        <v>0</v>
      </c>
    </row>
    <row r="57" spans="2:5" x14ac:dyDescent="0.3">
      <c r="C57">
        <v>561</v>
      </c>
      <c r="D57" t="s">
        <v>478</v>
      </c>
      <c r="E57" s="89">
        <f>HLOOKUP($D$4,'Bourgeoisie investissement'!$E$3:$R$184,52,0)</f>
        <v>0</v>
      </c>
    </row>
    <row r="58" spans="2:5" x14ac:dyDescent="0.3">
      <c r="C58">
        <v>562</v>
      </c>
      <c r="D58" t="s">
        <v>479</v>
      </c>
      <c r="E58" s="89">
        <f>HLOOKUP($D$4,'Bourgeoisie investissement'!$E$3:$R$184,53,0)</f>
        <v>0</v>
      </c>
    </row>
    <row r="59" spans="2:5" x14ac:dyDescent="0.3">
      <c r="C59">
        <v>563</v>
      </c>
      <c r="D59" t="s">
        <v>480</v>
      </c>
      <c r="E59" s="89">
        <f>HLOOKUP($D$4,'Bourgeoisie investissement'!$E$3:$R$184,54,0)</f>
        <v>0</v>
      </c>
    </row>
    <row r="60" spans="2:5" x14ac:dyDescent="0.3">
      <c r="C60">
        <v>564</v>
      </c>
      <c r="D60" t="s">
        <v>481</v>
      </c>
      <c r="E60" s="89">
        <f>HLOOKUP($D$4,'Bourgeoisie investissement'!$E$3:$R$184,55,0)</f>
        <v>0</v>
      </c>
    </row>
    <row r="61" spans="2:5" x14ac:dyDescent="0.3">
      <c r="C61">
        <v>565</v>
      </c>
      <c r="D61" t="s">
        <v>482</v>
      </c>
      <c r="E61" s="89">
        <f>HLOOKUP($D$4,'Bourgeoisie investissement'!$E$3:$R$184,56,0)</f>
        <v>0</v>
      </c>
    </row>
    <row r="62" spans="2:5" x14ac:dyDescent="0.3">
      <c r="C62">
        <v>566</v>
      </c>
      <c r="D62" t="s">
        <v>483</v>
      </c>
      <c r="E62" s="89">
        <f>HLOOKUP($D$4,'Bourgeoisie investissement'!$E$3:$R$184,57,0)</f>
        <v>0</v>
      </c>
    </row>
    <row r="63" spans="2:5" x14ac:dyDescent="0.3">
      <c r="C63">
        <v>567</v>
      </c>
      <c r="D63" t="s">
        <v>484</v>
      </c>
      <c r="E63" s="89">
        <f>HLOOKUP($D$4,'Bourgeoisie investissement'!$E$3:$R$184,58,0)</f>
        <v>0</v>
      </c>
    </row>
    <row r="64" spans="2:5" x14ac:dyDescent="0.3">
      <c r="C64">
        <v>568</v>
      </c>
      <c r="D64" t="s">
        <v>485</v>
      </c>
      <c r="E64" s="89">
        <f>HLOOKUP($D$4,'Bourgeoisie investissement'!$E$3:$R$184,59,0)</f>
        <v>0</v>
      </c>
    </row>
    <row r="65" spans="2:5" x14ac:dyDescent="0.3">
      <c r="E65" s="89"/>
    </row>
    <row r="66" spans="2:5" x14ac:dyDescent="0.3">
      <c r="B66" s="69">
        <v>57</v>
      </c>
      <c r="C66" s="69"/>
      <c r="D66" s="69" t="s">
        <v>487</v>
      </c>
      <c r="E66" s="70">
        <f>HLOOKUP($D$4,'Bourgeoisie investissement'!$E$3:$R$184,61,0)</f>
        <v>0</v>
      </c>
    </row>
    <row r="67" spans="2:5" x14ac:dyDescent="0.3">
      <c r="C67">
        <v>570</v>
      </c>
      <c r="D67" t="s">
        <v>477</v>
      </c>
      <c r="E67" s="89">
        <f>HLOOKUP($D$4,'Bourgeoisie investissement'!$E$3:$R$184,62,0)</f>
        <v>0</v>
      </c>
    </row>
    <row r="68" spans="2:5" x14ac:dyDescent="0.3">
      <c r="C68">
        <v>571</v>
      </c>
      <c r="D68" t="s">
        <v>478</v>
      </c>
      <c r="E68" s="89">
        <f>HLOOKUP($D$4,'Bourgeoisie investissement'!$E$3:$R$184,63,0)</f>
        <v>0</v>
      </c>
    </row>
    <row r="69" spans="2:5" x14ac:dyDescent="0.3">
      <c r="C69">
        <v>572</v>
      </c>
      <c r="D69" t="s">
        <v>479</v>
      </c>
      <c r="E69" s="89">
        <f>HLOOKUP($D$4,'Bourgeoisie investissement'!$E$3:$R$184,64,0)</f>
        <v>0</v>
      </c>
    </row>
    <row r="70" spans="2:5" x14ac:dyDescent="0.3">
      <c r="C70">
        <v>573</v>
      </c>
      <c r="D70" t="s">
        <v>480</v>
      </c>
      <c r="E70" s="89">
        <f>HLOOKUP($D$4,'Bourgeoisie investissement'!$E$3:$R$184,65,0)</f>
        <v>0</v>
      </c>
    </row>
    <row r="71" spans="2:5" x14ac:dyDescent="0.3">
      <c r="C71">
        <v>574</v>
      </c>
      <c r="D71" t="s">
        <v>481</v>
      </c>
      <c r="E71" s="89">
        <f>HLOOKUP($D$4,'Bourgeoisie investissement'!$E$3:$R$184,66,0)</f>
        <v>0</v>
      </c>
    </row>
    <row r="72" spans="2:5" x14ac:dyDescent="0.3">
      <c r="C72">
        <v>575</v>
      </c>
      <c r="D72" t="s">
        <v>482</v>
      </c>
      <c r="E72" s="89">
        <f>HLOOKUP($D$4,'Bourgeoisie investissement'!$E$3:$R$184,67,0)</f>
        <v>0</v>
      </c>
    </row>
    <row r="73" spans="2:5" x14ac:dyDescent="0.3">
      <c r="C73">
        <v>576</v>
      </c>
      <c r="D73" t="s">
        <v>483</v>
      </c>
      <c r="E73" s="89">
        <f>HLOOKUP($D$4,'Bourgeoisie investissement'!$E$3:$R$184,68,0)</f>
        <v>0</v>
      </c>
    </row>
    <row r="74" spans="2:5" x14ac:dyDescent="0.3">
      <c r="C74">
        <v>577</v>
      </c>
      <c r="D74" t="s">
        <v>484</v>
      </c>
      <c r="E74" s="89">
        <f>HLOOKUP($D$4,'Bourgeoisie investissement'!$E$3:$R$184,69,0)</f>
        <v>0</v>
      </c>
    </row>
    <row r="75" spans="2:5" x14ac:dyDescent="0.3">
      <c r="C75">
        <v>578</v>
      </c>
      <c r="D75" t="s">
        <v>485</v>
      </c>
      <c r="E75" s="89">
        <f>HLOOKUP($D$4,'Bourgeoisie investissement'!$E$3:$R$184,70,0)</f>
        <v>0</v>
      </c>
    </row>
    <row r="76" spans="2:5" x14ac:dyDescent="0.3">
      <c r="E76" s="89"/>
    </row>
    <row r="77" spans="2:5" x14ac:dyDescent="0.3">
      <c r="B77" s="69">
        <v>58</v>
      </c>
      <c r="C77" s="69"/>
      <c r="D77" s="69" t="s">
        <v>488</v>
      </c>
      <c r="E77" s="70">
        <f>HLOOKUP($D$4,'Bourgeoisie investissement'!$E$3:$R$184,72,0)</f>
        <v>0</v>
      </c>
    </row>
    <row r="78" spans="2:5" x14ac:dyDescent="0.3">
      <c r="C78">
        <v>580</v>
      </c>
      <c r="D78" t="s">
        <v>465</v>
      </c>
      <c r="E78" s="89">
        <f>HLOOKUP($D$4,'Bourgeoisie investissement'!$E$3:$R$184,73,0)</f>
        <v>0</v>
      </c>
    </row>
    <row r="79" spans="2:5" x14ac:dyDescent="0.3">
      <c r="C79">
        <v>582</v>
      </c>
      <c r="D79" t="s">
        <v>475</v>
      </c>
      <c r="E79" s="89">
        <f>HLOOKUP($D$4,'Bourgeoisie investissement'!$E$3:$R$184,74,0)</f>
        <v>0</v>
      </c>
    </row>
    <row r="80" spans="2:5" x14ac:dyDescent="0.3">
      <c r="C80">
        <v>584</v>
      </c>
      <c r="D80" t="s">
        <v>257</v>
      </c>
      <c r="E80" s="89">
        <f>HLOOKUP($D$4,'Bourgeoisie investissement'!$E$3:$R$184,75,0)</f>
        <v>0</v>
      </c>
    </row>
    <row r="81" spans="1:5" x14ac:dyDescent="0.3">
      <c r="C81">
        <v>585</v>
      </c>
      <c r="D81" t="s">
        <v>388</v>
      </c>
      <c r="E81" s="89">
        <f>HLOOKUP($D$4,'Bourgeoisie investissement'!$E$3:$R$184,76,0)</f>
        <v>0</v>
      </c>
    </row>
    <row r="82" spans="1:5" x14ac:dyDescent="0.3">
      <c r="C82">
        <v>586</v>
      </c>
      <c r="D82" t="s">
        <v>489</v>
      </c>
      <c r="E82" s="89">
        <f>HLOOKUP($D$4,'Bourgeoisie investissement'!$E$3:$R$184,77,0)</f>
        <v>0</v>
      </c>
    </row>
    <row r="83" spans="1:5" x14ac:dyDescent="0.3">
      <c r="C83">
        <v>589</v>
      </c>
      <c r="D83" t="s">
        <v>490</v>
      </c>
      <c r="E83" s="89">
        <f>HLOOKUP($D$4,'Bourgeoisie investissement'!$E$3:$R$184,78,0)</f>
        <v>0</v>
      </c>
    </row>
    <row r="84" spans="1:5" x14ac:dyDescent="0.3">
      <c r="E84" s="89"/>
    </row>
    <row r="85" spans="1:5" x14ac:dyDescent="0.3">
      <c r="B85" s="69">
        <v>59</v>
      </c>
      <c r="C85" s="69"/>
      <c r="D85" s="69" t="s">
        <v>491</v>
      </c>
      <c r="E85" s="70">
        <f>HLOOKUP($D$4,'Bourgeoisie investissement'!$E$3:$R$184,80,0)</f>
        <v>91128</v>
      </c>
    </row>
    <row r="86" spans="1:5" x14ac:dyDescent="0.3">
      <c r="C86">
        <v>590</v>
      </c>
      <c r="D86" t="s">
        <v>491</v>
      </c>
      <c r="E86" s="89">
        <f>HLOOKUP($D$4,'Bourgeoisie investissement'!$E$3:$R$184,81,0)</f>
        <v>91128</v>
      </c>
    </row>
    <row r="87" spans="1:5" x14ac:dyDescent="0.3">
      <c r="E87" s="89"/>
    </row>
    <row r="88" spans="1:5" x14ac:dyDescent="0.3">
      <c r="E88" s="89"/>
    </row>
    <row r="89" spans="1:5" x14ac:dyDescent="0.3">
      <c r="E89" s="89"/>
    </row>
    <row r="90" spans="1:5" ht="21" x14ac:dyDescent="0.4">
      <c r="A90" s="104">
        <v>6</v>
      </c>
      <c r="B90" s="104"/>
      <c r="C90" s="104"/>
      <c r="D90" s="104" t="s">
        <v>492</v>
      </c>
      <c r="E90" s="186">
        <f>HLOOKUP($D$4,'Bourgeoisie investissement'!$E$3:$R$184,85,0)</f>
        <v>91128</v>
      </c>
    </row>
    <row r="91" spans="1:5" x14ac:dyDescent="0.3">
      <c r="A91" s="7"/>
      <c r="B91" s="105">
        <v>60</v>
      </c>
      <c r="C91" s="105"/>
      <c r="D91" s="105" t="s">
        <v>493</v>
      </c>
      <c r="E91" s="103">
        <f>HLOOKUP($D$4,'Bourgeoisie investissement'!$E$3:$R$184,86,0)</f>
        <v>0</v>
      </c>
    </row>
    <row r="92" spans="1:5" x14ac:dyDescent="0.3">
      <c r="C92">
        <v>600</v>
      </c>
      <c r="D92" t="s">
        <v>467</v>
      </c>
      <c r="E92" s="89">
        <f>HLOOKUP($D$4,'Bourgeoisie investissement'!$E$3:$R$184,87,0)</f>
        <v>0</v>
      </c>
    </row>
    <row r="93" spans="1:5" x14ac:dyDescent="0.3">
      <c r="C93">
        <v>601</v>
      </c>
      <c r="D93" t="s">
        <v>468</v>
      </c>
      <c r="E93" s="89">
        <f>HLOOKUP($D$4,'Bourgeoisie investissement'!$E$3:$R$184,88,0)</f>
        <v>0</v>
      </c>
    </row>
    <row r="94" spans="1:5" x14ac:dyDescent="0.3">
      <c r="C94">
        <v>602</v>
      </c>
      <c r="D94" t="s">
        <v>469</v>
      </c>
      <c r="E94" s="89">
        <f>HLOOKUP($D$4,'Bourgeoisie investissement'!$E$3:$R$184,89,0)</f>
        <v>0</v>
      </c>
    </row>
    <row r="95" spans="1:5" x14ac:dyDescent="0.3">
      <c r="C95">
        <v>603</v>
      </c>
      <c r="D95" t="s">
        <v>470</v>
      </c>
      <c r="E95" s="89">
        <f>HLOOKUP($D$4,'Bourgeoisie investissement'!$E$3:$R$184,90,0)</f>
        <v>0</v>
      </c>
    </row>
    <row r="96" spans="1:5" x14ac:dyDescent="0.3">
      <c r="C96">
        <v>604</v>
      </c>
      <c r="D96" t="s">
        <v>471</v>
      </c>
      <c r="E96" s="89">
        <f>HLOOKUP($D$4,'Bourgeoisie investissement'!$E$3:$R$184,91,0)</f>
        <v>0</v>
      </c>
    </row>
    <row r="97" spans="2:5" x14ac:dyDescent="0.3">
      <c r="C97">
        <v>605</v>
      </c>
      <c r="D97" t="s">
        <v>472</v>
      </c>
      <c r="E97" s="89">
        <f>HLOOKUP($D$4,'Bourgeoisie investissement'!$E$3:$R$184,92,0)</f>
        <v>0</v>
      </c>
    </row>
    <row r="98" spans="2:5" x14ac:dyDescent="0.3">
      <c r="C98">
        <v>606</v>
      </c>
      <c r="D98" t="s">
        <v>473</v>
      </c>
      <c r="E98" s="89">
        <f>HLOOKUP($D$4,'Bourgeoisie investissement'!$E$3:$R$184,93,0)</f>
        <v>0</v>
      </c>
    </row>
    <row r="99" spans="2:5" x14ac:dyDescent="0.3">
      <c r="C99">
        <v>609</v>
      </c>
      <c r="D99" t="s">
        <v>474</v>
      </c>
      <c r="E99" s="89">
        <f>HLOOKUP($D$4,'Bourgeoisie investissement'!$E$3:$R$184,94,0)</f>
        <v>0</v>
      </c>
    </row>
    <row r="100" spans="2:5" x14ac:dyDescent="0.3">
      <c r="E100" s="89"/>
    </row>
    <row r="101" spans="2:5" x14ac:dyDescent="0.3">
      <c r="B101" s="105">
        <v>61</v>
      </c>
      <c r="C101" s="105"/>
      <c r="D101" s="105" t="s">
        <v>494</v>
      </c>
      <c r="E101" s="103">
        <f>HLOOKUP($D$4,'Bourgeoisie investissement'!$E$3:$R$184,96,0)</f>
        <v>0</v>
      </c>
    </row>
    <row r="102" spans="2:5" x14ac:dyDescent="0.3">
      <c r="C102">
        <v>610</v>
      </c>
      <c r="D102" t="s">
        <v>467</v>
      </c>
      <c r="E102" s="89">
        <f>HLOOKUP($D$4,'Bourgeoisie investissement'!$E$3:$R$184,97,0)</f>
        <v>0</v>
      </c>
    </row>
    <row r="103" spans="2:5" x14ac:dyDescent="0.3">
      <c r="C103">
        <v>611</v>
      </c>
      <c r="D103" t="s">
        <v>468</v>
      </c>
      <c r="E103" s="89">
        <f>HLOOKUP($D$4,'Bourgeoisie investissement'!$E$3:$R$184,98,0)</f>
        <v>0</v>
      </c>
    </row>
    <row r="104" spans="2:5" x14ac:dyDescent="0.3">
      <c r="C104">
        <v>612</v>
      </c>
      <c r="D104" t="s">
        <v>469</v>
      </c>
      <c r="E104" s="89">
        <f>HLOOKUP($D$4,'Bourgeoisie investissement'!$E$3:$R$184,99,0)</f>
        <v>0</v>
      </c>
    </row>
    <row r="105" spans="2:5" x14ac:dyDescent="0.3">
      <c r="C105">
        <v>613</v>
      </c>
      <c r="D105" t="s">
        <v>470</v>
      </c>
      <c r="E105" s="89">
        <f>HLOOKUP($D$4,'Bourgeoisie investissement'!$E$3:$R$184,100,0)</f>
        <v>0</v>
      </c>
    </row>
    <row r="106" spans="2:5" x14ac:dyDescent="0.3">
      <c r="C106">
        <v>614</v>
      </c>
      <c r="D106" t="s">
        <v>471</v>
      </c>
      <c r="E106" s="89">
        <f>HLOOKUP($D$4,'Bourgeoisie investissement'!$E$3:$R$184,101,0)</f>
        <v>0</v>
      </c>
    </row>
    <row r="107" spans="2:5" x14ac:dyDescent="0.3">
      <c r="C107">
        <v>615</v>
      </c>
      <c r="D107" t="s">
        <v>472</v>
      </c>
      <c r="E107" s="89">
        <f>HLOOKUP($D$4,'Bourgeoisie investissement'!$E$3:$R$184,102,0)</f>
        <v>0</v>
      </c>
    </row>
    <row r="108" spans="2:5" x14ac:dyDescent="0.3">
      <c r="C108">
        <v>616</v>
      </c>
      <c r="D108" t="s">
        <v>473</v>
      </c>
      <c r="E108" s="89">
        <f>HLOOKUP($D$4,'Bourgeoisie investissement'!$E$3:$R$184,103,0)</f>
        <v>0</v>
      </c>
    </row>
    <row r="109" spans="2:5" x14ac:dyDescent="0.3">
      <c r="C109">
        <v>619</v>
      </c>
      <c r="D109" t="s">
        <v>474</v>
      </c>
      <c r="E109" s="89">
        <f>HLOOKUP($D$4,'Bourgeoisie investissement'!$E$3:$R$184,104,0)</f>
        <v>0</v>
      </c>
    </row>
    <row r="110" spans="2:5" x14ac:dyDescent="0.3">
      <c r="E110" s="89"/>
    </row>
    <row r="111" spans="2:5" x14ac:dyDescent="0.3">
      <c r="B111" s="105">
        <v>62</v>
      </c>
      <c r="C111" s="105"/>
      <c r="D111" s="105" t="s">
        <v>495</v>
      </c>
      <c r="E111" s="103">
        <f>HLOOKUP($D$4,'Bourgeoisie investissement'!$E$3:$R$184,106,0)</f>
        <v>0</v>
      </c>
    </row>
    <row r="112" spans="2:5" x14ac:dyDescent="0.3">
      <c r="C112">
        <v>620</v>
      </c>
      <c r="D112" t="s">
        <v>375</v>
      </c>
      <c r="E112" s="89">
        <f>HLOOKUP($D$4,'Bourgeoisie investissement'!$E$3:$R$184,107,0)</f>
        <v>0</v>
      </c>
    </row>
    <row r="113" spans="2:5" x14ac:dyDescent="0.3">
      <c r="C113">
        <v>621</v>
      </c>
      <c r="D113" t="s">
        <v>376</v>
      </c>
      <c r="E113" s="89">
        <f>HLOOKUP($D$4,'Bourgeoisie investissement'!$E$3:$R$184,108,0)</f>
        <v>0</v>
      </c>
    </row>
    <row r="114" spans="2:5" x14ac:dyDescent="0.3">
      <c r="C114">
        <v>629</v>
      </c>
      <c r="D114" t="s">
        <v>476</v>
      </c>
      <c r="E114" s="89">
        <f>HLOOKUP($D$4,'Bourgeoisie investissement'!$E$3:$R$184,109,0)</f>
        <v>0</v>
      </c>
    </row>
    <row r="115" spans="2:5" x14ac:dyDescent="0.3">
      <c r="E115" s="89"/>
    </row>
    <row r="116" spans="2:5" x14ac:dyDescent="0.3">
      <c r="B116" s="105">
        <v>63</v>
      </c>
      <c r="C116" s="105"/>
      <c r="D116" s="105" t="s">
        <v>496</v>
      </c>
      <c r="E116" s="103">
        <f>HLOOKUP($D$4,'Bourgeoisie investissement'!$E$3:$R$184,111,0)</f>
        <v>91128</v>
      </c>
    </row>
    <row r="117" spans="2:5" x14ac:dyDescent="0.3">
      <c r="C117">
        <v>630</v>
      </c>
      <c r="D117" t="s">
        <v>477</v>
      </c>
      <c r="E117" s="89">
        <f>HLOOKUP($D$4,'Bourgeoisie investissement'!$E$3:$R$184,112,0)</f>
        <v>0</v>
      </c>
    </row>
    <row r="118" spans="2:5" x14ac:dyDescent="0.3">
      <c r="C118">
        <v>631</v>
      </c>
      <c r="D118" t="s">
        <v>478</v>
      </c>
      <c r="E118" s="89">
        <f>HLOOKUP($D$4,'Bourgeoisie investissement'!$E$3:$R$184,113,0)</f>
        <v>91128</v>
      </c>
    </row>
    <row r="119" spans="2:5" x14ac:dyDescent="0.3">
      <c r="C119">
        <v>632</v>
      </c>
      <c r="D119" t="s">
        <v>479</v>
      </c>
      <c r="E119" s="89">
        <f>HLOOKUP($D$4,'Bourgeoisie investissement'!$E$3:$R$184,114,0)</f>
        <v>0</v>
      </c>
    </row>
    <row r="120" spans="2:5" x14ac:dyDescent="0.3">
      <c r="C120">
        <v>633</v>
      </c>
      <c r="D120" t="s">
        <v>480</v>
      </c>
      <c r="E120" s="89">
        <f>HLOOKUP($D$4,'Bourgeoisie investissement'!$E$3:$R$184,115,0)</f>
        <v>0</v>
      </c>
    </row>
    <row r="121" spans="2:5" x14ac:dyDescent="0.3">
      <c r="C121">
        <v>634</v>
      </c>
      <c r="D121" t="s">
        <v>481</v>
      </c>
      <c r="E121" s="89">
        <f>HLOOKUP($D$4,'Bourgeoisie investissement'!$E$3:$R$184,116,0)</f>
        <v>0</v>
      </c>
    </row>
    <row r="122" spans="2:5" x14ac:dyDescent="0.3">
      <c r="C122">
        <v>635</v>
      </c>
      <c r="D122" t="s">
        <v>482</v>
      </c>
      <c r="E122" s="89">
        <f>HLOOKUP($D$4,'Bourgeoisie investissement'!$E$3:$R$184,117,0)</f>
        <v>0</v>
      </c>
    </row>
    <row r="123" spans="2:5" x14ac:dyDescent="0.3">
      <c r="C123">
        <v>636</v>
      </c>
      <c r="D123" t="s">
        <v>483</v>
      </c>
      <c r="E123" s="89">
        <f>HLOOKUP($D$4,'Bourgeoisie investissement'!$E$3:$R$184,118,0)</f>
        <v>0</v>
      </c>
    </row>
    <row r="124" spans="2:5" x14ac:dyDescent="0.3">
      <c r="C124">
        <v>637</v>
      </c>
      <c r="D124" t="s">
        <v>484</v>
      </c>
      <c r="E124" s="89">
        <f>HLOOKUP($D$4,'Bourgeoisie investissement'!$E$3:$R$184,119,0)</f>
        <v>0</v>
      </c>
    </row>
    <row r="125" spans="2:5" x14ac:dyDescent="0.3">
      <c r="C125">
        <v>638</v>
      </c>
      <c r="D125" t="s">
        <v>485</v>
      </c>
      <c r="E125" s="89">
        <f>HLOOKUP($D$4,'Bourgeoisie investissement'!$E$3:$R$184,120,0)</f>
        <v>0</v>
      </c>
    </row>
    <row r="126" spans="2:5" x14ac:dyDescent="0.3">
      <c r="E126" s="89"/>
    </row>
    <row r="127" spans="2:5" x14ac:dyDescent="0.3">
      <c r="B127" s="105">
        <v>64</v>
      </c>
      <c r="C127" s="105"/>
      <c r="D127" s="105" t="s">
        <v>497</v>
      </c>
      <c r="E127" s="103">
        <f>HLOOKUP($D$4,'Bourgeoisie investissement'!$E$3:$R$184,122,0)</f>
        <v>0</v>
      </c>
    </row>
    <row r="128" spans="2:5" x14ac:dyDescent="0.3">
      <c r="C128">
        <v>640</v>
      </c>
      <c r="D128" t="s">
        <v>477</v>
      </c>
      <c r="E128" s="89">
        <f>HLOOKUP($D$4,'Bourgeoisie investissement'!$E$3:$R$184,123,0)</f>
        <v>0</v>
      </c>
    </row>
    <row r="129" spans="2:5" x14ac:dyDescent="0.3">
      <c r="C129">
        <v>641</v>
      </c>
      <c r="D129" t="s">
        <v>478</v>
      </c>
      <c r="E129" s="89">
        <f>HLOOKUP($D$4,'Bourgeoisie investissement'!$E$3:$R$184,124,0)</f>
        <v>0</v>
      </c>
    </row>
    <row r="130" spans="2:5" x14ac:dyDescent="0.3">
      <c r="C130">
        <v>642</v>
      </c>
      <c r="D130" t="s">
        <v>479</v>
      </c>
      <c r="E130" s="89">
        <f>HLOOKUP($D$4,'Bourgeoisie investissement'!$E$3:$R$184,125,0)</f>
        <v>0</v>
      </c>
    </row>
    <row r="131" spans="2:5" x14ac:dyDescent="0.3">
      <c r="C131">
        <v>643</v>
      </c>
      <c r="D131" t="s">
        <v>480</v>
      </c>
      <c r="E131" s="89">
        <f>HLOOKUP($D$4,'Bourgeoisie investissement'!$E$3:$R$184,126,0)</f>
        <v>0</v>
      </c>
    </row>
    <row r="132" spans="2:5" x14ac:dyDescent="0.3">
      <c r="C132">
        <v>644</v>
      </c>
      <c r="D132" t="s">
        <v>481</v>
      </c>
      <c r="E132" s="89">
        <f>HLOOKUP($D$4,'Bourgeoisie investissement'!$E$3:$R$184,127,0)</f>
        <v>0</v>
      </c>
    </row>
    <row r="133" spans="2:5" x14ac:dyDescent="0.3">
      <c r="C133">
        <v>645</v>
      </c>
      <c r="D133" t="s">
        <v>482</v>
      </c>
      <c r="E133" s="89">
        <f>HLOOKUP($D$4,'Bourgeoisie investissement'!$E$3:$R$184,128,0)</f>
        <v>0</v>
      </c>
    </row>
    <row r="134" spans="2:5" x14ac:dyDescent="0.3">
      <c r="C134">
        <v>646</v>
      </c>
      <c r="D134" t="s">
        <v>483</v>
      </c>
      <c r="E134" s="89">
        <f>HLOOKUP($D$4,'Bourgeoisie investissement'!$E$3:$R$184,129,0)</f>
        <v>0</v>
      </c>
    </row>
    <row r="135" spans="2:5" x14ac:dyDescent="0.3">
      <c r="C135">
        <v>647</v>
      </c>
      <c r="D135" t="s">
        <v>484</v>
      </c>
      <c r="E135" s="89">
        <f>HLOOKUP($D$4,'Bourgeoisie investissement'!$E$3:$R$184,130,0)</f>
        <v>0</v>
      </c>
    </row>
    <row r="136" spans="2:5" x14ac:dyDescent="0.3">
      <c r="C136">
        <v>648</v>
      </c>
      <c r="D136" t="s">
        <v>485</v>
      </c>
      <c r="E136" s="89">
        <f>HLOOKUP($D$4,'Bourgeoisie investissement'!$E$3:$R$184,131,0)</f>
        <v>0</v>
      </c>
    </row>
    <row r="137" spans="2:5" x14ac:dyDescent="0.3">
      <c r="E137" s="89"/>
    </row>
    <row r="138" spans="2:5" x14ac:dyDescent="0.3">
      <c r="B138" s="105">
        <v>65</v>
      </c>
      <c r="C138" s="105"/>
      <c r="D138" s="105" t="s">
        <v>498</v>
      </c>
      <c r="E138" s="103">
        <f>HLOOKUP($D$4,'Bourgeoisie investissement'!$E$3:$R$184,133,0)</f>
        <v>0</v>
      </c>
    </row>
    <row r="139" spans="2:5" x14ac:dyDescent="0.3">
      <c r="C139">
        <v>650</v>
      </c>
      <c r="D139" t="s">
        <v>477</v>
      </c>
      <c r="E139" s="89">
        <f>HLOOKUP($D$4,'Bourgeoisie investissement'!$E$3:$R$184,134,0)</f>
        <v>0</v>
      </c>
    </row>
    <row r="140" spans="2:5" x14ac:dyDescent="0.3">
      <c r="C140">
        <v>651</v>
      </c>
      <c r="D140" t="s">
        <v>478</v>
      </c>
      <c r="E140" s="89">
        <f>HLOOKUP($D$4,'Bourgeoisie investissement'!$E$3:$R$184,135,0)</f>
        <v>0</v>
      </c>
    </row>
    <row r="141" spans="2:5" x14ac:dyDescent="0.3">
      <c r="C141">
        <v>652</v>
      </c>
      <c r="D141" t="s">
        <v>479</v>
      </c>
      <c r="E141" s="89">
        <f>HLOOKUP($D$4,'Bourgeoisie investissement'!$E$3:$R$184,136,0)</f>
        <v>0</v>
      </c>
    </row>
    <row r="142" spans="2:5" x14ac:dyDescent="0.3">
      <c r="C142">
        <v>653</v>
      </c>
      <c r="D142" t="s">
        <v>480</v>
      </c>
      <c r="E142" s="89">
        <f>HLOOKUP($D$4,'Bourgeoisie investissement'!$E$3:$R$184,137,0)</f>
        <v>0</v>
      </c>
    </row>
    <row r="143" spans="2:5" x14ac:dyDescent="0.3">
      <c r="C143">
        <v>654</v>
      </c>
      <c r="D143" t="s">
        <v>481</v>
      </c>
      <c r="E143" s="89">
        <f>HLOOKUP($D$4,'Bourgeoisie investissement'!$E$3:$R$184,138,0)</f>
        <v>0</v>
      </c>
    </row>
    <row r="144" spans="2:5" x14ac:dyDescent="0.3">
      <c r="C144">
        <v>655</v>
      </c>
      <c r="D144" t="s">
        <v>482</v>
      </c>
      <c r="E144" s="89">
        <f>HLOOKUP($D$4,'Bourgeoisie investissement'!$E$3:$R$184,139,0)</f>
        <v>0</v>
      </c>
    </row>
    <row r="145" spans="2:5" x14ac:dyDescent="0.3">
      <c r="C145">
        <v>656</v>
      </c>
      <c r="D145" t="s">
        <v>483</v>
      </c>
      <c r="E145" s="89">
        <f>HLOOKUP($D$4,'Bourgeoisie investissement'!$E$3:$R$184,140,0)</f>
        <v>0</v>
      </c>
    </row>
    <row r="146" spans="2:5" x14ac:dyDescent="0.3">
      <c r="C146">
        <v>657</v>
      </c>
      <c r="D146" t="s">
        <v>484</v>
      </c>
      <c r="E146" s="89">
        <f>HLOOKUP($D$4,'Bourgeoisie investissement'!$E$3:$R$184,141,0)</f>
        <v>0</v>
      </c>
    </row>
    <row r="147" spans="2:5" x14ac:dyDescent="0.3">
      <c r="C147">
        <v>658</v>
      </c>
      <c r="D147" t="s">
        <v>485</v>
      </c>
      <c r="E147" s="89">
        <f>HLOOKUP($D$4,'Bourgeoisie investissement'!$E$3:$R$184,142,0)</f>
        <v>0</v>
      </c>
    </row>
    <row r="148" spans="2:5" x14ac:dyDescent="0.3">
      <c r="E148" s="89"/>
    </row>
    <row r="149" spans="2:5" x14ac:dyDescent="0.3">
      <c r="B149" s="105">
        <v>66</v>
      </c>
      <c r="C149" s="105"/>
      <c r="D149" s="105" t="s">
        <v>499</v>
      </c>
      <c r="E149" s="103">
        <f>HLOOKUP($D$4,'Bourgeoisie investissement'!$E$3:$R$184,144,0)</f>
        <v>0</v>
      </c>
    </row>
    <row r="150" spans="2:5" x14ac:dyDescent="0.3">
      <c r="C150">
        <v>660</v>
      </c>
      <c r="D150" t="s">
        <v>477</v>
      </c>
      <c r="E150" s="89">
        <f>HLOOKUP($D$4,'Bourgeoisie investissement'!$E$3:$R$184,145,0)</f>
        <v>0</v>
      </c>
    </row>
    <row r="151" spans="2:5" x14ac:dyDescent="0.3">
      <c r="C151">
        <v>661</v>
      </c>
      <c r="D151" t="s">
        <v>478</v>
      </c>
      <c r="E151" s="89">
        <f>HLOOKUP($D$4,'Bourgeoisie investissement'!$E$3:$R$184,146,0)</f>
        <v>0</v>
      </c>
    </row>
    <row r="152" spans="2:5" x14ac:dyDescent="0.3">
      <c r="C152">
        <v>662</v>
      </c>
      <c r="D152" t="s">
        <v>479</v>
      </c>
      <c r="E152" s="89">
        <f>HLOOKUP($D$4,'Bourgeoisie investissement'!$E$3:$R$184,147,0)</f>
        <v>0</v>
      </c>
    </row>
    <row r="153" spans="2:5" x14ac:dyDescent="0.3">
      <c r="C153">
        <v>663</v>
      </c>
      <c r="D153" t="s">
        <v>480</v>
      </c>
      <c r="E153" s="89">
        <f>HLOOKUP($D$4,'Bourgeoisie investissement'!$E$3:$R$184,148,0)</f>
        <v>0</v>
      </c>
    </row>
    <row r="154" spans="2:5" x14ac:dyDescent="0.3">
      <c r="C154">
        <v>664</v>
      </c>
      <c r="D154" t="s">
        <v>481</v>
      </c>
      <c r="E154" s="89">
        <f>HLOOKUP($D$4,'Bourgeoisie investissement'!$E$3:$R$184,149,0)</f>
        <v>0</v>
      </c>
    </row>
    <row r="155" spans="2:5" x14ac:dyDescent="0.3">
      <c r="C155">
        <v>665</v>
      </c>
      <c r="D155" t="s">
        <v>482</v>
      </c>
      <c r="E155" s="89">
        <f>HLOOKUP($D$4,'Bourgeoisie investissement'!$E$3:$R$184,150,0)</f>
        <v>0</v>
      </c>
    </row>
    <row r="156" spans="2:5" x14ac:dyDescent="0.3">
      <c r="C156">
        <v>666</v>
      </c>
      <c r="D156" t="s">
        <v>483</v>
      </c>
      <c r="E156" s="89">
        <f>HLOOKUP($D$4,'Bourgeoisie investissement'!$E$3:$R$184,151,0)</f>
        <v>0</v>
      </c>
    </row>
    <row r="157" spans="2:5" x14ac:dyDescent="0.3">
      <c r="C157">
        <v>667</v>
      </c>
      <c r="D157" t="s">
        <v>484</v>
      </c>
      <c r="E157" s="89">
        <f>HLOOKUP($D$4,'Bourgeoisie investissement'!$E$3:$R$184,152,0)</f>
        <v>0</v>
      </c>
    </row>
    <row r="158" spans="2:5" x14ac:dyDescent="0.3">
      <c r="C158">
        <v>668</v>
      </c>
      <c r="D158" t="s">
        <v>485</v>
      </c>
      <c r="E158" s="89">
        <f>HLOOKUP($D$4,'Bourgeoisie investissement'!$E$3:$R$184,153,0)</f>
        <v>0</v>
      </c>
    </row>
    <row r="159" spans="2:5" x14ac:dyDescent="0.3">
      <c r="E159" s="89"/>
    </row>
    <row r="160" spans="2:5" x14ac:dyDescent="0.3">
      <c r="B160" s="105">
        <v>67</v>
      </c>
      <c r="C160" s="105"/>
      <c r="D160" s="105" t="s">
        <v>487</v>
      </c>
      <c r="E160" s="103">
        <f>HLOOKUP($D$4,'Bourgeoisie investissement'!$E$3:$R$184,155,0)</f>
        <v>0</v>
      </c>
    </row>
    <row r="161" spans="2:5" x14ac:dyDescent="0.3">
      <c r="C161">
        <v>670</v>
      </c>
      <c r="D161" t="s">
        <v>477</v>
      </c>
      <c r="E161" s="89">
        <f>HLOOKUP($D$4,'Bourgeoisie investissement'!$E$3:$R$184,156,0)</f>
        <v>0</v>
      </c>
    </row>
    <row r="162" spans="2:5" x14ac:dyDescent="0.3">
      <c r="C162">
        <v>671</v>
      </c>
      <c r="D162" t="s">
        <v>478</v>
      </c>
      <c r="E162" s="89">
        <f>HLOOKUP($D$4,'Bourgeoisie investissement'!$E$3:$R$184,157,0)</f>
        <v>0</v>
      </c>
    </row>
    <row r="163" spans="2:5" x14ac:dyDescent="0.3">
      <c r="C163">
        <v>672</v>
      </c>
      <c r="D163" t="s">
        <v>479</v>
      </c>
      <c r="E163" s="89">
        <f>HLOOKUP($D$4,'Bourgeoisie investissement'!$E$3:$R$184,158,0)</f>
        <v>0</v>
      </c>
    </row>
    <row r="164" spans="2:5" x14ac:dyDescent="0.3">
      <c r="C164">
        <v>673</v>
      </c>
      <c r="D164" t="s">
        <v>480</v>
      </c>
      <c r="E164" s="89">
        <f>HLOOKUP($D$4,'Bourgeoisie investissement'!$E$3:$R$184,159,0)</f>
        <v>0</v>
      </c>
    </row>
    <row r="165" spans="2:5" x14ac:dyDescent="0.3">
      <c r="C165">
        <v>674</v>
      </c>
      <c r="D165" t="s">
        <v>481</v>
      </c>
      <c r="E165" s="89">
        <f>HLOOKUP($D$4,'Bourgeoisie investissement'!$E$3:$R$184,160,0)</f>
        <v>0</v>
      </c>
    </row>
    <row r="166" spans="2:5" x14ac:dyDescent="0.3">
      <c r="C166">
        <v>675</v>
      </c>
      <c r="D166" t="s">
        <v>482</v>
      </c>
      <c r="E166" s="89">
        <f>HLOOKUP($D$4,'Bourgeoisie investissement'!$E$3:$R$184,161,0)</f>
        <v>0</v>
      </c>
    </row>
    <row r="167" spans="2:5" x14ac:dyDescent="0.3">
      <c r="C167">
        <v>676</v>
      </c>
      <c r="D167" t="s">
        <v>483</v>
      </c>
      <c r="E167" s="89">
        <f>HLOOKUP($D$4,'Bourgeoisie investissement'!$E$3:$R$184,162,0)</f>
        <v>0</v>
      </c>
    </row>
    <row r="168" spans="2:5" x14ac:dyDescent="0.3">
      <c r="C168">
        <v>677</v>
      </c>
      <c r="D168" t="s">
        <v>484</v>
      </c>
      <c r="E168" s="89">
        <f>HLOOKUP($D$4,'Bourgeoisie investissement'!$E$3:$R$184,163,0)</f>
        <v>0</v>
      </c>
    </row>
    <row r="169" spans="2:5" x14ac:dyDescent="0.3">
      <c r="C169">
        <v>678</v>
      </c>
      <c r="D169" t="s">
        <v>485</v>
      </c>
      <c r="E169" s="89">
        <f>HLOOKUP($D$4,'Bourgeoisie investissement'!$E$3:$R$184,164,0)</f>
        <v>0</v>
      </c>
    </row>
    <row r="170" spans="2:5" x14ac:dyDescent="0.3">
      <c r="E170" s="89"/>
    </row>
    <row r="171" spans="2:5" x14ac:dyDescent="0.3">
      <c r="B171" s="105">
        <v>68</v>
      </c>
      <c r="C171" s="105"/>
      <c r="D171" s="105" t="s">
        <v>500</v>
      </c>
      <c r="E171" s="103">
        <f>HLOOKUP($D$4,'Bourgeoisie investissement'!$E$3:$R$184,166,0)</f>
        <v>0</v>
      </c>
    </row>
    <row r="172" spans="2:5" x14ac:dyDescent="0.3">
      <c r="C172">
        <v>680</v>
      </c>
      <c r="D172" t="s">
        <v>465</v>
      </c>
      <c r="E172" s="89">
        <f>HLOOKUP($D$4,'Bourgeoisie investissement'!$E$3:$R$184,167,0)</f>
        <v>0</v>
      </c>
    </row>
    <row r="173" spans="2:5" x14ac:dyDescent="0.3">
      <c r="C173">
        <v>682</v>
      </c>
      <c r="D173" t="s">
        <v>475</v>
      </c>
      <c r="E173" s="89">
        <f>HLOOKUP($D$4,'Bourgeoisie investissement'!$E$3:$R$184,168,0)</f>
        <v>0</v>
      </c>
    </row>
    <row r="174" spans="2:5" x14ac:dyDescent="0.3">
      <c r="C174">
        <v>683</v>
      </c>
      <c r="D174" t="s">
        <v>501</v>
      </c>
      <c r="E174" s="89">
        <f>HLOOKUP($D$4,'Bourgeoisie investissement'!$E$3:$R$184,169,0)</f>
        <v>0</v>
      </c>
    </row>
    <row r="175" spans="2:5" x14ac:dyDescent="0.3">
      <c r="C175">
        <v>684</v>
      </c>
      <c r="D175" t="s">
        <v>257</v>
      </c>
      <c r="E175" s="89">
        <f>HLOOKUP($D$4,'Bourgeoisie investissement'!$E$3:$R$184,170,0)</f>
        <v>0</v>
      </c>
    </row>
    <row r="176" spans="2:5" x14ac:dyDescent="0.3">
      <c r="C176">
        <v>685</v>
      </c>
      <c r="D176" t="s">
        <v>388</v>
      </c>
      <c r="E176" s="89">
        <f>HLOOKUP($D$4,'Bourgeoisie investissement'!$E$3:$R$184,171,0)</f>
        <v>0</v>
      </c>
    </row>
    <row r="177" spans="2:5" x14ac:dyDescent="0.3">
      <c r="C177">
        <v>686</v>
      </c>
      <c r="D177" t="s">
        <v>502</v>
      </c>
      <c r="E177" s="89">
        <f>HLOOKUP($D$4,'Bourgeoisie investissement'!$E$3:$R$184,172,0)</f>
        <v>0</v>
      </c>
    </row>
    <row r="178" spans="2:5" x14ac:dyDescent="0.3">
      <c r="C178">
        <v>689</v>
      </c>
      <c r="D178" t="s">
        <v>503</v>
      </c>
      <c r="E178" s="89">
        <f>HLOOKUP($D$4,'Bourgeoisie investissement'!$E$3:$R$184,173,0)</f>
        <v>0</v>
      </c>
    </row>
    <row r="179" spans="2:5" x14ac:dyDescent="0.3">
      <c r="E179" s="89"/>
    </row>
    <row r="180" spans="2:5" x14ac:dyDescent="0.3">
      <c r="B180" s="105">
        <v>69</v>
      </c>
      <c r="C180" s="105"/>
      <c r="D180" s="105" t="s">
        <v>504</v>
      </c>
      <c r="E180" s="103">
        <f>HLOOKUP($D$4,'Bourgeoisie investissement'!$E$3:$R$184,175,0)</f>
        <v>299600.59999999998</v>
      </c>
    </row>
    <row r="181" spans="2:5" x14ac:dyDescent="0.3">
      <c r="C181">
        <v>690</v>
      </c>
      <c r="D181" t="s">
        <v>504</v>
      </c>
      <c r="E181" s="89">
        <f>HLOOKUP($D$4,'Bourgeoisie investissement'!$E$3:$R$184,176,0)</f>
        <v>299600.59999999998</v>
      </c>
    </row>
    <row r="182" spans="2:5" x14ac:dyDescent="0.3">
      <c r="E182" s="89"/>
    </row>
    <row r="183" spans="2:5" x14ac:dyDescent="0.3">
      <c r="E183" s="89"/>
    </row>
    <row r="184" spans="2:5" x14ac:dyDescent="0.3">
      <c r="E184" s="89"/>
    </row>
    <row r="185" spans="2:5" ht="18" x14ac:dyDescent="0.35">
      <c r="D185" s="188" t="s">
        <v>225</v>
      </c>
      <c r="E185" s="189">
        <f>HLOOKUP($D$4,'Bourgeoisie investissement'!$E$3:$R$184,180,0)</f>
        <v>208472.60000000003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69"/>
  <sheetViews>
    <sheetView workbookViewId="0">
      <selection activeCell="F155" sqref="F155"/>
    </sheetView>
  </sheetViews>
  <sheetFormatPr baseColWidth="10" defaultRowHeight="14.4" x14ac:dyDescent="0.3"/>
  <cols>
    <col min="1" max="2" width="5.6640625" customWidth="1"/>
    <col min="3" max="3" width="9" customWidth="1"/>
    <col min="4" max="4" width="63.5546875" customWidth="1"/>
    <col min="5" max="58" width="16.33203125" customWidth="1"/>
    <col min="59" max="61" width="17.88671875" customWidth="1"/>
  </cols>
  <sheetData>
    <row r="1" spans="1:61" ht="25.8" x14ac:dyDescent="0.5">
      <c r="A1" s="42" t="s">
        <v>199</v>
      </c>
      <c r="B1" s="7"/>
      <c r="C1" s="7"/>
      <c r="D1" s="7"/>
    </row>
    <row r="2" spans="1:61" ht="21" x14ac:dyDescent="0.4">
      <c r="A2" s="202" t="s">
        <v>767</v>
      </c>
      <c r="E2" s="57">
        <v>1</v>
      </c>
      <c r="F2" s="57">
        <v>2</v>
      </c>
      <c r="G2" s="57">
        <v>3</v>
      </c>
      <c r="H2" s="57">
        <v>4</v>
      </c>
      <c r="I2" s="57">
        <v>5</v>
      </c>
      <c r="J2" s="57">
        <v>6</v>
      </c>
      <c r="K2" s="57">
        <v>7</v>
      </c>
      <c r="L2" s="57">
        <v>8</v>
      </c>
      <c r="M2" s="57">
        <v>9</v>
      </c>
      <c r="N2" s="57">
        <v>10</v>
      </c>
      <c r="O2" s="57">
        <v>11</v>
      </c>
      <c r="P2" s="57">
        <v>12</v>
      </c>
      <c r="Q2" s="57">
        <v>13</v>
      </c>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f>SUM(E2:BE2)</f>
        <v>91</v>
      </c>
      <c r="BG2" s="57">
        <f>SUM(E2:W2)</f>
        <v>91</v>
      </c>
      <c r="BH2" s="57">
        <f>SUM(X2:AJ2)</f>
        <v>0</v>
      </c>
      <c r="BI2" s="57">
        <f>SUM(AK2:BE2)</f>
        <v>0</v>
      </c>
    </row>
    <row r="3" spans="1:61" x14ac:dyDescent="0.3">
      <c r="E3" s="43" t="s">
        <v>56</v>
      </c>
      <c r="F3" s="43" t="s">
        <v>18</v>
      </c>
      <c r="G3" s="43" t="s">
        <v>57</v>
      </c>
      <c r="H3" s="43" t="s">
        <v>53</v>
      </c>
      <c r="I3" s="43" t="s">
        <v>33</v>
      </c>
      <c r="J3" s="43" t="s">
        <v>10</v>
      </c>
      <c r="K3" s="43" t="s">
        <v>15</v>
      </c>
      <c r="L3" s="43" t="s">
        <v>28</v>
      </c>
      <c r="M3" s="43" t="s">
        <v>42</v>
      </c>
      <c r="N3" s="43" t="s">
        <v>23</v>
      </c>
      <c r="O3" s="43" t="s">
        <v>22</v>
      </c>
      <c r="P3" s="43" t="s">
        <v>13</v>
      </c>
      <c r="Q3" s="43" t="s">
        <v>17</v>
      </c>
      <c r="R3" s="43"/>
      <c r="S3" s="43"/>
      <c r="T3" s="43"/>
      <c r="U3" s="43"/>
      <c r="V3" s="43"/>
      <c r="W3" s="43"/>
      <c r="X3" s="44"/>
      <c r="Y3" s="44"/>
      <c r="Z3" s="44"/>
      <c r="AA3" s="44"/>
      <c r="AB3" s="44"/>
      <c r="AC3" s="44"/>
      <c r="AD3" s="44"/>
      <c r="AE3" s="44"/>
      <c r="AF3" s="44"/>
      <c r="AG3" s="44"/>
      <c r="AH3" s="44"/>
      <c r="AI3" s="44"/>
      <c r="AJ3" s="44"/>
      <c r="AK3" s="45"/>
      <c r="AL3" s="45"/>
      <c r="AM3" s="45"/>
      <c r="AN3" s="45"/>
      <c r="AO3" s="45"/>
      <c r="AP3" s="45"/>
      <c r="AQ3" s="45"/>
      <c r="AR3" s="45"/>
      <c r="AS3" s="45"/>
      <c r="AT3" s="45"/>
      <c r="AU3" s="45"/>
      <c r="AV3" s="45"/>
      <c r="AW3" s="45"/>
      <c r="AX3" s="45"/>
      <c r="AY3" s="45"/>
      <c r="AZ3" s="45"/>
      <c r="BA3" s="45"/>
      <c r="BB3" s="45"/>
      <c r="BC3" s="45"/>
      <c r="BD3" s="45"/>
      <c r="BE3" s="45"/>
      <c r="BF3" s="47" t="s">
        <v>65</v>
      </c>
      <c r="BG3" s="48" t="s">
        <v>28</v>
      </c>
      <c r="BH3" s="50" t="s">
        <v>64</v>
      </c>
      <c r="BI3" s="46" t="s">
        <v>16</v>
      </c>
    </row>
    <row r="4" spans="1:61" ht="21" x14ac:dyDescent="0.4">
      <c r="A4" s="92">
        <v>3</v>
      </c>
      <c r="B4" s="92"/>
      <c r="C4" s="92"/>
      <c r="D4" s="92" t="s">
        <v>60</v>
      </c>
      <c r="E4" s="93">
        <f>E5+E15+E27+E31+E39+E43+E53+E56+E64</f>
        <v>0</v>
      </c>
      <c r="F4" s="93">
        <f t="shared" ref="F4:BI4" si="0">F5+F15+F27+F31+F39+F43+F53+F56+F64</f>
        <v>0</v>
      </c>
      <c r="G4" s="93">
        <f t="shared" si="0"/>
        <v>0</v>
      </c>
      <c r="H4" s="93">
        <f t="shared" si="0"/>
        <v>0</v>
      </c>
      <c r="I4" s="93">
        <f t="shared" si="0"/>
        <v>0</v>
      </c>
      <c r="J4" s="93">
        <f t="shared" si="0"/>
        <v>0</v>
      </c>
      <c r="K4" s="93">
        <f t="shared" si="0"/>
        <v>0</v>
      </c>
      <c r="L4" s="93">
        <f t="shared" si="0"/>
        <v>0</v>
      </c>
      <c r="M4" s="93">
        <f t="shared" si="0"/>
        <v>0</v>
      </c>
      <c r="N4" s="93">
        <f t="shared" si="0"/>
        <v>0</v>
      </c>
      <c r="O4" s="93">
        <f t="shared" si="0"/>
        <v>0</v>
      </c>
      <c r="P4" s="93">
        <f t="shared" si="0"/>
        <v>0</v>
      </c>
      <c r="Q4" s="93">
        <f t="shared" si="0"/>
        <v>0</v>
      </c>
      <c r="R4" s="93">
        <f t="shared" si="0"/>
        <v>0</v>
      </c>
      <c r="S4" s="93">
        <f t="shared" si="0"/>
        <v>0</v>
      </c>
      <c r="T4" s="93">
        <f t="shared" si="0"/>
        <v>0</v>
      </c>
      <c r="U4" s="93">
        <f t="shared" si="0"/>
        <v>0</v>
      </c>
      <c r="V4" s="93">
        <f t="shared" si="0"/>
        <v>0</v>
      </c>
      <c r="W4" s="93">
        <f t="shared" si="0"/>
        <v>0</v>
      </c>
      <c r="X4" s="93">
        <f t="shared" si="0"/>
        <v>0</v>
      </c>
      <c r="Y4" s="93">
        <f t="shared" si="0"/>
        <v>0</v>
      </c>
      <c r="Z4" s="93">
        <f t="shared" si="0"/>
        <v>0</v>
      </c>
      <c r="AA4" s="93">
        <f t="shared" si="0"/>
        <v>0</v>
      </c>
      <c r="AB4" s="93">
        <f t="shared" si="0"/>
        <v>0</v>
      </c>
      <c r="AC4" s="93">
        <f t="shared" si="0"/>
        <v>0</v>
      </c>
      <c r="AD4" s="93">
        <f t="shared" si="0"/>
        <v>0</v>
      </c>
      <c r="AE4" s="93">
        <f t="shared" si="0"/>
        <v>0</v>
      </c>
      <c r="AF4" s="93">
        <f t="shared" si="0"/>
        <v>0</v>
      </c>
      <c r="AG4" s="93">
        <f t="shared" si="0"/>
        <v>0</v>
      </c>
      <c r="AH4" s="93">
        <f t="shared" si="0"/>
        <v>0</v>
      </c>
      <c r="AI4" s="93">
        <f t="shared" si="0"/>
        <v>0</v>
      </c>
      <c r="AJ4" s="93">
        <f t="shared" si="0"/>
        <v>0</v>
      </c>
      <c r="AK4" s="93">
        <f t="shared" si="0"/>
        <v>0</v>
      </c>
      <c r="AL4" s="93">
        <f t="shared" si="0"/>
        <v>0</v>
      </c>
      <c r="AM4" s="93">
        <f t="shared" si="0"/>
        <v>0</v>
      </c>
      <c r="AN4" s="93">
        <f t="shared" si="0"/>
        <v>0</v>
      </c>
      <c r="AO4" s="93">
        <f t="shared" si="0"/>
        <v>0</v>
      </c>
      <c r="AP4" s="93">
        <f t="shared" si="0"/>
        <v>0</v>
      </c>
      <c r="AQ4" s="93">
        <f t="shared" si="0"/>
        <v>0</v>
      </c>
      <c r="AR4" s="93">
        <f t="shared" si="0"/>
        <v>0</v>
      </c>
      <c r="AS4" s="93">
        <f t="shared" si="0"/>
        <v>0</v>
      </c>
      <c r="AT4" s="93">
        <f t="shared" si="0"/>
        <v>0</v>
      </c>
      <c r="AU4" s="93">
        <f t="shared" si="0"/>
        <v>0</v>
      </c>
      <c r="AV4" s="93">
        <f t="shared" si="0"/>
        <v>0</v>
      </c>
      <c r="AW4" s="93">
        <f t="shared" si="0"/>
        <v>0</v>
      </c>
      <c r="AX4" s="93">
        <f t="shared" si="0"/>
        <v>0</v>
      </c>
      <c r="AY4" s="93">
        <f t="shared" si="0"/>
        <v>0</v>
      </c>
      <c r="AZ4" s="93">
        <f t="shared" si="0"/>
        <v>0</v>
      </c>
      <c r="BA4" s="93">
        <f t="shared" si="0"/>
        <v>0</v>
      </c>
      <c r="BB4" s="93">
        <f t="shared" si="0"/>
        <v>0</v>
      </c>
      <c r="BC4" s="93">
        <f t="shared" si="0"/>
        <v>0</v>
      </c>
      <c r="BD4" s="93">
        <f t="shared" si="0"/>
        <v>0</v>
      </c>
      <c r="BE4" s="93">
        <f t="shared" si="0"/>
        <v>0</v>
      </c>
      <c r="BF4" s="93">
        <f t="shared" si="0"/>
        <v>0</v>
      </c>
      <c r="BG4" s="93">
        <f t="shared" si="0"/>
        <v>0</v>
      </c>
      <c r="BH4" s="93">
        <f t="shared" si="0"/>
        <v>0</v>
      </c>
      <c r="BI4" s="93">
        <f t="shared" si="0"/>
        <v>0</v>
      </c>
    </row>
    <row r="5" spans="1:61" x14ac:dyDescent="0.3">
      <c r="A5" s="94"/>
      <c r="B5" s="94">
        <v>30</v>
      </c>
      <c r="C5" s="94"/>
      <c r="D5" s="94" t="s">
        <v>61</v>
      </c>
      <c r="E5" s="95">
        <f>E6+E7+E8+E9+E10+E11+E12+E13</f>
        <v>0</v>
      </c>
      <c r="F5" s="95">
        <f t="shared" ref="F5:BI5" si="1">F6+F7+F8+F9+F10+F11+F12+F13</f>
        <v>0</v>
      </c>
      <c r="G5" s="95">
        <f t="shared" si="1"/>
        <v>0</v>
      </c>
      <c r="H5" s="95">
        <f t="shared" si="1"/>
        <v>0</v>
      </c>
      <c r="I5" s="95">
        <f t="shared" si="1"/>
        <v>0</v>
      </c>
      <c r="J5" s="95">
        <f t="shared" si="1"/>
        <v>0</v>
      </c>
      <c r="K5" s="95">
        <f t="shared" si="1"/>
        <v>0</v>
      </c>
      <c r="L5" s="95">
        <f t="shared" si="1"/>
        <v>0</v>
      </c>
      <c r="M5" s="95">
        <f t="shared" si="1"/>
        <v>0</v>
      </c>
      <c r="N5" s="95">
        <f t="shared" si="1"/>
        <v>0</v>
      </c>
      <c r="O5" s="95">
        <f t="shared" si="1"/>
        <v>0</v>
      </c>
      <c r="P5" s="95">
        <f t="shared" si="1"/>
        <v>0</v>
      </c>
      <c r="Q5" s="95">
        <f t="shared" si="1"/>
        <v>0</v>
      </c>
      <c r="R5" s="95">
        <f t="shared" si="1"/>
        <v>0</v>
      </c>
      <c r="S5" s="95">
        <f t="shared" si="1"/>
        <v>0</v>
      </c>
      <c r="T5" s="95">
        <f t="shared" si="1"/>
        <v>0</v>
      </c>
      <c r="U5" s="95">
        <f t="shared" si="1"/>
        <v>0</v>
      </c>
      <c r="V5" s="95">
        <f t="shared" si="1"/>
        <v>0</v>
      </c>
      <c r="W5" s="95">
        <f t="shared" si="1"/>
        <v>0</v>
      </c>
      <c r="X5" s="95">
        <f t="shared" si="1"/>
        <v>0</v>
      </c>
      <c r="Y5" s="95">
        <f t="shared" si="1"/>
        <v>0</v>
      </c>
      <c r="Z5" s="95">
        <f t="shared" si="1"/>
        <v>0</v>
      </c>
      <c r="AA5" s="95">
        <f t="shared" si="1"/>
        <v>0</v>
      </c>
      <c r="AB5" s="95">
        <f t="shared" si="1"/>
        <v>0</v>
      </c>
      <c r="AC5" s="95">
        <f t="shared" si="1"/>
        <v>0</v>
      </c>
      <c r="AD5" s="95">
        <f t="shared" si="1"/>
        <v>0</v>
      </c>
      <c r="AE5" s="95">
        <f t="shared" si="1"/>
        <v>0</v>
      </c>
      <c r="AF5" s="95">
        <f t="shared" si="1"/>
        <v>0</v>
      </c>
      <c r="AG5" s="95">
        <f t="shared" si="1"/>
        <v>0</v>
      </c>
      <c r="AH5" s="95">
        <f t="shared" si="1"/>
        <v>0</v>
      </c>
      <c r="AI5" s="95">
        <f t="shared" si="1"/>
        <v>0</v>
      </c>
      <c r="AJ5" s="95">
        <f t="shared" si="1"/>
        <v>0</v>
      </c>
      <c r="AK5" s="95">
        <f t="shared" si="1"/>
        <v>0</v>
      </c>
      <c r="AL5" s="95">
        <f t="shared" si="1"/>
        <v>0</v>
      </c>
      <c r="AM5" s="95">
        <f t="shared" si="1"/>
        <v>0</v>
      </c>
      <c r="AN5" s="95">
        <f t="shared" si="1"/>
        <v>0</v>
      </c>
      <c r="AO5" s="95">
        <f t="shared" si="1"/>
        <v>0</v>
      </c>
      <c r="AP5" s="95">
        <f t="shared" si="1"/>
        <v>0</v>
      </c>
      <c r="AQ5" s="95">
        <f t="shared" si="1"/>
        <v>0</v>
      </c>
      <c r="AR5" s="95">
        <f t="shared" si="1"/>
        <v>0</v>
      </c>
      <c r="AS5" s="95">
        <f t="shared" si="1"/>
        <v>0</v>
      </c>
      <c r="AT5" s="95">
        <f t="shared" si="1"/>
        <v>0</v>
      </c>
      <c r="AU5" s="95">
        <f t="shared" si="1"/>
        <v>0</v>
      </c>
      <c r="AV5" s="95">
        <f t="shared" si="1"/>
        <v>0</v>
      </c>
      <c r="AW5" s="95">
        <f t="shared" si="1"/>
        <v>0</v>
      </c>
      <c r="AX5" s="95">
        <f t="shared" si="1"/>
        <v>0</v>
      </c>
      <c r="AY5" s="95">
        <f t="shared" si="1"/>
        <v>0</v>
      </c>
      <c r="AZ5" s="95">
        <f t="shared" si="1"/>
        <v>0</v>
      </c>
      <c r="BA5" s="95">
        <f t="shared" si="1"/>
        <v>0</v>
      </c>
      <c r="BB5" s="95">
        <f t="shared" si="1"/>
        <v>0</v>
      </c>
      <c r="BC5" s="95">
        <f t="shared" si="1"/>
        <v>0</v>
      </c>
      <c r="BD5" s="95">
        <f t="shared" si="1"/>
        <v>0</v>
      </c>
      <c r="BE5" s="95">
        <f t="shared" si="1"/>
        <v>0</v>
      </c>
      <c r="BF5" s="95">
        <f t="shared" si="1"/>
        <v>0</v>
      </c>
      <c r="BG5" s="95">
        <f t="shared" si="1"/>
        <v>0</v>
      </c>
      <c r="BH5" s="95">
        <f t="shared" si="1"/>
        <v>0</v>
      </c>
      <c r="BI5" s="95">
        <f t="shared" si="1"/>
        <v>0</v>
      </c>
    </row>
    <row r="6" spans="1:61" x14ac:dyDescent="0.3">
      <c r="C6">
        <v>300</v>
      </c>
      <c r="D6" t="s">
        <v>80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f>SUM(E6:BE6)</f>
        <v>0</v>
      </c>
      <c r="BG6" s="4">
        <f>SUM(E6:W6)</f>
        <v>0</v>
      </c>
      <c r="BH6" s="4">
        <f>SUM(X6:AJ6)</f>
        <v>0</v>
      </c>
      <c r="BI6" s="4">
        <f>SUM(AK6:BE6)</f>
        <v>0</v>
      </c>
    </row>
    <row r="7" spans="1:61" x14ac:dyDescent="0.3">
      <c r="C7">
        <v>301</v>
      </c>
      <c r="D7" t="s">
        <v>81</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f t="shared" ref="BF7:BF13" si="2">SUM(E7:BE7)</f>
        <v>0</v>
      </c>
      <c r="BG7" s="4">
        <f t="shared" ref="BG7:BG13" si="3">SUM(E7:W7)</f>
        <v>0</v>
      </c>
      <c r="BH7" s="4">
        <f t="shared" ref="BH7:BH13" si="4">SUM(X7:AJ7)</f>
        <v>0</v>
      </c>
      <c r="BI7" s="4">
        <f t="shared" ref="BI7:BI13" si="5">SUM(AK7:BE7)</f>
        <v>0</v>
      </c>
    </row>
    <row r="8" spans="1:61" x14ac:dyDescent="0.3">
      <c r="C8">
        <v>302</v>
      </c>
      <c r="D8" t="s">
        <v>82</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f t="shared" si="2"/>
        <v>0</v>
      </c>
      <c r="BG8" s="4">
        <f t="shared" si="3"/>
        <v>0</v>
      </c>
      <c r="BH8" s="4">
        <f t="shared" si="4"/>
        <v>0</v>
      </c>
      <c r="BI8" s="4">
        <f t="shared" si="5"/>
        <v>0</v>
      </c>
    </row>
    <row r="9" spans="1:61" x14ac:dyDescent="0.3">
      <c r="C9">
        <v>303</v>
      </c>
      <c r="D9" t="s">
        <v>83</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f t="shared" si="2"/>
        <v>0</v>
      </c>
      <c r="BG9" s="4">
        <f t="shared" si="3"/>
        <v>0</v>
      </c>
      <c r="BH9" s="4">
        <f t="shared" si="4"/>
        <v>0</v>
      </c>
      <c r="BI9" s="4">
        <f t="shared" si="5"/>
        <v>0</v>
      </c>
    </row>
    <row r="10" spans="1:61" x14ac:dyDescent="0.3">
      <c r="C10">
        <v>304</v>
      </c>
      <c r="D10" t="s">
        <v>596</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f t="shared" si="2"/>
        <v>0</v>
      </c>
      <c r="BG10" s="4">
        <f t="shared" si="3"/>
        <v>0</v>
      </c>
      <c r="BH10" s="4">
        <f t="shared" si="4"/>
        <v>0</v>
      </c>
      <c r="BI10" s="4">
        <f t="shared" si="5"/>
        <v>0</v>
      </c>
    </row>
    <row r="11" spans="1:61" x14ac:dyDescent="0.3">
      <c r="C11">
        <v>305</v>
      </c>
      <c r="D11" t="s">
        <v>84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f t="shared" si="2"/>
        <v>0</v>
      </c>
      <c r="BG11" s="4">
        <f t="shared" si="3"/>
        <v>0</v>
      </c>
      <c r="BH11" s="4">
        <f t="shared" si="4"/>
        <v>0</v>
      </c>
      <c r="BI11" s="4">
        <f t="shared" si="5"/>
        <v>0</v>
      </c>
    </row>
    <row r="12" spans="1:61" x14ac:dyDescent="0.3">
      <c r="C12">
        <v>306</v>
      </c>
      <c r="D12" t="s">
        <v>85</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f t="shared" si="2"/>
        <v>0</v>
      </c>
      <c r="BG12" s="4">
        <f t="shared" si="3"/>
        <v>0</v>
      </c>
      <c r="BH12" s="4">
        <f t="shared" si="4"/>
        <v>0</v>
      </c>
      <c r="BI12" s="4">
        <f t="shared" si="5"/>
        <v>0</v>
      </c>
    </row>
    <row r="13" spans="1:61" x14ac:dyDescent="0.3">
      <c r="C13">
        <v>309</v>
      </c>
      <c r="D13" t="s">
        <v>86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f t="shared" si="2"/>
        <v>0</v>
      </c>
      <c r="BG13" s="4">
        <f t="shared" si="3"/>
        <v>0</v>
      </c>
      <c r="BH13" s="4">
        <f t="shared" si="4"/>
        <v>0</v>
      </c>
      <c r="BI13" s="4">
        <f t="shared" si="5"/>
        <v>0</v>
      </c>
    </row>
    <row r="14" spans="1:61" x14ac:dyDescent="0.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3">
      <c r="B15" s="94">
        <v>31</v>
      </c>
      <c r="C15" s="94"/>
      <c r="D15" s="94" t="s">
        <v>87</v>
      </c>
      <c r="E15" s="95">
        <f>E16+E17+E18+E19+E20+E21+E22+E23+E24+E25</f>
        <v>0</v>
      </c>
      <c r="F15" s="95">
        <f t="shared" ref="F15:BI15" si="6">F16+F17+F18+F19+F20+F21+F22+F23+F24+F25</f>
        <v>0</v>
      </c>
      <c r="G15" s="95">
        <f t="shared" si="6"/>
        <v>0</v>
      </c>
      <c r="H15" s="95">
        <f t="shared" si="6"/>
        <v>0</v>
      </c>
      <c r="I15" s="95">
        <f t="shared" si="6"/>
        <v>0</v>
      </c>
      <c r="J15" s="95">
        <f t="shared" si="6"/>
        <v>0</v>
      </c>
      <c r="K15" s="95">
        <f t="shared" si="6"/>
        <v>0</v>
      </c>
      <c r="L15" s="95">
        <f t="shared" si="6"/>
        <v>0</v>
      </c>
      <c r="M15" s="95">
        <f t="shared" si="6"/>
        <v>0</v>
      </c>
      <c r="N15" s="95">
        <f t="shared" si="6"/>
        <v>0</v>
      </c>
      <c r="O15" s="95">
        <f t="shared" si="6"/>
        <v>0</v>
      </c>
      <c r="P15" s="95">
        <f t="shared" si="6"/>
        <v>0</v>
      </c>
      <c r="Q15" s="95">
        <f t="shared" si="6"/>
        <v>0</v>
      </c>
      <c r="R15" s="95">
        <f t="shared" si="6"/>
        <v>0</v>
      </c>
      <c r="S15" s="95">
        <f t="shared" si="6"/>
        <v>0</v>
      </c>
      <c r="T15" s="95">
        <f t="shared" si="6"/>
        <v>0</v>
      </c>
      <c r="U15" s="95">
        <f t="shared" si="6"/>
        <v>0</v>
      </c>
      <c r="V15" s="95">
        <f t="shared" si="6"/>
        <v>0</v>
      </c>
      <c r="W15" s="95">
        <f t="shared" si="6"/>
        <v>0</v>
      </c>
      <c r="X15" s="95">
        <f t="shared" si="6"/>
        <v>0</v>
      </c>
      <c r="Y15" s="95">
        <f t="shared" si="6"/>
        <v>0</v>
      </c>
      <c r="Z15" s="95">
        <f t="shared" si="6"/>
        <v>0</v>
      </c>
      <c r="AA15" s="95">
        <f t="shared" si="6"/>
        <v>0</v>
      </c>
      <c r="AB15" s="95">
        <f t="shared" si="6"/>
        <v>0</v>
      </c>
      <c r="AC15" s="95">
        <f t="shared" si="6"/>
        <v>0</v>
      </c>
      <c r="AD15" s="95">
        <f t="shared" si="6"/>
        <v>0</v>
      </c>
      <c r="AE15" s="95">
        <f t="shared" si="6"/>
        <v>0</v>
      </c>
      <c r="AF15" s="95">
        <f t="shared" si="6"/>
        <v>0</v>
      </c>
      <c r="AG15" s="95">
        <f t="shared" si="6"/>
        <v>0</v>
      </c>
      <c r="AH15" s="95">
        <f t="shared" si="6"/>
        <v>0</v>
      </c>
      <c r="AI15" s="95">
        <f t="shared" si="6"/>
        <v>0</v>
      </c>
      <c r="AJ15" s="95">
        <f t="shared" si="6"/>
        <v>0</v>
      </c>
      <c r="AK15" s="95">
        <f t="shared" si="6"/>
        <v>0</v>
      </c>
      <c r="AL15" s="95">
        <f t="shared" si="6"/>
        <v>0</v>
      </c>
      <c r="AM15" s="95">
        <f t="shared" si="6"/>
        <v>0</v>
      </c>
      <c r="AN15" s="95">
        <f t="shared" si="6"/>
        <v>0</v>
      </c>
      <c r="AO15" s="95">
        <f t="shared" si="6"/>
        <v>0</v>
      </c>
      <c r="AP15" s="95">
        <f t="shared" si="6"/>
        <v>0</v>
      </c>
      <c r="AQ15" s="95">
        <f t="shared" si="6"/>
        <v>0</v>
      </c>
      <c r="AR15" s="95">
        <f t="shared" si="6"/>
        <v>0</v>
      </c>
      <c r="AS15" s="95">
        <f t="shared" si="6"/>
        <v>0</v>
      </c>
      <c r="AT15" s="95">
        <f t="shared" si="6"/>
        <v>0</v>
      </c>
      <c r="AU15" s="95">
        <f t="shared" si="6"/>
        <v>0</v>
      </c>
      <c r="AV15" s="95">
        <f t="shared" si="6"/>
        <v>0</v>
      </c>
      <c r="AW15" s="95">
        <f t="shared" si="6"/>
        <v>0</v>
      </c>
      <c r="AX15" s="95">
        <f t="shared" si="6"/>
        <v>0</v>
      </c>
      <c r="AY15" s="95">
        <f t="shared" si="6"/>
        <v>0</v>
      </c>
      <c r="AZ15" s="95">
        <f t="shared" si="6"/>
        <v>0</v>
      </c>
      <c r="BA15" s="95">
        <f t="shared" si="6"/>
        <v>0</v>
      </c>
      <c r="BB15" s="95">
        <f t="shared" si="6"/>
        <v>0</v>
      </c>
      <c r="BC15" s="95">
        <f t="shared" si="6"/>
        <v>0</v>
      </c>
      <c r="BD15" s="95">
        <f t="shared" si="6"/>
        <v>0</v>
      </c>
      <c r="BE15" s="95">
        <f t="shared" si="6"/>
        <v>0</v>
      </c>
      <c r="BF15" s="95">
        <f t="shared" si="6"/>
        <v>0</v>
      </c>
      <c r="BG15" s="95">
        <f t="shared" si="6"/>
        <v>0</v>
      </c>
      <c r="BH15" s="95">
        <f t="shared" si="6"/>
        <v>0</v>
      </c>
      <c r="BI15" s="95">
        <f t="shared" si="6"/>
        <v>0</v>
      </c>
    </row>
    <row r="16" spans="1:61" x14ac:dyDescent="0.3">
      <c r="C16">
        <v>310</v>
      </c>
      <c r="D16" t="s">
        <v>88</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f>SUM(E16:BE16)</f>
        <v>0</v>
      </c>
      <c r="BG16" s="4">
        <f t="shared" ref="BG16:BG25" si="7">SUM(E16:W16)</f>
        <v>0</v>
      </c>
      <c r="BH16" s="4">
        <f t="shared" ref="BH16:BH25" si="8">SUM(X16:AJ16)</f>
        <v>0</v>
      </c>
      <c r="BI16" s="4">
        <f t="shared" ref="BI16:BI25" si="9">SUM(AK16:BE16)</f>
        <v>0</v>
      </c>
    </row>
    <row r="17" spans="2:61" x14ac:dyDescent="0.3">
      <c r="C17">
        <v>311</v>
      </c>
      <c r="D17" t="s">
        <v>462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f t="shared" ref="BF17:BF25" si="10">SUM(E17:BE17)</f>
        <v>0</v>
      </c>
      <c r="BG17" s="4">
        <f t="shared" si="7"/>
        <v>0</v>
      </c>
      <c r="BH17" s="4">
        <f t="shared" si="8"/>
        <v>0</v>
      </c>
      <c r="BI17" s="4">
        <f t="shared" si="9"/>
        <v>0</v>
      </c>
    </row>
    <row r="18" spans="2:61" x14ac:dyDescent="0.3">
      <c r="C18">
        <v>312</v>
      </c>
      <c r="D18" t="s">
        <v>90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f t="shared" si="10"/>
        <v>0</v>
      </c>
      <c r="BG18" s="4">
        <f t="shared" si="7"/>
        <v>0</v>
      </c>
      <c r="BH18" s="4">
        <f t="shared" si="8"/>
        <v>0</v>
      </c>
      <c r="BI18" s="4">
        <f t="shared" si="9"/>
        <v>0</v>
      </c>
    </row>
    <row r="19" spans="2:61" x14ac:dyDescent="0.3">
      <c r="C19">
        <v>313</v>
      </c>
      <c r="D19" t="s">
        <v>91</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f t="shared" si="10"/>
        <v>0</v>
      </c>
      <c r="BG19" s="4">
        <f t="shared" si="7"/>
        <v>0</v>
      </c>
      <c r="BH19" s="4">
        <f t="shared" si="8"/>
        <v>0</v>
      </c>
      <c r="BI19" s="4">
        <f t="shared" si="9"/>
        <v>0</v>
      </c>
    </row>
    <row r="20" spans="2:61" x14ac:dyDescent="0.3">
      <c r="C20">
        <v>314</v>
      </c>
      <c r="D20" t="s">
        <v>92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f t="shared" si="10"/>
        <v>0</v>
      </c>
      <c r="BG20" s="4">
        <f t="shared" si="7"/>
        <v>0</v>
      </c>
      <c r="BH20" s="4">
        <f t="shared" si="8"/>
        <v>0</v>
      </c>
      <c r="BI20" s="4">
        <f t="shared" si="9"/>
        <v>0</v>
      </c>
    </row>
    <row r="21" spans="2:61" x14ac:dyDescent="0.3">
      <c r="C21">
        <v>315</v>
      </c>
      <c r="D21" t="s">
        <v>93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f t="shared" si="10"/>
        <v>0</v>
      </c>
      <c r="BG21" s="4">
        <f t="shared" si="7"/>
        <v>0</v>
      </c>
      <c r="BH21" s="4">
        <f t="shared" si="8"/>
        <v>0</v>
      </c>
      <c r="BI21" s="4">
        <f t="shared" si="9"/>
        <v>0</v>
      </c>
    </row>
    <row r="22" spans="2:61" x14ac:dyDescent="0.3">
      <c r="C22">
        <v>316</v>
      </c>
      <c r="D22" t="s">
        <v>94</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f t="shared" si="10"/>
        <v>0</v>
      </c>
      <c r="BG22" s="4">
        <f t="shared" si="7"/>
        <v>0</v>
      </c>
      <c r="BH22" s="4">
        <f t="shared" si="8"/>
        <v>0</v>
      </c>
      <c r="BI22" s="4">
        <f t="shared" si="9"/>
        <v>0</v>
      </c>
    </row>
    <row r="23" spans="2:61" x14ac:dyDescent="0.3">
      <c r="C23">
        <v>317</v>
      </c>
      <c r="D23" t="s">
        <v>95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f t="shared" si="10"/>
        <v>0</v>
      </c>
      <c r="BG23" s="4">
        <f t="shared" si="7"/>
        <v>0</v>
      </c>
      <c r="BH23" s="4">
        <f t="shared" si="8"/>
        <v>0</v>
      </c>
      <c r="BI23" s="4">
        <f t="shared" si="9"/>
        <v>0</v>
      </c>
    </row>
    <row r="24" spans="2:61" x14ac:dyDescent="0.3">
      <c r="C24">
        <v>318</v>
      </c>
      <c r="D24" t="s">
        <v>96</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f t="shared" si="10"/>
        <v>0</v>
      </c>
      <c r="BG24" s="4">
        <f t="shared" si="7"/>
        <v>0</v>
      </c>
      <c r="BH24" s="4">
        <f t="shared" si="8"/>
        <v>0</v>
      </c>
      <c r="BI24" s="4">
        <f t="shared" si="9"/>
        <v>0</v>
      </c>
    </row>
    <row r="25" spans="2:61" x14ac:dyDescent="0.3">
      <c r="C25">
        <v>319</v>
      </c>
      <c r="D25" t="s">
        <v>97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f t="shared" si="10"/>
        <v>0</v>
      </c>
      <c r="BG25" s="4">
        <f t="shared" si="7"/>
        <v>0</v>
      </c>
      <c r="BH25" s="4">
        <f t="shared" si="8"/>
        <v>0</v>
      </c>
      <c r="BI25" s="4">
        <f t="shared" si="9"/>
        <v>0</v>
      </c>
    </row>
    <row r="26" spans="2:61" x14ac:dyDescent="0.3">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3">
      <c r="B27" s="94">
        <v>33</v>
      </c>
      <c r="C27" s="94"/>
      <c r="D27" s="94" t="s">
        <v>98</v>
      </c>
      <c r="E27" s="95">
        <f>E28+E29</f>
        <v>0</v>
      </c>
      <c r="F27" s="95">
        <f t="shared" ref="F27:BI27" si="11">F28+F29</f>
        <v>0</v>
      </c>
      <c r="G27" s="95">
        <f t="shared" si="11"/>
        <v>0</v>
      </c>
      <c r="H27" s="95">
        <f t="shared" si="11"/>
        <v>0</v>
      </c>
      <c r="I27" s="95">
        <f t="shared" si="11"/>
        <v>0</v>
      </c>
      <c r="J27" s="95">
        <f t="shared" si="11"/>
        <v>0</v>
      </c>
      <c r="K27" s="95">
        <f t="shared" si="11"/>
        <v>0</v>
      </c>
      <c r="L27" s="95">
        <f t="shared" si="11"/>
        <v>0</v>
      </c>
      <c r="M27" s="95">
        <f t="shared" si="11"/>
        <v>0</v>
      </c>
      <c r="N27" s="95">
        <f t="shared" si="11"/>
        <v>0</v>
      </c>
      <c r="O27" s="95">
        <f t="shared" si="11"/>
        <v>0</v>
      </c>
      <c r="P27" s="95">
        <f t="shared" si="11"/>
        <v>0</v>
      </c>
      <c r="Q27" s="95">
        <f t="shared" si="11"/>
        <v>0</v>
      </c>
      <c r="R27" s="95">
        <f t="shared" si="11"/>
        <v>0</v>
      </c>
      <c r="S27" s="95">
        <f t="shared" si="11"/>
        <v>0</v>
      </c>
      <c r="T27" s="95">
        <f t="shared" si="11"/>
        <v>0</v>
      </c>
      <c r="U27" s="95">
        <f t="shared" si="11"/>
        <v>0</v>
      </c>
      <c r="V27" s="95">
        <f t="shared" si="11"/>
        <v>0</v>
      </c>
      <c r="W27" s="95">
        <f t="shared" si="11"/>
        <v>0</v>
      </c>
      <c r="X27" s="95">
        <f t="shared" si="11"/>
        <v>0</v>
      </c>
      <c r="Y27" s="95">
        <f t="shared" si="11"/>
        <v>0</v>
      </c>
      <c r="Z27" s="95">
        <f t="shared" si="11"/>
        <v>0</v>
      </c>
      <c r="AA27" s="95">
        <f t="shared" si="11"/>
        <v>0</v>
      </c>
      <c r="AB27" s="95">
        <f t="shared" si="11"/>
        <v>0</v>
      </c>
      <c r="AC27" s="95">
        <f t="shared" si="11"/>
        <v>0</v>
      </c>
      <c r="AD27" s="95">
        <f t="shared" si="11"/>
        <v>0</v>
      </c>
      <c r="AE27" s="95">
        <f t="shared" si="11"/>
        <v>0</v>
      </c>
      <c r="AF27" s="95">
        <f t="shared" si="11"/>
        <v>0</v>
      </c>
      <c r="AG27" s="95">
        <f t="shared" si="11"/>
        <v>0</v>
      </c>
      <c r="AH27" s="95">
        <f t="shared" si="11"/>
        <v>0</v>
      </c>
      <c r="AI27" s="95">
        <f t="shared" si="11"/>
        <v>0</v>
      </c>
      <c r="AJ27" s="95">
        <f t="shared" si="11"/>
        <v>0</v>
      </c>
      <c r="AK27" s="95">
        <f t="shared" si="11"/>
        <v>0</v>
      </c>
      <c r="AL27" s="95">
        <f t="shared" si="11"/>
        <v>0</v>
      </c>
      <c r="AM27" s="95">
        <f t="shared" si="11"/>
        <v>0</v>
      </c>
      <c r="AN27" s="95">
        <f t="shared" si="11"/>
        <v>0</v>
      </c>
      <c r="AO27" s="95">
        <f t="shared" si="11"/>
        <v>0</v>
      </c>
      <c r="AP27" s="95">
        <f t="shared" si="11"/>
        <v>0</v>
      </c>
      <c r="AQ27" s="95">
        <f t="shared" si="11"/>
        <v>0</v>
      </c>
      <c r="AR27" s="95">
        <f t="shared" si="11"/>
        <v>0</v>
      </c>
      <c r="AS27" s="95">
        <f t="shared" si="11"/>
        <v>0</v>
      </c>
      <c r="AT27" s="95">
        <f t="shared" si="11"/>
        <v>0</v>
      </c>
      <c r="AU27" s="95">
        <f t="shared" si="11"/>
        <v>0</v>
      </c>
      <c r="AV27" s="95">
        <f t="shared" si="11"/>
        <v>0</v>
      </c>
      <c r="AW27" s="95">
        <f t="shared" si="11"/>
        <v>0</v>
      </c>
      <c r="AX27" s="95">
        <f t="shared" si="11"/>
        <v>0</v>
      </c>
      <c r="AY27" s="95">
        <f t="shared" si="11"/>
        <v>0</v>
      </c>
      <c r="AZ27" s="95">
        <f t="shared" si="11"/>
        <v>0</v>
      </c>
      <c r="BA27" s="95">
        <f t="shared" si="11"/>
        <v>0</v>
      </c>
      <c r="BB27" s="95">
        <f t="shared" si="11"/>
        <v>0</v>
      </c>
      <c r="BC27" s="95">
        <f t="shared" si="11"/>
        <v>0</v>
      </c>
      <c r="BD27" s="95">
        <f t="shared" si="11"/>
        <v>0</v>
      </c>
      <c r="BE27" s="95">
        <f t="shared" si="11"/>
        <v>0</v>
      </c>
      <c r="BF27" s="95">
        <f t="shared" si="11"/>
        <v>0</v>
      </c>
      <c r="BG27" s="95">
        <f t="shared" si="11"/>
        <v>0</v>
      </c>
      <c r="BH27" s="95">
        <f t="shared" si="11"/>
        <v>0</v>
      </c>
      <c r="BI27" s="95">
        <f t="shared" si="11"/>
        <v>0</v>
      </c>
    </row>
    <row r="28" spans="2:61" x14ac:dyDescent="0.3">
      <c r="C28">
        <v>330</v>
      </c>
      <c r="D28" t="s">
        <v>100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f t="shared" ref="BF28:BF29" si="12">SUM(E28:BE28)</f>
        <v>0</v>
      </c>
      <c r="BG28" s="4">
        <f t="shared" ref="BG28:BG29" si="13">SUM(E28:W28)</f>
        <v>0</v>
      </c>
      <c r="BH28" s="4">
        <f t="shared" ref="BH28:BH29" si="14">SUM(X28:AJ28)</f>
        <v>0</v>
      </c>
      <c r="BI28" s="4">
        <f t="shared" ref="BI28:BI29" si="15">SUM(AK28:BE28)</f>
        <v>0</v>
      </c>
    </row>
    <row r="29" spans="2:61" x14ac:dyDescent="0.3">
      <c r="C29">
        <v>332</v>
      </c>
      <c r="D29" t="s">
        <v>99</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f t="shared" si="12"/>
        <v>0</v>
      </c>
      <c r="BG29" s="4">
        <f t="shared" si="13"/>
        <v>0</v>
      </c>
      <c r="BH29" s="4">
        <f t="shared" si="14"/>
        <v>0</v>
      </c>
      <c r="BI29" s="4">
        <f t="shared" si="15"/>
        <v>0</v>
      </c>
    </row>
    <row r="30" spans="2:61" x14ac:dyDescent="0.3">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3">
      <c r="B31" s="94">
        <v>34</v>
      </c>
      <c r="C31" s="94"/>
      <c r="D31" s="94" t="s">
        <v>101</v>
      </c>
      <c r="E31" s="95">
        <f>E32+E33+E34+E35+E36+E37</f>
        <v>0</v>
      </c>
      <c r="F31" s="95">
        <f t="shared" ref="F31:BI31" si="16">F32+F33+F34+F35+F36+F37</f>
        <v>0</v>
      </c>
      <c r="G31" s="95">
        <f t="shared" si="16"/>
        <v>0</v>
      </c>
      <c r="H31" s="95">
        <f t="shared" si="16"/>
        <v>0</v>
      </c>
      <c r="I31" s="95">
        <f t="shared" si="16"/>
        <v>0</v>
      </c>
      <c r="J31" s="95">
        <f t="shared" si="16"/>
        <v>0</v>
      </c>
      <c r="K31" s="95">
        <f t="shared" si="16"/>
        <v>0</v>
      </c>
      <c r="L31" s="95">
        <f t="shared" si="16"/>
        <v>0</v>
      </c>
      <c r="M31" s="95">
        <f t="shared" si="16"/>
        <v>0</v>
      </c>
      <c r="N31" s="95">
        <f t="shared" si="16"/>
        <v>0</v>
      </c>
      <c r="O31" s="95">
        <f t="shared" si="16"/>
        <v>0</v>
      </c>
      <c r="P31" s="95">
        <f t="shared" si="16"/>
        <v>0</v>
      </c>
      <c r="Q31" s="95">
        <f t="shared" si="16"/>
        <v>0</v>
      </c>
      <c r="R31" s="95">
        <f t="shared" si="16"/>
        <v>0</v>
      </c>
      <c r="S31" s="95">
        <f t="shared" si="16"/>
        <v>0</v>
      </c>
      <c r="T31" s="95">
        <f t="shared" si="16"/>
        <v>0</v>
      </c>
      <c r="U31" s="95">
        <f t="shared" si="16"/>
        <v>0</v>
      </c>
      <c r="V31" s="95">
        <f t="shared" si="16"/>
        <v>0</v>
      </c>
      <c r="W31" s="95">
        <f t="shared" si="16"/>
        <v>0</v>
      </c>
      <c r="X31" s="95">
        <f t="shared" si="16"/>
        <v>0</v>
      </c>
      <c r="Y31" s="95">
        <f t="shared" si="16"/>
        <v>0</v>
      </c>
      <c r="Z31" s="95">
        <f t="shared" si="16"/>
        <v>0</v>
      </c>
      <c r="AA31" s="95">
        <f t="shared" si="16"/>
        <v>0</v>
      </c>
      <c r="AB31" s="95">
        <f t="shared" si="16"/>
        <v>0</v>
      </c>
      <c r="AC31" s="95">
        <f t="shared" si="16"/>
        <v>0</v>
      </c>
      <c r="AD31" s="95">
        <f t="shared" si="16"/>
        <v>0</v>
      </c>
      <c r="AE31" s="95">
        <f t="shared" si="16"/>
        <v>0</v>
      </c>
      <c r="AF31" s="95">
        <f t="shared" si="16"/>
        <v>0</v>
      </c>
      <c r="AG31" s="95">
        <f t="shared" si="16"/>
        <v>0</v>
      </c>
      <c r="AH31" s="95">
        <f t="shared" si="16"/>
        <v>0</v>
      </c>
      <c r="AI31" s="95">
        <f t="shared" si="16"/>
        <v>0</v>
      </c>
      <c r="AJ31" s="95">
        <f t="shared" si="16"/>
        <v>0</v>
      </c>
      <c r="AK31" s="95">
        <f t="shared" si="16"/>
        <v>0</v>
      </c>
      <c r="AL31" s="95">
        <f t="shared" si="16"/>
        <v>0</v>
      </c>
      <c r="AM31" s="95">
        <f t="shared" si="16"/>
        <v>0</v>
      </c>
      <c r="AN31" s="95">
        <f t="shared" si="16"/>
        <v>0</v>
      </c>
      <c r="AO31" s="95">
        <f t="shared" si="16"/>
        <v>0</v>
      </c>
      <c r="AP31" s="95">
        <f t="shared" si="16"/>
        <v>0</v>
      </c>
      <c r="AQ31" s="95">
        <f t="shared" si="16"/>
        <v>0</v>
      </c>
      <c r="AR31" s="95">
        <f t="shared" si="16"/>
        <v>0</v>
      </c>
      <c r="AS31" s="95">
        <f t="shared" si="16"/>
        <v>0</v>
      </c>
      <c r="AT31" s="95">
        <f t="shared" si="16"/>
        <v>0</v>
      </c>
      <c r="AU31" s="95">
        <f t="shared" si="16"/>
        <v>0</v>
      </c>
      <c r="AV31" s="95">
        <f t="shared" si="16"/>
        <v>0</v>
      </c>
      <c r="AW31" s="95">
        <f t="shared" si="16"/>
        <v>0</v>
      </c>
      <c r="AX31" s="95">
        <f t="shared" si="16"/>
        <v>0</v>
      </c>
      <c r="AY31" s="95">
        <f t="shared" si="16"/>
        <v>0</v>
      </c>
      <c r="AZ31" s="95">
        <f t="shared" si="16"/>
        <v>0</v>
      </c>
      <c r="BA31" s="95">
        <f t="shared" si="16"/>
        <v>0</v>
      </c>
      <c r="BB31" s="95">
        <f t="shared" si="16"/>
        <v>0</v>
      </c>
      <c r="BC31" s="95">
        <f t="shared" si="16"/>
        <v>0</v>
      </c>
      <c r="BD31" s="95">
        <f t="shared" si="16"/>
        <v>0</v>
      </c>
      <c r="BE31" s="95">
        <f t="shared" si="16"/>
        <v>0</v>
      </c>
      <c r="BF31" s="95">
        <f t="shared" si="16"/>
        <v>0</v>
      </c>
      <c r="BG31" s="95">
        <f t="shared" si="16"/>
        <v>0</v>
      </c>
      <c r="BH31" s="95">
        <f t="shared" si="16"/>
        <v>0</v>
      </c>
      <c r="BI31" s="95">
        <f t="shared" si="16"/>
        <v>0</v>
      </c>
    </row>
    <row r="32" spans="2:61" x14ac:dyDescent="0.3">
      <c r="C32">
        <v>340</v>
      </c>
      <c r="D32" t="s">
        <v>102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f t="shared" ref="BF32:BF37" si="17">SUM(E32:BE32)</f>
        <v>0</v>
      </c>
      <c r="BG32" s="4">
        <f t="shared" ref="BG32:BG37" si="18">SUM(E32:W32)</f>
        <v>0</v>
      </c>
      <c r="BH32" s="4">
        <f t="shared" ref="BH32:BH37" si="19">SUM(X32:AJ32)</f>
        <v>0</v>
      </c>
      <c r="BI32" s="4">
        <f t="shared" ref="BI32:BI37" si="20">SUM(AK32:BE32)</f>
        <v>0</v>
      </c>
    </row>
    <row r="33" spans="2:61" x14ac:dyDescent="0.3">
      <c r="C33">
        <v>341</v>
      </c>
      <c r="D33" t="s">
        <v>103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f t="shared" si="17"/>
        <v>0</v>
      </c>
      <c r="BG33" s="4">
        <f t="shared" si="18"/>
        <v>0</v>
      </c>
      <c r="BH33" s="4">
        <f t="shared" si="19"/>
        <v>0</v>
      </c>
      <c r="BI33" s="4">
        <f t="shared" si="20"/>
        <v>0</v>
      </c>
    </row>
    <row r="34" spans="2:61" x14ac:dyDescent="0.3">
      <c r="C34">
        <v>342</v>
      </c>
      <c r="D34" t="s">
        <v>104</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f t="shared" si="17"/>
        <v>0</v>
      </c>
      <c r="BG34" s="4">
        <f t="shared" si="18"/>
        <v>0</v>
      </c>
      <c r="BH34" s="4">
        <f t="shared" si="19"/>
        <v>0</v>
      </c>
      <c r="BI34" s="4">
        <f t="shared" si="20"/>
        <v>0</v>
      </c>
    </row>
    <row r="35" spans="2:61" x14ac:dyDescent="0.3">
      <c r="C35">
        <v>343</v>
      </c>
      <c r="D35" t="s">
        <v>105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f t="shared" si="17"/>
        <v>0</v>
      </c>
      <c r="BG35" s="4">
        <f t="shared" si="18"/>
        <v>0</v>
      </c>
      <c r="BH35" s="4">
        <f t="shared" si="19"/>
        <v>0</v>
      </c>
      <c r="BI35" s="4">
        <f t="shared" si="20"/>
        <v>0</v>
      </c>
    </row>
    <row r="36" spans="2:61" x14ac:dyDescent="0.3">
      <c r="C36">
        <v>344</v>
      </c>
      <c r="D36" t="s">
        <v>106</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f t="shared" si="17"/>
        <v>0</v>
      </c>
      <c r="BG36" s="4">
        <f t="shared" si="18"/>
        <v>0</v>
      </c>
      <c r="BH36" s="4">
        <f t="shared" si="19"/>
        <v>0</v>
      </c>
      <c r="BI36" s="4">
        <f t="shared" si="20"/>
        <v>0</v>
      </c>
    </row>
    <row r="37" spans="2:61" x14ac:dyDescent="0.3">
      <c r="C37">
        <v>349</v>
      </c>
      <c r="D37" t="s">
        <v>107</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f t="shared" si="17"/>
        <v>0</v>
      </c>
      <c r="BG37" s="4">
        <f t="shared" si="18"/>
        <v>0</v>
      </c>
      <c r="BH37" s="4">
        <f t="shared" si="19"/>
        <v>0</v>
      </c>
      <c r="BI37" s="4">
        <f t="shared" si="20"/>
        <v>0</v>
      </c>
    </row>
    <row r="38" spans="2:61" x14ac:dyDescent="0.3">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3">
      <c r="B39" s="94">
        <v>35</v>
      </c>
      <c r="C39" s="94"/>
      <c r="D39" s="94" t="s">
        <v>109</v>
      </c>
      <c r="E39" s="95">
        <f>E40+E41</f>
        <v>0</v>
      </c>
      <c r="F39" s="95">
        <f t="shared" ref="F39:BI39" si="21">F40+F41</f>
        <v>0</v>
      </c>
      <c r="G39" s="95">
        <f t="shared" si="21"/>
        <v>0</v>
      </c>
      <c r="H39" s="95">
        <f t="shared" si="21"/>
        <v>0</v>
      </c>
      <c r="I39" s="95">
        <f t="shared" si="21"/>
        <v>0</v>
      </c>
      <c r="J39" s="95">
        <f t="shared" si="21"/>
        <v>0</v>
      </c>
      <c r="K39" s="95">
        <f t="shared" si="21"/>
        <v>0</v>
      </c>
      <c r="L39" s="95">
        <f t="shared" si="21"/>
        <v>0</v>
      </c>
      <c r="M39" s="95">
        <f t="shared" si="21"/>
        <v>0</v>
      </c>
      <c r="N39" s="95">
        <f t="shared" si="21"/>
        <v>0</v>
      </c>
      <c r="O39" s="95">
        <f t="shared" si="21"/>
        <v>0</v>
      </c>
      <c r="P39" s="95">
        <f t="shared" si="21"/>
        <v>0</v>
      </c>
      <c r="Q39" s="95">
        <f t="shared" si="21"/>
        <v>0</v>
      </c>
      <c r="R39" s="95">
        <f t="shared" si="21"/>
        <v>0</v>
      </c>
      <c r="S39" s="95">
        <f t="shared" si="21"/>
        <v>0</v>
      </c>
      <c r="T39" s="95">
        <f t="shared" si="21"/>
        <v>0</v>
      </c>
      <c r="U39" s="95">
        <f t="shared" si="21"/>
        <v>0</v>
      </c>
      <c r="V39" s="95">
        <f t="shared" si="21"/>
        <v>0</v>
      </c>
      <c r="W39" s="95">
        <f t="shared" si="21"/>
        <v>0</v>
      </c>
      <c r="X39" s="95">
        <f t="shared" si="21"/>
        <v>0</v>
      </c>
      <c r="Y39" s="95">
        <f t="shared" si="21"/>
        <v>0</v>
      </c>
      <c r="Z39" s="95">
        <f t="shared" si="21"/>
        <v>0</v>
      </c>
      <c r="AA39" s="95">
        <f t="shared" si="21"/>
        <v>0</v>
      </c>
      <c r="AB39" s="95">
        <f t="shared" si="21"/>
        <v>0</v>
      </c>
      <c r="AC39" s="95">
        <f t="shared" si="21"/>
        <v>0</v>
      </c>
      <c r="AD39" s="95">
        <f t="shared" si="21"/>
        <v>0</v>
      </c>
      <c r="AE39" s="95">
        <f t="shared" si="21"/>
        <v>0</v>
      </c>
      <c r="AF39" s="95">
        <f t="shared" si="21"/>
        <v>0</v>
      </c>
      <c r="AG39" s="95">
        <f t="shared" si="21"/>
        <v>0</v>
      </c>
      <c r="AH39" s="95">
        <f t="shared" si="21"/>
        <v>0</v>
      </c>
      <c r="AI39" s="95">
        <f t="shared" si="21"/>
        <v>0</v>
      </c>
      <c r="AJ39" s="95">
        <f t="shared" si="21"/>
        <v>0</v>
      </c>
      <c r="AK39" s="95">
        <f t="shared" si="21"/>
        <v>0</v>
      </c>
      <c r="AL39" s="95">
        <f t="shared" si="21"/>
        <v>0</v>
      </c>
      <c r="AM39" s="95">
        <f t="shared" si="21"/>
        <v>0</v>
      </c>
      <c r="AN39" s="95">
        <f t="shared" si="21"/>
        <v>0</v>
      </c>
      <c r="AO39" s="95">
        <f t="shared" si="21"/>
        <v>0</v>
      </c>
      <c r="AP39" s="95">
        <f t="shared" si="21"/>
        <v>0</v>
      </c>
      <c r="AQ39" s="95">
        <f t="shared" si="21"/>
        <v>0</v>
      </c>
      <c r="AR39" s="95">
        <f t="shared" si="21"/>
        <v>0</v>
      </c>
      <c r="AS39" s="95">
        <f t="shared" si="21"/>
        <v>0</v>
      </c>
      <c r="AT39" s="95">
        <f t="shared" si="21"/>
        <v>0</v>
      </c>
      <c r="AU39" s="95">
        <f t="shared" si="21"/>
        <v>0</v>
      </c>
      <c r="AV39" s="95">
        <f t="shared" si="21"/>
        <v>0</v>
      </c>
      <c r="AW39" s="95">
        <f t="shared" si="21"/>
        <v>0</v>
      </c>
      <c r="AX39" s="95">
        <f t="shared" si="21"/>
        <v>0</v>
      </c>
      <c r="AY39" s="95">
        <f t="shared" si="21"/>
        <v>0</v>
      </c>
      <c r="AZ39" s="95">
        <f t="shared" si="21"/>
        <v>0</v>
      </c>
      <c r="BA39" s="95">
        <f t="shared" si="21"/>
        <v>0</v>
      </c>
      <c r="BB39" s="95">
        <f t="shared" si="21"/>
        <v>0</v>
      </c>
      <c r="BC39" s="95">
        <f t="shared" si="21"/>
        <v>0</v>
      </c>
      <c r="BD39" s="95">
        <f t="shared" si="21"/>
        <v>0</v>
      </c>
      <c r="BE39" s="95">
        <f t="shared" si="21"/>
        <v>0</v>
      </c>
      <c r="BF39" s="95">
        <f t="shared" si="21"/>
        <v>0</v>
      </c>
      <c r="BG39" s="95">
        <f t="shared" si="21"/>
        <v>0</v>
      </c>
      <c r="BH39" s="95">
        <f t="shared" si="21"/>
        <v>0</v>
      </c>
      <c r="BI39" s="95">
        <f t="shared" si="21"/>
        <v>0</v>
      </c>
    </row>
    <row r="40" spans="2:61" x14ac:dyDescent="0.3">
      <c r="C40">
        <v>350</v>
      </c>
      <c r="D40" t="s">
        <v>109</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f t="shared" ref="BG40:BG41" si="22">SUM(E40:W40)</f>
        <v>0</v>
      </c>
      <c r="BH40" s="4">
        <f t="shared" ref="BH40:BH41" si="23">SUM(X40:AJ40)</f>
        <v>0</v>
      </c>
      <c r="BI40" s="4">
        <f t="shared" ref="BI40:BI41" si="24">SUM(AK40:BE40)</f>
        <v>0</v>
      </c>
    </row>
    <row r="41" spans="2:61" x14ac:dyDescent="0.3">
      <c r="C41">
        <v>351</v>
      </c>
      <c r="D41" t="s">
        <v>108</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f t="shared" si="22"/>
        <v>0</v>
      </c>
      <c r="BH41" s="4">
        <f t="shared" si="23"/>
        <v>0</v>
      </c>
      <c r="BI41" s="4">
        <f t="shared" si="24"/>
        <v>0</v>
      </c>
    </row>
    <row r="42" spans="2:61" x14ac:dyDescent="0.3">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3">
      <c r="B43" s="94">
        <v>36</v>
      </c>
      <c r="C43" s="94"/>
      <c r="D43" s="94" t="s">
        <v>110</v>
      </c>
      <c r="E43" s="95">
        <f>E44+E45+E46+E47+E48+E49+E50+E51</f>
        <v>0</v>
      </c>
      <c r="F43" s="95">
        <f t="shared" ref="F43:BI43" si="25">F44+F45+F46+F47+F48+F49+F50+F51</f>
        <v>0</v>
      </c>
      <c r="G43" s="95">
        <f t="shared" si="25"/>
        <v>0</v>
      </c>
      <c r="H43" s="95">
        <f t="shared" si="25"/>
        <v>0</v>
      </c>
      <c r="I43" s="95">
        <f t="shared" si="25"/>
        <v>0</v>
      </c>
      <c r="J43" s="95">
        <f t="shared" si="25"/>
        <v>0</v>
      </c>
      <c r="K43" s="95">
        <f t="shared" si="25"/>
        <v>0</v>
      </c>
      <c r="L43" s="95">
        <f t="shared" si="25"/>
        <v>0</v>
      </c>
      <c r="M43" s="95">
        <f t="shared" si="25"/>
        <v>0</v>
      </c>
      <c r="N43" s="95">
        <f t="shared" si="25"/>
        <v>0</v>
      </c>
      <c r="O43" s="95">
        <f t="shared" si="25"/>
        <v>0</v>
      </c>
      <c r="P43" s="95">
        <f t="shared" si="25"/>
        <v>0</v>
      </c>
      <c r="Q43" s="95">
        <f t="shared" si="25"/>
        <v>0</v>
      </c>
      <c r="R43" s="95">
        <f t="shared" si="25"/>
        <v>0</v>
      </c>
      <c r="S43" s="95">
        <f t="shared" si="25"/>
        <v>0</v>
      </c>
      <c r="T43" s="95">
        <f t="shared" si="25"/>
        <v>0</v>
      </c>
      <c r="U43" s="95">
        <f t="shared" si="25"/>
        <v>0</v>
      </c>
      <c r="V43" s="95">
        <f t="shared" si="25"/>
        <v>0</v>
      </c>
      <c r="W43" s="95">
        <f t="shared" si="25"/>
        <v>0</v>
      </c>
      <c r="X43" s="95">
        <f t="shared" si="25"/>
        <v>0</v>
      </c>
      <c r="Y43" s="95">
        <f t="shared" si="25"/>
        <v>0</v>
      </c>
      <c r="Z43" s="95">
        <f t="shared" si="25"/>
        <v>0</v>
      </c>
      <c r="AA43" s="95">
        <f t="shared" si="25"/>
        <v>0</v>
      </c>
      <c r="AB43" s="95">
        <f t="shared" si="25"/>
        <v>0</v>
      </c>
      <c r="AC43" s="95">
        <f t="shared" si="25"/>
        <v>0</v>
      </c>
      <c r="AD43" s="95">
        <f t="shared" si="25"/>
        <v>0</v>
      </c>
      <c r="AE43" s="95">
        <f t="shared" si="25"/>
        <v>0</v>
      </c>
      <c r="AF43" s="95">
        <f t="shared" si="25"/>
        <v>0</v>
      </c>
      <c r="AG43" s="95">
        <f t="shared" si="25"/>
        <v>0</v>
      </c>
      <c r="AH43" s="95">
        <f t="shared" si="25"/>
        <v>0</v>
      </c>
      <c r="AI43" s="95">
        <f t="shared" si="25"/>
        <v>0</v>
      </c>
      <c r="AJ43" s="95">
        <f t="shared" si="25"/>
        <v>0</v>
      </c>
      <c r="AK43" s="95">
        <f t="shared" si="25"/>
        <v>0</v>
      </c>
      <c r="AL43" s="95">
        <f t="shared" si="25"/>
        <v>0</v>
      </c>
      <c r="AM43" s="95">
        <f t="shared" si="25"/>
        <v>0</v>
      </c>
      <c r="AN43" s="95">
        <f t="shared" si="25"/>
        <v>0</v>
      </c>
      <c r="AO43" s="95">
        <f t="shared" si="25"/>
        <v>0</v>
      </c>
      <c r="AP43" s="95">
        <f t="shared" si="25"/>
        <v>0</v>
      </c>
      <c r="AQ43" s="95">
        <f t="shared" si="25"/>
        <v>0</v>
      </c>
      <c r="AR43" s="95">
        <f t="shared" si="25"/>
        <v>0</v>
      </c>
      <c r="AS43" s="95">
        <f t="shared" si="25"/>
        <v>0</v>
      </c>
      <c r="AT43" s="95">
        <f t="shared" si="25"/>
        <v>0</v>
      </c>
      <c r="AU43" s="95">
        <f t="shared" si="25"/>
        <v>0</v>
      </c>
      <c r="AV43" s="95">
        <f t="shared" si="25"/>
        <v>0</v>
      </c>
      <c r="AW43" s="95">
        <f t="shared" si="25"/>
        <v>0</v>
      </c>
      <c r="AX43" s="95">
        <f t="shared" si="25"/>
        <v>0</v>
      </c>
      <c r="AY43" s="95">
        <f t="shared" si="25"/>
        <v>0</v>
      </c>
      <c r="AZ43" s="95">
        <f t="shared" si="25"/>
        <v>0</v>
      </c>
      <c r="BA43" s="95">
        <f t="shared" si="25"/>
        <v>0</v>
      </c>
      <c r="BB43" s="95">
        <f t="shared" si="25"/>
        <v>0</v>
      </c>
      <c r="BC43" s="95">
        <f t="shared" si="25"/>
        <v>0</v>
      </c>
      <c r="BD43" s="95">
        <f t="shared" si="25"/>
        <v>0</v>
      </c>
      <c r="BE43" s="95">
        <f t="shared" si="25"/>
        <v>0</v>
      </c>
      <c r="BF43" s="95">
        <f t="shared" si="25"/>
        <v>0</v>
      </c>
      <c r="BG43" s="95">
        <f t="shared" si="25"/>
        <v>0</v>
      </c>
      <c r="BH43" s="95">
        <f t="shared" si="25"/>
        <v>0</v>
      </c>
      <c r="BI43" s="95">
        <f t="shared" si="25"/>
        <v>0</v>
      </c>
    </row>
    <row r="44" spans="2:61" x14ac:dyDescent="0.3">
      <c r="C44">
        <v>360</v>
      </c>
      <c r="D44" t="s">
        <v>111</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f t="shared" ref="BF44:BF51" si="26">SUM(E44:BE44)</f>
        <v>0</v>
      </c>
      <c r="BG44" s="4">
        <f t="shared" ref="BG44:BG51" si="27">SUM(E44:W44)</f>
        <v>0</v>
      </c>
      <c r="BH44" s="4">
        <f t="shared" ref="BH44:BH51" si="28">SUM(X44:AJ44)</f>
        <v>0</v>
      </c>
      <c r="BI44" s="4">
        <f t="shared" ref="BI44:BI52" si="29">SUM(AK44:BE44)</f>
        <v>0</v>
      </c>
    </row>
    <row r="45" spans="2:61" x14ac:dyDescent="0.3">
      <c r="C45">
        <v>361</v>
      </c>
      <c r="D45" t="s">
        <v>112</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f t="shared" si="26"/>
        <v>0</v>
      </c>
      <c r="BG45" s="4">
        <f t="shared" si="27"/>
        <v>0</v>
      </c>
      <c r="BH45" s="4">
        <f t="shared" si="28"/>
        <v>0</v>
      </c>
      <c r="BI45" s="4">
        <f t="shared" si="29"/>
        <v>0</v>
      </c>
    </row>
    <row r="46" spans="2:61" x14ac:dyDescent="0.3">
      <c r="C46">
        <v>362</v>
      </c>
      <c r="D46" t="s">
        <v>113</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f t="shared" si="26"/>
        <v>0</v>
      </c>
      <c r="BG46" s="4">
        <f t="shared" si="27"/>
        <v>0</v>
      </c>
      <c r="BH46" s="4">
        <f t="shared" si="28"/>
        <v>0</v>
      </c>
      <c r="BI46" s="4">
        <f t="shared" si="29"/>
        <v>0</v>
      </c>
    </row>
    <row r="47" spans="2:61" x14ac:dyDescent="0.3">
      <c r="C47">
        <v>363</v>
      </c>
      <c r="D47" t="s">
        <v>114</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f t="shared" si="26"/>
        <v>0</v>
      </c>
      <c r="BG47" s="4">
        <f t="shared" si="27"/>
        <v>0</v>
      </c>
      <c r="BH47" s="4">
        <f t="shared" si="28"/>
        <v>0</v>
      </c>
      <c r="BI47" s="4">
        <f t="shared" si="29"/>
        <v>0</v>
      </c>
    </row>
    <row r="48" spans="2:61" x14ac:dyDescent="0.3">
      <c r="C48">
        <v>364</v>
      </c>
      <c r="D48" t="s">
        <v>115</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f t="shared" si="26"/>
        <v>0</v>
      </c>
      <c r="BG48" s="4">
        <f t="shared" si="27"/>
        <v>0</v>
      </c>
      <c r="BH48" s="4">
        <f t="shared" si="28"/>
        <v>0</v>
      </c>
      <c r="BI48" s="4">
        <f t="shared" si="29"/>
        <v>0</v>
      </c>
    </row>
    <row r="49" spans="2:61" x14ac:dyDescent="0.3">
      <c r="C49">
        <v>365</v>
      </c>
      <c r="D49" t="s">
        <v>116</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f t="shared" si="26"/>
        <v>0</v>
      </c>
      <c r="BG49" s="4">
        <f t="shared" si="27"/>
        <v>0</v>
      </c>
      <c r="BH49" s="4">
        <f t="shared" si="28"/>
        <v>0</v>
      </c>
      <c r="BI49" s="4">
        <f t="shared" si="29"/>
        <v>0</v>
      </c>
    </row>
    <row r="50" spans="2:61" x14ac:dyDescent="0.3">
      <c r="C50">
        <v>366</v>
      </c>
      <c r="D50" t="s">
        <v>117</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f t="shared" si="26"/>
        <v>0</v>
      </c>
      <c r="BG50" s="4">
        <f t="shared" si="27"/>
        <v>0</v>
      </c>
      <c r="BH50" s="4">
        <f t="shared" si="28"/>
        <v>0</v>
      </c>
      <c r="BI50" s="4">
        <f t="shared" si="29"/>
        <v>0</v>
      </c>
    </row>
    <row r="51" spans="2:61" x14ac:dyDescent="0.3">
      <c r="C51">
        <v>369</v>
      </c>
      <c r="D51" t="s">
        <v>118</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f t="shared" si="26"/>
        <v>0</v>
      </c>
      <c r="BG51" s="4">
        <f t="shared" si="27"/>
        <v>0</v>
      </c>
      <c r="BH51" s="4">
        <f t="shared" si="28"/>
        <v>0</v>
      </c>
      <c r="BI51" s="4">
        <f t="shared" si="29"/>
        <v>0</v>
      </c>
    </row>
    <row r="52" spans="2:61" x14ac:dyDescent="0.3">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v>0</v>
      </c>
      <c r="BB52" s="4"/>
      <c r="BC52" s="4"/>
      <c r="BD52" s="4"/>
      <c r="BE52" s="4"/>
      <c r="BF52" s="4"/>
      <c r="BG52" s="4"/>
      <c r="BH52" s="4"/>
      <c r="BI52" s="4">
        <f t="shared" si="29"/>
        <v>0</v>
      </c>
    </row>
    <row r="53" spans="2:61" x14ac:dyDescent="0.3">
      <c r="B53" s="94">
        <v>37</v>
      </c>
      <c r="C53" s="94"/>
      <c r="D53" s="94" t="s">
        <v>119</v>
      </c>
      <c r="E53" s="95">
        <f>E54</f>
        <v>0</v>
      </c>
      <c r="F53" s="95">
        <f t="shared" ref="F53:BI53" si="30">F54</f>
        <v>0</v>
      </c>
      <c r="G53" s="95">
        <f t="shared" si="30"/>
        <v>0</v>
      </c>
      <c r="H53" s="95">
        <f t="shared" si="30"/>
        <v>0</v>
      </c>
      <c r="I53" s="95">
        <f t="shared" si="30"/>
        <v>0</v>
      </c>
      <c r="J53" s="95">
        <f t="shared" si="30"/>
        <v>0</v>
      </c>
      <c r="K53" s="95">
        <f t="shared" si="30"/>
        <v>0</v>
      </c>
      <c r="L53" s="95">
        <f t="shared" si="30"/>
        <v>0</v>
      </c>
      <c r="M53" s="95">
        <f t="shared" si="30"/>
        <v>0</v>
      </c>
      <c r="N53" s="95">
        <f t="shared" si="30"/>
        <v>0</v>
      </c>
      <c r="O53" s="95">
        <f t="shared" si="30"/>
        <v>0</v>
      </c>
      <c r="P53" s="95">
        <f t="shared" si="30"/>
        <v>0</v>
      </c>
      <c r="Q53" s="95">
        <f t="shared" si="30"/>
        <v>0</v>
      </c>
      <c r="R53" s="95">
        <f t="shared" si="30"/>
        <v>0</v>
      </c>
      <c r="S53" s="95">
        <f t="shared" si="30"/>
        <v>0</v>
      </c>
      <c r="T53" s="95">
        <f t="shared" si="30"/>
        <v>0</v>
      </c>
      <c r="U53" s="95">
        <f t="shared" si="30"/>
        <v>0</v>
      </c>
      <c r="V53" s="95">
        <f t="shared" si="30"/>
        <v>0</v>
      </c>
      <c r="W53" s="95">
        <f t="shared" si="30"/>
        <v>0</v>
      </c>
      <c r="X53" s="95">
        <f t="shared" si="30"/>
        <v>0</v>
      </c>
      <c r="Y53" s="95">
        <f t="shared" si="30"/>
        <v>0</v>
      </c>
      <c r="Z53" s="95">
        <f t="shared" si="30"/>
        <v>0</v>
      </c>
      <c r="AA53" s="95">
        <f t="shared" si="30"/>
        <v>0</v>
      </c>
      <c r="AB53" s="95">
        <f t="shared" si="30"/>
        <v>0</v>
      </c>
      <c r="AC53" s="95">
        <f t="shared" si="30"/>
        <v>0</v>
      </c>
      <c r="AD53" s="95">
        <f t="shared" si="30"/>
        <v>0</v>
      </c>
      <c r="AE53" s="95">
        <f t="shared" si="30"/>
        <v>0</v>
      </c>
      <c r="AF53" s="95">
        <f t="shared" si="30"/>
        <v>0</v>
      </c>
      <c r="AG53" s="95">
        <f t="shared" si="30"/>
        <v>0</v>
      </c>
      <c r="AH53" s="95">
        <f t="shared" si="30"/>
        <v>0</v>
      </c>
      <c r="AI53" s="95">
        <f t="shared" si="30"/>
        <v>0</v>
      </c>
      <c r="AJ53" s="95">
        <f t="shared" si="30"/>
        <v>0</v>
      </c>
      <c r="AK53" s="95">
        <f t="shared" si="30"/>
        <v>0</v>
      </c>
      <c r="AL53" s="95">
        <f t="shared" si="30"/>
        <v>0</v>
      </c>
      <c r="AM53" s="95">
        <f t="shared" si="30"/>
        <v>0</v>
      </c>
      <c r="AN53" s="95">
        <f t="shared" si="30"/>
        <v>0</v>
      </c>
      <c r="AO53" s="95">
        <f t="shared" si="30"/>
        <v>0</v>
      </c>
      <c r="AP53" s="95">
        <f t="shared" si="30"/>
        <v>0</v>
      </c>
      <c r="AQ53" s="95">
        <f t="shared" si="30"/>
        <v>0</v>
      </c>
      <c r="AR53" s="95">
        <f t="shared" si="30"/>
        <v>0</v>
      </c>
      <c r="AS53" s="95">
        <f t="shared" si="30"/>
        <v>0</v>
      </c>
      <c r="AT53" s="95">
        <f t="shared" si="30"/>
        <v>0</v>
      </c>
      <c r="AU53" s="95">
        <f t="shared" si="30"/>
        <v>0</v>
      </c>
      <c r="AV53" s="95">
        <f t="shared" si="30"/>
        <v>0</v>
      </c>
      <c r="AW53" s="95">
        <f t="shared" si="30"/>
        <v>0</v>
      </c>
      <c r="AX53" s="95">
        <f t="shared" si="30"/>
        <v>0</v>
      </c>
      <c r="AY53" s="95">
        <f t="shared" si="30"/>
        <v>0</v>
      </c>
      <c r="AZ53" s="95">
        <f t="shared" si="30"/>
        <v>0</v>
      </c>
      <c r="BA53" s="95">
        <f t="shared" si="30"/>
        <v>0</v>
      </c>
      <c r="BB53" s="95">
        <f t="shared" si="30"/>
        <v>0</v>
      </c>
      <c r="BC53" s="95">
        <f t="shared" si="30"/>
        <v>0</v>
      </c>
      <c r="BD53" s="95">
        <f t="shared" si="30"/>
        <v>0</v>
      </c>
      <c r="BE53" s="95">
        <f t="shared" si="30"/>
        <v>0</v>
      </c>
      <c r="BF53" s="95">
        <f t="shared" si="30"/>
        <v>0</v>
      </c>
      <c r="BG53" s="95">
        <f t="shared" si="30"/>
        <v>0</v>
      </c>
      <c r="BH53" s="95">
        <f t="shared" si="30"/>
        <v>0</v>
      </c>
      <c r="BI53" s="95">
        <f t="shared" si="30"/>
        <v>0</v>
      </c>
    </row>
    <row r="54" spans="2:61" x14ac:dyDescent="0.3">
      <c r="C54">
        <v>370</v>
      </c>
      <c r="D54" t="s">
        <v>120</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f t="shared" ref="BF54" si="31">SUM(E54:BE54)</f>
        <v>0</v>
      </c>
      <c r="BG54" s="4">
        <f t="shared" ref="BG54" si="32">SUM(E54:W54)</f>
        <v>0</v>
      </c>
      <c r="BH54" s="4">
        <f t="shared" ref="BH54" si="33">SUM(X54:AJ54)</f>
        <v>0</v>
      </c>
      <c r="BI54" s="4">
        <f t="shared" ref="BI54" si="34">SUM(AK54:BE54)</f>
        <v>0</v>
      </c>
    </row>
    <row r="55" spans="2:61" x14ac:dyDescent="0.3">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3">
      <c r="B56" s="94">
        <v>38</v>
      </c>
      <c r="C56" s="94"/>
      <c r="D56" s="94" t="s">
        <v>121</v>
      </c>
      <c r="E56" s="95">
        <f>E57+E58+E59+E60+E61+E62</f>
        <v>0</v>
      </c>
      <c r="F56" s="95">
        <f t="shared" ref="F56:BI56" si="35">F57+F58+F59+F60+F61+F62</f>
        <v>0</v>
      </c>
      <c r="G56" s="95">
        <f t="shared" si="35"/>
        <v>0</v>
      </c>
      <c r="H56" s="95">
        <f t="shared" si="35"/>
        <v>0</v>
      </c>
      <c r="I56" s="95">
        <f t="shared" si="35"/>
        <v>0</v>
      </c>
      <c r="J56" s="95">
        <f t="shared" si="35"/>
        <v>0</v>
      </c>
      <c r="K56" s="95">
        <f t="shared" si="35"/>
        <v>0</v>
      </c>
      <c r="L56" s="95">
        <f t="shared" si="35"/>
        <v>0</v>
      </c>
      <c r="M56" s="95">
        <f t="shared" si="35"/>
        <v>0</v>
      </c>
      <c r="N56" s="95">
        <f t="shared" si="35"/>
        <v>0</v>
      </c>
      <c r="O56" s="95">
        <f t="shared" si="35"/>
        <v>0</v>
      </c>
      <c r="P56" s="95">
        <f t="shared" si="35"/>
        <v>0</v>
      </c>
      <c r="Q56" s="95">
        <f t="shared" si="35"/>
        <v>0</v>
      </c>
      <c r="R56" s="95">
        <f t="shared" si="35"/>
        <v>0</v>
      </c>
      <c r="S56" s="95">
        <f t="shared" si="35"/>
        <v>0</v>
      </c>
      <c r="T56" s="95">
        <f t="shared" si="35"/>
        <v>0</v>
      </c>
      <c r="U56" s="95">
        <f t="shared" si="35"/>
        <v>0</v>
      </c>
      <c r="V56" s="95">
        <f t="shared" si="35"/>
        <v>0</v>
      </c>
      <c r="W56" s="95">
        <f t="shared" si="35"/>
        <v>0</v>
      </c>
      <c r="X56" s="95">
        <f t="shared" si="35"/>
        <v>0</v>
      </c>
      <c r="Y56" s="95">
        <f t="shared" si="35"/>
        <v>0</v>
      </c>
      <c r="Z56" s="95">
        <f t="shared" si="35"/>
        <v>0</v>
      </c>
      <c r="AA56" s="95">
        <f t="shared" si="35"/>
        <v>0</v>
      </c>
      <c r="AB56" s="95">
        <f t="shared" si="35"/>
        <v>0</v>
      </c>
      <c r="AC56" s="95">
        <f t="shared" si="35"/>
        <v>0</v>
      </c>
      <c r="AD56" s="95">
        <f t="shared" si="35"/>
        <v>0</v>
      </c>
      <c r="AE56" s="95">
        <f t="shared" si="35"/>
        <v>0</v>
      </c>
      <c r="AF56" s="95">
        <f t="shared" si="35"/>
        <v>0</v>
      </c>
      <c r="AG56" s="95">
        <f t="shared" si="35"/>
        <v>0</v>
      </c>
      <c r="AH56" s="95">
        <f t="shared" si="35"/>
        <v>0</v>
      </c>
      <c r="AI56" s="95">
        <f t="shared" si="35"/>
        <v>0</v>
      </c>
      <c r="AJ56" s="95">
        <f t="shared" si="35"/>
        <v>0</v>
      </c>
      <c r="AK56" s="95">
        <f t="shared" si="35"/>
        <v>0</v>
      </c>
      <c r="AL56" s="95">
        <f t="shared" si="35"/>
        <v>0</v>
      </c>
      <c r="AM56" s="95">
        <f t="shared" si="35"/>
        <v>0</v>
      </c>
      <c r="AN56" s="95">
        <f t="shared" si="35"/>
        <v>0</v>
      </c>
      <c r="AO56" s="95">
        <f t="shared" si="35"/>
        <v>0</v>
      </c>
      <c r="AP56" s="95">
        <f t="shared" si="35"/>
        <v>0</v>
      </c>
      <c r="AQ56" s="95">
        <f t="shared" si="35"/>
        <v>0</v>
      </c>
      <c r="AR56" s="95">
        <f t="shared" si="35"/>
        <v>0</v>
      </c>
      <c r="AS56" s="95">
        <f t="shared" si="35"/>
        <v>0</v>
      </c>
      <c r="AT56" s="95">
        <f t="shared" si="35"/>
        <v>0</v>
      </c>
      <c r="AU56" s="95">
        <f t="shared" si="35"/>
        <v>0</v>
      </c>
      <c r="AV56" s="95">
        <f t="shared" si="35"/>
        <v>0</v>
      </c>
      <c r="AW56" s="95">
        <f t="shared" si="35"/>
        <v>0</v>
      </c>
      <c r="AX56" s="95">
        <f t="shared" si="35"/>
        <v>0</v>
      </c>
      <c r="AY56" s="95">
        <f t="shared" si="35"/>
        <v>0</v>
      </c>
      <c r="AZ56" s="95">
        <f t="shared" si="35"/>
        <v>0</v>
      </c>
      <c r="BA56" s="95">
        <f t="shared" si="35"/>
        <v>0</v>
      </c>
      <c r="BB56" s="95">
        <f t="shared" si="35"/>
        <v>0</v>
      </c>
      <c r="BC56" s="95">
        <f t="shared" si="35"/>
        <v>0</v>
      </c>
      <c r="BD56" s="95">
        <f t="shared" si="35"/>
        <v>0</v>
      </c>
      <c r="BE56" s="95">
        <f t="shared" si="35"/>
        <v>0</v>
      </c>
      <c r="BF56" s="95">
        <f t="shared" si="35"/>
        <v>0</v>
      </c>
      <c r="BG56" s="95">
        <f t="shared" si="35"/>
        <v>0</v>
      </c>
      <c r="BH56" s="95">
        <f t="shared" si="35"/>
        <v>0</v>
      </c>
      <c r="BI56" s="95">
        <f t="shared" si="35"/>
        <v>0</v>
      </c>
    </row>
    <row r="57" spans="2:61" x14ac:dyDescent="0.3">
      <c r="C57">
        <v>380</v>
      </c>
      <c r="D57" t="s">
        <v>122</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f t="shared" ref="BF57:BF62" si="36">SUM(E57:BE57)</f>
        <v>0</v>
      </c>
      <c r="BG57" s="4">
        <f t="shared" ref="BG57:BG62" si="37">SUM(E57:W57)</f>
        <v>0</v>
      </c>
      <c r="BH57" s="4">
        <f t="shared" ref="BH57:BH62" si="38">SUM(X57:AJ57)</f>
        <v>0</v>
      </c>
      <c r="BI57" s="4">
        <f t="shared" ref="BI57:BI62" si="39">SUM(AK57:BE57)</f>
        <v>0</v>
      </c>
    </row>
    <row r="58" spans="2:61" x14ac:dyDescent="0.3">
      <c r="C58">
        <v>381</v>
      </c>
      <c r="D58" t="s">
        <v>123</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f t="shared" si="36"/>
        <v>0</v>
      </c>
      <c r="BG58" s="4">
        <f t="shared" si="37"/>
        <v>0</v>
      </c>
      <c r="BH58" s="4">
        <f t="shared" si="38"/>
        <v>0</v>
      </c>
      <c r="BI58" s="4">
        <f t="shared" si="39"/>
        <v>0</v>
      </c>
    </row>
    <row r="59" spans="2:61" x14ac:dyDescent="0.3">
      <c r="C59">
        <v>384</v>
      </c>
      <c r="D59" t="s">
        <v>124</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f t="shared" si="36"/>
        <v>0</v>
      </c>
      <c r="BG59" s="4">
        <f t="shared" si="37"/>
        <v>0</v>
      </c>
      <c r="BH59" s="4">
        <f t="shared" si="38"/>
        <v>0</v>
      </c>
      <c r="BI59" s="4">
        <f t="shared" si="39"/>
        <v>0</v>
      </c>
    </row>
    <row r="60" spans="2:61" x14ac:dyDescent="0.3">
      <c r="C60">
        <v>385</v>
      </c>
      <c r="D60" t="s">
        <v>125</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f t="shared" si="36"/>
        <v>0</v>
      </c>
      <c r="BG60" s="4">
        <f t="shared" si="37"/>
        <v>0</v>
      </c>
      <c r="BH60" s="4">
        <f t="shared" si="38"/>
        <v>0</v>
      </c>
      <c r="BI60" s="4">
        <f t="shared" si="39"/>
        <v>0</v>
      </c>
    </row>
    <row r="61" spans="2:61" x14ac:dyDescent="0.3">
      <c r="C61">
        <v>386</v>
      </c>
      <c r="D61" t="s">
        <v>126</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f t="shared" si="36"/>
        <v>0</v>
      </c>
      <c r="BG61" s="4">
        <f t="shared" si="37"/>
        <v>0</v>
      </c>
      <c r="BH61" s="4">
        <f t="shared" si="38"/>
        <v>0</v>
      </c>
      <c r="BI61" s="4">
        <f t="shared" si="39"/>
        <v>0</v>
      </c>
    </row>
    <row r="62" spans="2:61" x14ac:dyDescent="0.3">
      <c r="C62">
        <v>389</v>
      </c>
      <c r="D62" t="s">
        <v>297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f t="shared" si="36"/>
        <v>0</v>
      </c>
      <c r="BG62" s="4">
        <f t="shared" si="37"/>
        <v>0</v>
      </c>
      <c r="BH62" s="4">
        <f t="shared" si="38"/>
        <v>0</v>
      </c>
      <c r="BI62" s="4">
        <f t="shared" si="39"/>
        <v>0</v>
      </c>
    </row>
    <row r="63" spans="2:61" x14ac:dyDescent="0.3">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3">
      <c r="B64" s="94">
        <v>39</v>
      </c>
      <c r="C64" s="94"/>
      <c r="D64" s="94" t="s">
        <v>128</v>
      </c>
      <c r="E64" s="95">
        <f>E65+E66+E67+E68+E69+E70+E71+E72</f>
        <v>0</v>
      </c>
      <c r="F64" s="95">
        <f t="shared" ref="F64:BI64" si="40">F65+F66+F67+F68+F69+F70+F71+F72</f>
        <v>0</v>
      </c>
      <c r="G64" s="95">
        <f t="shared" si="40"/>
        <v>0</v>
      </c>
      <c r="H64" s="95">
        <f t="shared" si="40"/>
        <v>0</v>
      </c>
      <c r="I64" s="95">
        <f t="shared" si="40"/>
        <v>0</v>
      </c>
      <c r="J64" s="95">
        <f t="shared" si="40"/>
        <v>0</v>
      </c>
      <c r="K64" s="95">
        <f t="shared" si="40"/>
        <v>0</v>
      </c>
      <c r="L64" s="95">
        <f t="shared" si="40"/>
        <v>0</v>
      </c>
      <c r="M64" s="95">
        <f t="shared" si="40"/>
        <v>0</v>
      </c>
      <c r="N64" s="95">
        <f t="shared" si="40"/>
        <v>0</v>
      </c>
      <c r="O64" s="95">
        <f t="shared" si="40"/>
        <v>0</v>
      </c>
      <c r="P64" s="95">
        <f t="shared" si="40"/>
        <v>0</v>
      </c>
      <c r="Q64" s="95">
        <f t="shared" si="40"/>
        <v>0</v>
      </c>
      <c r="R64" s="95">
        <f t="shared" si="40"/>
        <v>0</v>
      </c>
      <c r="S64" s="95">
        <f t="shared" si="40"/>
        <v>0</v>
      </c>
      <c r="T64" s="95">
        <f t="shared" si="40"/>
        <v>0</v>
      </c>
      <c r="U64" s="95">
        <f t="shared" si="40"/>
        <v>0</v>
      </c>
      <c r="V64" s="95">
        <f t="shared" si="40"/>
        <v>0</v>
      </c>
      <c r="W64" s="95">
        <f t="shared" si="40"/>
        <v>0</v>
      </c>
      <c r="X64" s="95">
        <f t="shared" si="40"/>
        <v>0</v>
      </c>
      <c r="Y64" s="95">
        <f t="shared" si="40"/>
        <v>0</v>
      </c>
      <c r="Z64" s="95">
        <f t="shared" si="40"/>
        <v>0</v>
      </c>
      <c r="AA64" s="95">
        <f t="shared" si="40"/>
        <v>0</v>
      </c>
      <c r="AB64" s="95">
        <f t="shared" si="40"/>
        <v>0</v>
      </c>
      <c r="AC64" s="95">
        <f t="shared" si="40"/>
        <v>0</v>
      </c>
      <c r="AD64" s="95">
        <f t="shared" si="40"/>
        <v>0</v>
      </c>
      <c r="AE64" s="95">
        <f t="shared" si="40"/>
        <v>0</v>
      </c>
      <c r="AF64" s="95">
        <f t="shared" si="40"/>
        <v>0</v>
      </c>
      <c r="AG64" s="95">
        <f t="shared" si="40"/>
        <v>0</v>
      </c>
      <c r="AH64" s="95">
        <f t="shared" si="40"/>
        <v>0</v>
      </c>
      <c r="AI64" s="95">
        <f t="shared" si="40"/>
        <v>0</v>
      </c>
      <c r="AJ64" s="95">
        <f t="shared" si="40"/>
        <v>0</v>
      </c>
      <c r="AK64" s="95">
        <f t="shared" si="40"/>
        <v>0</v>
      </c>
      <c r="AL64" s="95">
        <f t="shared" si="40"/>
        <v>0</v>
      </c>
      <c r="AM64" s="95">
        <f t="shared" si="40"/>
        <v>0</v>
      </c>
      <c r="AN64" s="95">
        <f t="shared" si="40"/>
        <v>0</v>
      </c>
      <c r="AO64" s="95">
        <f t="shared" si="40"/>
        <v>0</v>
      </c>
      <c r="AP64" s="95">
        <f t="shared" si="40"/>
        <v>0</v>
      </c>
      <c r="AQ64" s="95">
        <f t="shared" si="40"/>
        <v>0</v>
      </c>
      <c r="AR64" s="95">
        <f t="shared" si="40"/>
        <v>0</v>
      </c>
      <c r="AS64" s="95">
        <f t="shared" si="40"/>
        <v>0</v>
      </c>
      <c r="AT64" s="95">
        <f t="shared" si="40"/>
        <v>0</v>
      </c>
      <c r="AU64" s="95">
        <f t="shared" si="40"/>
        <v>0</v>
      </c>
      <c r="AV64" s="95">
        <f t="shared" si="40"/>
        <v>0</v>
      </c>
      <c r="AW64" s="95">
        <f t="shared" si="40"/>
        <v>0</v>
      </c>
      <c r="AX64" s="95">
        <f t="shared" si="40"/>
        <v>0</v>
      </c>
      <c r="AY64" s="95">
        <f t="shared" si="40"/>
        <v>0</v>
      </c>
      <c r="AZ64" s="95">
        <f t="shared" si="40"/>
        <v>0</v>
      </c>
      <c r="BA64" s="95">
        <f t="shared" si="40"/>
        <v>0</v>
      </c>
      <c r="BB64" s="95">
        <f t="shared" si="40"/>
        <v>0</v>
      </c>
      <c r="BC64" s="95">
        <f t="shared" si="40"/>
        <v>0</v>
      </c>
      <c r="BD64" s="95">
        <f t="shared" si="40"/>
        <v>0</v>
      </c>
      <c r="BE64" s="95">
        <f t="shared" si="40"/>
        <v>0</v>
      </c>
      <c r="BF64" s="95">
        <f t="shared" si="40"/>
        <v>0</v>
      </c>
      <c r="BG64" s="95">
        <f t="shared" si="40"/>
        <v>0</v>
      </c>
      <c r="BH64" s="95">
        <f t="shared" si="40"/>
        <v>0</v>
      </c>
      <c r="BI64" s="95">
        <f t="shared" si="40"/>
        <v>0</v>
      </c>
    </row>
    <row r="65" spans="1:61" x14ac:dyDescent="0.3">
      <c r="C65">
        <v>390</v>
      </c>
      <c r="D65" t="s">
        <v>129</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f t="shared" ref="BF65:BF73" si="41">SUM(E65:BE65)</f>
        <v>0</v>
      </c>
      <c r="BG65" s="4">
        <f t="shared" ref="BG65:BG73" si="42">SUM(E65:W65)</f>
        <v>0</v>
      </c>
      <c r="BH65" s="4">
        <f t="shared" ref="BH65:BH73" si="43">SUM(X65:AJ65)</f>
        <v>0</v>
      </c>
      <c r="BI65" s="4">
        <f t="shared" ref="BI65:BI73" si="44">SUM(AK65:BE65)</f>
        <v>0</v>
      </c>
    </row>
    <row r="66" spans="1:61" x14ac:dyDescent="0.3">
      <c r="C66">
        <v>391</v>
      </c>
      <c r="D66" t="s">
        <v>130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f t="shared" si="41"/>
        <v>0</v>
      </c>
      <c r="BG66" s="4">
        <f t="shared" si="42"/>
        <v>0</v>
      </c>
      <c r="BH66" s="4">
        <f t="shared" si="43"/>
        <v>0</v>
      </c>
      <c r="BI66" s="4">
        <f t="shared" si="44"/>
        <v>0</v>
      </c>
    </row>
    <row r="67" spans="1:61" x14ac:dyDescent="0.3">
      <c r="C67">
        <v>392</v>
      </c>
      <c r="D67" t="s">
        <v>131</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f t="shared" si="41"/>
        <v>0</v>
      </c>
      <c r="BG67" s="4">
        <f t="shared" si="42"/>
        <v>0</v>
      </c>
      <c r="BH67" s="4">
        <f t="shared" si="43"/>
        <v>0</v>
      </c>
      <c r="BI67" s="4">
        <f t="shared" si="44"/>
        <v>0</v>
      </c>
    </row>
    <row r="68" spans="1:61" x14ac:dyDescent="0.3">
      <c r="C68">
        <v>393</v>
      </c>
      <c r="D68" t="s">
        <v>132</v>
      </c>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f t="shared" si="41"/>
        <v>0</v>
      </c>
      <c r="BG68" s="4">
        <f t="shared" si="42"/>
        <v>0</v>
      </c>
      <c r="BH68" s="4">
        <f t="shared" si="43"/>
        <v>0</v>
      </c>
      <c r="BI68" s="4">
        <f t="shared" si="44"/>
        <v>0</v>
      </c>
    </row>
    <row r="69" spans="1:61" x14ac:dyDescent="0.3">
      <c r="C69">
        <v>394</v>
      </c>
      <c r="D69" t="s">
        <v>133</v>
      </c>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f t="shared" si="41"/>
        <v>0</v>
      </c>
      <c r="BG69" s="4">
        <f t="shared" si="42"/>
        <v>0</v>
      </c>
      <c r="BH69" s="4">
        <f t="shared" si="43"/>
        <v>0</v>
      </c>
      <c r="BI69" s="4">
        <f t="shared" si="44"/>
        <v>0</v>
      </c>
    </row>
    <row r="70" spans="1:61" x14ac:dyDescent="0.3">
      <c r="C70">
        <v>395</v>
      </c>
      <c r="D70" t="s">
        <v>134</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f t="shared" si="41"/>
        <v>0</v>
      </c>
      <c r="BG70" s="4">
        <f t="shared" si="42"/>
        <v>0</v>
      </c>
      <c r="BH70" s="4">
        <f t="shared" si="43"/>
        <v>0</v>
      </c>
      <c r="BI70" s="4">
        <f t="shared" si="44"/>
        <v>0</v>
      </c>
    </row>
    <row r="71" spans="1:61" x14ac:dyDescent="0.3">
      <c r="C71">
        <v>398</v>
      </c>
      <c r="D71" t="s">
        <v>135</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f t="shared" si="41"/>
        <v>0</v>
      </c>
      <c r="BG71" s="4">
        <f t="shared" si="42"/>
        <v>0</v>
      </c>
      <c r="BH71" s="4">
        <f t="shared" si="43"/>
        <v>0</v>
      </c>
      <c r="BI71" s="4">
        <f t="shared" si="44"/>
        <v>0</v>
      </c>
    </row>
    <row r="72" spans="1:61" x14ac:dyDescent="0.3">
      <c r="C72">
        <v>399</v>
      </c>
      <c r="D72" t="s">
        <v>136</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f t="shared" si="41"/>
        <v>0</v>
      </c>
      <c r="BG72" s="4">
        <f t="shared" si="42"/>
        <v>0</v>
      </c>
      <c r="BH72" s="4">
        <f t="shared" si="43"/>
        <v>0</v>
      </c>
      <c r="BI72" s="4">
        <f t="shared" si="44"/>
        <v>0</v>
      </c>
    </row>
    <row r="73" spans="1:61" x14ac:dyDescent="0.3">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1"/>
        <v>0</v>
      </c>
      <c r="BG73" s="4">
        <f t="shared" si="42"/>
        <v>0</v>
      </c>
      <c r="BH73" s="4">
        <f t="shared" si="43"/>
        <v>0</v>
      </c>
      <c r="BI73" s="4">
        <f t="shared" si="44"/>
        <v>0</v>
      </c>
    </row>
    <row r="74" spans="1:61" x14ac:dyDescent="0.3">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4">
      <c r="A75" s="98">
        <v>4</v>
      </c>
      <c r="B75" s="98"/>
      <c r="C75" s="98"/>
      <c r="D75" s="98" t="s">
        <v>137</v>
      </c>
      <c r="E75" s="97">
        <f>E76+E82+E88+E99+E105+E117+E121+E128+E131+E140</f>
        <v>0</v>
      </c>
      <c r="F75" s="97">
        <f t="shared" ref="F75:BI75" si="45">F76+F82+F88+F99+F105+F117+F121+F128+F131+F140</f>
        <v>0</v>
      </c>
      <c r="G75" s="97">
        <f t="shared" si="45"/>
        <v>0</v>
      </c>
      <c r="H75" s="97">
        <f t="shared" si="45"/>
        <v>0</v>
      </c>
      <c r="I75" s="97">
        <f t="shared" si="45"/>
        <v>0</v>
      </c>
      <c r="J75" s="97">
        <f t="shared" si="45"/>
        <v>0</v>
      </c>
      <c r="K75" s="97">
        <f t="shared" si="45"/>
        <v>0</v>
      </c>
      <c r="L75" s="97">
        <f t="shared" si="45"/>
        <v>0</v>
      </c>
      <c r="M75" s="97">
        <f t="shared" si="45"/>
        <v>0</v>
      </c>
      <c r="N75" s="97">
        <f t="shared" si="45"/>
        <v>0</v>
      </c>
      <c r="O75" s="97">
        <f t="shared" si="45"/>
        <v>0</v>
      </c>
      <c r="P75" s="97">
        <f t="shared" si="45"/>
        <v>0</v>
      </c>
      <c r="Q75" s="97">
        <f t="shared" si="45"/>
        <v>0</v>
      </c>
      <c r="R75" s="97">
        <f t="shared" si="45"/>
        <v>0</v>
      </c>
      <c r="S75" s="97">
        <f t="shared" si="45"/>
        <v>0</v>
      </c>
      <c r="T75" s="97">
        <f t="shared" si="45"/>
        <v>0</v>
      </c>
      <c r="U75" s="97">
        <f t="shared" si="45"/>
        <v>0</v>
      </c>
      <c r="V75" s="97">
        <f t="shared" si="45"/>
        <v>0</v>
      </c>
      <c r="W75" s="97">
        <f t="shared" si="45"/>
        <v>0</v>
      </c>
      <c r="X75" s="97">
        <f t="shared" si="45"/>
        <v>0</v>
      </c>
      <c r="Y75" s="97">
        <f t="shared" si="45"/>
        <v>0</v>
      </c>
      <c r="Z75" s="97">
        <f t="shared" si="45"/>
        <v>0</v>
      </c>
      <c r="AA75" s="97">
        <f t="shared" si="45"/>
        <v>0</v>
      </c>
      <c r="AB75" s="97">
        <f t="shared" si="45"/>
        <v>0</v>
      </c>
      <c r="AC75" s="97">
        <f t="shared" si="45"/>
        <v>0</v>
      </c>
      <c r="AD75" s="97">
        <f t="shared" si="45"/>
        <v>0</v>
      </c>
      <c r="AE75" s="97">
        <f t="shared" si="45"/>
        <v>0</v>
      </c>
      <c r="AF75" s="97">
        <f t="shared" si="45"/>
        <v>0</v>
      </c>
      <c r="AG75" s="97">
        <f t="shared" si="45"/>
        <v>0</v>
      </c>
      <c r="AH75" s="97">
        <f t="shared" si="45"/>
        <v>0</v>
      </c>
      <c r="AI75" s="97">
        <f t="shared" si="45"/>
        <v>0</v>
      </c>
      <c r="AJ75" s="97">
        <f t="shared" si="45"/>
        <v>0</v>
      </c>
      <c r="AK75" s="97">
        <f t="shared" si="45"/>
        <v>0</v>
      </c>
      <c r="AL75" s="97">
        <f t="shared" si="45"/>
        <v>0</v>
      </c>
      <c r="AM75" s="97">
        <f t="shared" si="45"/>
        <v>0</v>
      </c>
      <c r="AN75" s="97">
        <f t="shared" si="45"/>
        <v>0</v>
      </c>
      <c r="AO75" s="97">
        <f t="shared" si="45"/>
        <v>0</v>
      </c>
      <c r="AP75" s="97">
        <f t="shared" si="45"/>
        <v>0</v>
      </c>
      <c r="AQ75" s="97">
        <f t="shared" si="45"/>
        <v>0</v>
      </c>
      <c r="AR75" s="97">
        <f t="shared" si="45"/>
        <v>0</v>
      </c>
      <c r="AS75" s="97">
        <f t="shared" si="45"/>
        <v>0</v>
      </c>
      <c r="AT75" s="97">
        <f t="shared" si="45"/>
        <v>0</v>
      </c>
      <c r="AU75" s="97">
        <f t="shared" si="45"/>
        <v>0</v>
      </c>
      <c r="AV75" s="97">
        <f t="shared" si="45"/>
        <v>0</v>
      </c>
      <c r="AW75" s="97">
        <f t="shared" si="45"/>
        <v>0</v>
      </c>
      <c r="AX75" s="97">
        <f t="shared" si="45"/>
        <v>0</v>
      </c>
      <c r="AY75" s="97">
        <f t="shared" si="45"/>
        <v>0</v>
      </c>
      <c r="AZ75" s="97">
        <f t="shared" si="45"/>
        <v>0</v>
      </c>
      <c r="BA75" s="97">
        <f t="shared" si="45"/>
        <v>0</v>
      </c>
      <c r="BB75" s="97">
        <f t="shared" si="45"/>
        <v>0</v>
      </c>
      <c r="BC75" s="97">
        <f t="shared" si="45"/>
        <v>0</v>
      </c>
      <c r="BD75" s="97">
        <f t="shared" si="45"/>
        <v>0</v>
      </c>
      <c r="BE75" s="97">
        <f t="shared" si="45"/>
        <v>0</v>
      </c>
      <c r="BF75" s="97">
        <f t="shared" si="45"/>
        <v>0</v>
      </c>
      <c r="BG75" s="97">
        <f t="shared" si="45"/>
        <v>0</v>
      </c>
      <c r="BH75" s="97">
        <f t="shared" si="45"/>
        <v>0</v>
      </c>
      <c r="BI75" s="97">
        <f t="shared" si="45"/>
        <v>0</v>
      </c>
    </row>
    <row r="76" spans="1:61" x14ac:dyDescent="0.3">
      <c r="A76" s="7"/>
      <c r="B76" s="96">
        <v>40</v>
      </c>
      <c r="C76" s="96"/>
      <c r="D76" s="96" t="s">
        <v>79</v>
      </c>
      <c r="E76" s="91">
        <f>E77+E78+E79+E80</f>
        <v>0</v>
      </c>
      <c r="F76" s="91">
        <f t="shared" ref="F76:BI76" si="46">F77+F78+F79+F80</f>
        <v>0</v>
      </c>
      <c r="G76" s="91">
        <f t="shared" si="46"/>
        <v>0</v>
      </c>
      <c r="H76" s="91">
        <f t="shared" si="46"/>
        <v>0</v>
      </c>
      <c r="I76" s="91">
        <f t="shared" si="46"/>
        <v>0</v>
      </c>
      <c r="J76" s="91">
        <f t="shared" si="46"/>
        <v>0</v>
      </c>
      <c r="K76" s="91">
        <f t="shared" si="46"/>
        <v>0</v>
      </c>
      <c r="L76" s="91">
        <f t="shared" si="46"/>
        <v>0</v>
      </c>
      <c r="M76" s="91">
        <f t="shared" si="46"/>
        <v>0</v>
      </c>
      <c r="N76" s="91">
        <f t="shared" si="46"/>
        <v>0</v>
      </c>
      <c r="O76" s="91">
        <f t="shared" si="46"/>
        <v>0</v>
      </c>
      <c r="P76" s="91">
        <f t="shared" si="46"/>
        <v>0</v>
      </c>
      <c r="Q76" s="91">
        <f t="shared" si="46"/>
        <v>0</v>
      </c>
      <c r="R76" s="91">
        <f t="shared" si="46"/>
        <v>0</v>
      </c>
      <c r="S76" s="91">
        <f t="shared" si="46"/>
        <v>0</v>
      </c>
      <c r="T76" s="91">
        <f t="shared" si="46"/>
        <v>0</v>
      </c>
      <c r="U76" s="91">
        <f t="shared" si="46"/>
        <v>0</v>
      </c>
      <c r="V76" s="91">
        <f t="shared" si="46"/>
        <v>0</v>
      </c>
      <c r="W76" s="91">
        <f t="shared" si="46"/>
        <v>0</v>
      </c>
      <c r="X76" s="91">
        <f t="shared" si="46"/>
        <v>0</v>
      </c>
      <c r="Y76" s="91">
        <f t="shared" si="46"/>
        <v>0</v>
      </c>
      <c r="Z76" s="91">
        <f t="shared" si="46"/>
        <v>0</v>
      </c>
      <c r="AA76" s="91">
        <f t="shared" si="46"/>
        <v>0</v>
      </c>
      <c r="AB76" s="91">
        <f t="shared" si="46"/>
        <v>0</v>
      </c>
      <c r="AC76" s="91">
        <f t="shared" si="46"/>
        <v>0</v>
      </c>
      <c r="AD76" s="91">
        <f t="shared" si="46"/>
        <v>0</v>
      </c>
      <c r="AE76" s="91">
        <f t="shared" si="46"/>
        <v>0</v>
      </c>
      <c r="AF76" s="91">
        <f t="shared" si="46"/>
        <v>0</v>
      </c>
      <c r="AG76" s="91">
        <f t="shared" si="46"/>
        <v>0</v>
      </c>
      <c r="AH76" s="91">
        <f t="shared" si="46"/>
        <v>0</v>
      </c>
      <c r="AI76" s="91">
        <f t="shared" si="46"/>
        <v>0</v>
      </c>
      <c r="AJ76" s="91">
        <f t="shared" si="46"/>
        <v>0</v>
      </c>
      <c r="AK76" s="91">
        <f t="shared" si="46"/>
        <v>0</v>
      </c>
      <c r="AL76" s="91">
        <f t="shared" si="46"/>
        <v>0</v>
      </c>
      <c r="AM76" s="91">
        <f t="shared" si="46"/>
        <v>0</v>
      </c>
      <c r="AN76" s="91">
        <f t="shared" si="46"/>
        <v>0</v>
      </c>
      <c r="AO76" s="91">
        <f t="shared" si="46"/>
        <v>0</v>
      </c>
      <c r="AP76" s="91">
        <f t="shared" si="46"/>
        <v>0</v>
      </c>
      <c r="AQ76" s="91">
        <f t="shared" si="46"/>
        <v>0</v>
      </c>
      <c r="AR76" s="91">
        <f t="shared" si="46"/>
        <v>0</v>
      </c>
      <c r="AS76" s="91">
        <f t="shared" si="46"/>
        <v>0</v>
      </c>
      <c r="AT76" s="91">
        <f t="shared" si="46"/>
        <v>0</v>
      </c>
      <c r="AU76" s="91">
        <f t="shared" si="46"/>
        <v>0</v>
      </c>
      <c r="AV76" s="91">
        <f t="shared" si="46"/>
        <v>0</v>
      </c>
      <c r="AW76" s="91">
        <f t="shared" si="46"/>
        <v>0</v>
      </c>
      <c r="AX76" s="91">
        <f t="shared" si="46"/>
        <v>0</v>
      </c>
      <c r="AY76" s="91">
        <f t="shared" si="46"/>
        <v>0</v>
      </c>
      <c r="AZ76" s="91">
        <f t="shared" si="46"/>
        <v>0</v>
      </c>
      <c r="BA76" s="91">
        <f t="shared" si="46"/>
        <v>0</v>
      </c>
      <c r="BB76" s="91">
        <f t="shared" si="46"/>
        <v>0</v>
      </c>
      <c r="BC76" s="91">
        <f t="shared" si="46"/>
        <v>0</v>
      </c>
      <c r="BD76" s="91">
        <f t="shared" si="46"/>
        <v>0</v>
      </c>
      <c r="BE76" s="91">
        <f t="shared" si="46"/>
        <v>0</v>
      </c>
      <c r="BF76" s="91">
        <f t="shared" si="46"/>
        <v>0</v>
      </c>
      <c r="BG76" s="91">
        <f t="shared" si="46"/>
        <v>0</v>
      </c>
      <c r="BH76" s="91">
        <f t="shared" si="46"/>
        <v>0</v>
      </c>
      <c r="BI76" s="91">
        <f t="shared" si="46"/>
        <v>0</v>
      </c>
    </row>
    <row r="77" spans="1:61" x14ac:dyDescent="0.3">
      <c r="C77">
        <v>400</v>
      </c>
      <c r="D77" t="s">
        <v>138</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f t="shared" ref="BF77:BF80" si="47">SUM(E77:BE77)</f>
        <v>0</v>
      </c>
      <c r="BG77" s="4">
        <f t="shared" ref="BG77:BG80" si="48">SUM(E77:W77)</f>
        <v>0</v>
      </c>
      <c r="BH77" s="4">
        <f t="shared" ref="BH77:BH80" si="49">SUM(X77:AJ77)</f>
        <v>0</v>
      </c>
      <c r="BI77" s="4">
        <f t="shared" ref="BI77:BI80" si="50">SUM(AK77:BE77)</f>
        <v>0</v>
      </c>
    </row>
    <row r="78" spans="1:61" x14ac:dyDescent="0.3">
      <c r="C78">
        <v>401</v>
      </c>
      <c r="D78" t="s">
        <v>139</v>
      </c>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f t="shared" si="47"/>
        <v>0</v>
      </c>
      <c r="BG78" s="4">
        <f t="shared" si="48"/>
        <v>0</v>
      </c>
      <c r="BH78" s="4">
        <f t="shared" si="49"/>
        <v>0</v>
      </c>
      <c r="BI78" s="4">
        <f t="shared" si="50"/>
        <v>0</v>
      </c>
    </row>
    <row r="79" spans="1:61" x14ac:dyDescent="0.3">
      <c r="C79">
        <v>402</v>
      </c>
      <c r="D79" t="s">
        <v>140</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f t="shared" si="47"/>
        <v>0</v>
      </c>
      <c r="BG79" s="4">
        <f t="shared" si="48"/>
        <v>0</v>
      </c>
      <c r="BH79" s="4">
        <f t="shared" si="49"/>
        <v>0</v>
      </c>
      <c r="BI79" s="4">
        <f t="shared" si="50"/>
        <v>0</v>
      </c>
    </row>
    <row r="80" spans="1:61" x14ac:dyDescent="0.3">
      <c r="C80">
        <v>403</v>
      </c>
      <c r="D80" t="s">
        <v>141</v>
      </c>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f t="shared" si="47"/>
        <v>0</v>
      </c>
      <c r="BG80" s="4">
        <f t="shared" si="48"/>
        <v>0</v>
      </c>
      <c r="BH80" s="4">
        <f t="shared" si="49"/>
        <v>0</v>
      </c>
      <c r="BI80" s="4">
        <f t="shared" si="50"/>
        <v>0</v>
      </c>
    </row>
    <row r="81" spans="2:61" x14ac:dyDescent="0.3">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3">
      <c r="B82" s="96">
        <v>41</v>
      </c>
      <c r="C82" s="96"/>
      <c r="D82" s="96" t="s">
        <v>142</v>
      </c>
      <c r="E82" s="91">
        <f>E83+E84+E85+E86</f>
        <v>0</v>
      </c>
      <c r="F82" s="91">
        <f t="shared" ref="F82:BI82" si="51">F83+F84+F85+F86</f>
        <v>0</v>
      </c>
      <c r="G82" s="91">
        <f t="shared" si="51"/>
        <v>0</v>
      </c>
      <c r="H82" s="91">
        <f t="shared" si="51"/>
        <v>0</v>
      </c>
      <c r="I82" s="91">
        <f t="shared" si="51"/>
        <v>0</v>
      </c>
      <c r="J82" s="91">
        <f t="shared" si="51"/>
        <v>0</v>
      </c>
      <c r="K82" s="91">
        <f t="shared" si="51"/>
        <v>0</v>
      </c>
      <c r="L82" s="91">
        <f t="shared" si="51"/>
        <v>0</v>
      </c>
      <c r="M82" s="91">
        <f t="shared" si="51"/>
        <v>0</v>
      </c>
      <c r="N82" s="91">
        <f t="shared" si="51"/>
        <v>0</v>
      </c>
      <c r="O82" s="91">
        <f t="shared" si="51"/>
        <v>0</v>
      </c>
      <c r="P82" s="91">
        <f t="shared" si="51"/>
        <v>0</v>
      </c>
      <c r="Q82" s="91">
        <f t="shared" si="51"/>
        <v>0</v>
      </c>
      <c r="R82" s="91">
        <f t="shared" si="51"/>
        <v>0</v>
      </c>
      <c r="S82" s="91">
        <f t="shared" si="51"/>
        <v>0</v>
      </c>
      <c r="T82" s="91">
        <f t="shared" si="51"/>
        <v>0</v>
      </c>
      <c r="U82" s="91">
        <f t="shared" si="51"/>
        <v>0</v>
      </c>
      <c r="V82" s="91">
        <f t="shared" si="51"/>
        <v>0</v>
      </c>
      <c r="W82" s="91">
        <f t="shared" si="51"/>
        <v>0</v>
      </c>
      <c r="X82" s="91">
        <f t="shared" si="51"/>
        <v>0</v>
      </c>
      <c r="Y82" s="91">
        <f t="shared" si="51"/>
        <v>0</v>
      </c>
      <c r="Z82" s="91">
        <f t="shared" si="51"/>
        <v>0</v>
      </c>
      <c r="AA82" s="91">
        <f t="shared" si="51"/>
        <v>0</v>
      </c>
      <c r="AB82" s="91">
        <f t="shared" si="51"/>
        <v>0</v>
      </c>
      <c r="AC82" s="91">
        <f t="shared" si="51"/>
        <v>0</v>
      </c>
      <c r="AD82" s="91">
        <f t="shared" si="51"/>
        <v>0</v>
      </c>
      <c r="AE82" s="91">
        <f t="shared" si="51"/>
        <v>0</v>
      </c>
      <c r="AF82" s="91">
        <f t="shared" si="51"/>
        <v>0</v>
      </c>
      <c r="AG82" s="91">
        <f t="shared" si="51"/>
        <v>0</v>
      </c>
      <c r="AH82" s="91">
        <f t="shared" si="51"/>
        <v>0</v>
      </c>
      <c r="AI82" s="91">
        <f t="shared" si="51"/>
        <v>0</v>
      </c>
      <c r="AJ82" s="91">
        <f t="shared" si="51"/>
        <v>0</v>
      </c>
      <c r="AK82" s="91">
        <f t="shared" si="51"/>
        <v>0</v>
      </c>
      <c r="AL82" s="91">
        <f t="shared" si="51"/>
        <v>0</v>
      </c>
      <c r="AM82" s="91">
        <f t="shared" si="51"/>
        <v>0</v>
      </c>
      <c r="AN82" s="91">
        <f t="shared" si="51"/>
        <v>0</v>
      </c>
      <c r="AO82" s="91">
        <f t="shared" si="51"/>
        <v>0</v>
      </c>
      <c r="AP82" s="91">
        <f t="shared" si="51"/>
        <v>0</v>
      </c>
      <c r="AQ82" s="91">
        <f t="shared" si="51"/>
        <v>0</v>
      </c>
      <c r="AR82" s="91">
        <f t="shared" si="51"/>
        <v>0</v>
      </c>
      <c r="AS82" s="91">
        <f t="shared" si="51"/>
        <v>0</v>
      </c>
      <c r="AT82" s="91">
        <f t="shared" si="51"/>
        <v>0</v>
      </c>
      <c r="AU82" s="91">
        <f t="shared" si="51"/>
        <v>0</v>
      </c>
      <c r="AV82" s="91">
        <f t="shared" si="51"/>
        <v>0</v>
      </c>
      <c r="AW82" s="91">
        <f t="shared" si="51"/>
        <v>0</v>
      </c>
      <c r="AX82" s="91">
        <f t="shared" si="51"/>
        <v>0</v>
      </c>
      <c r="AY82" s="91">
        <f t="shared" si="51"/>
        <v>0</v>
      </c>
      <c r="AZ82" s="91">
        <f t="shared" si="51"/>
        <v>0</v>
      </c>
      <c r="BA82" s="91">
        <f t="shared" si="51"/>
        <v>0</v>
      </c>
      <c r="BB82" s="91">
        <f t="shared" si="51"/>
        <v>0</v>
      </c>
      <c r="BC82" s="91">
        <f t="shared" si="51"/>
        <v>0</v>
      </c>
      <c r="BD82" s="91">
        <f t="shared" si="51"/>
        <v>0</v>
      </c>
      <c r="BE82" s="91">
        <f t="shared" si="51"/>
        <v>0</v>
      </c>
      <c r="BF82" s="91">
        <f t="shared" si="51"/>
        <v>0</v>
      </c>
      <c r="BG82" s="91">
        <f t="shared" si="51"/>
        <v>0</v>
      </c>
      <c r="BH82" s="91">
        <f t="shared" si="51"/>
        <v>0</v>
      </c>
      <c r="BI82" s="91">
        <f t="shared" si="51"/>
        <v>0</v>
      </c>
    </row>
    <row r="83" spans="2:61" x14ac:dyDescent="0.3">
      <c r="C83">
        <v>410</v>
      </c>
      <c r="D83" t="s">
        <v>143</v>
      </c>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f t="shared" ref="BF83:BF86" si="52">SUM(E83:BE83)</f>
        <v>0</v>
      </c>
      <c r="BG83" s="4">
        <f t="shared" ref="BG83:BG86" si="53">SUM(E83:W83)</f>
        <v>0</v>
      </c>
      <c r="BH83" s="4">
        <f t="shared" ref="BH83:BH86" si="54">SUM(X83:AJ83)</f>
        <v>0</v>
      </c>
      <c r="BI83" s="4">
        <f t="shared" ref="BI83:BI86" si="55">SUM(AK83:BE83)</f>
        <v>0</v>
      </c>
    </row>
    <row r="84" spans="2:61" x14ac:dyDescent="0.3">
      <c r="C84">
        <v>411</v>
      </c>
      <c r="D84" t="s">
        <v>144</v>
      </c>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f t="shared" si="52"/>
        <v>0</v>
      </c>
      <c r="BG84" s="4">
        <f t="shared" si="53"/>
        <v>0</v>
      </c>
      <c r="BH84" s="4">
        <f t="shared" si="54"/>
        <v>0</v>
      </c>
      <c r="BI84" s="4">
        <f t="shared" si="55"/>
        <v>0</v>
      </c>
    </row>
    <row r="85" spans="2:61" x14ac:dyDescent="0.3">
      <c r="C85">
        <v>412</v>
      </c>
      <c r="D85" t="s">
        <v>145</v>
      </c>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f t="shared" si="52"/>
        <v>0</v>
      </c>
      <c r="BG85" s="4">
        <f t="shared" si="53"/>
        <v>0</v>
      </c>
      <c r="BH85" s="4">
        <f t="shared" si="54"/>
        <v>0</v>
      </c>
      <c r="BI85" s="4">
        <f t="shared" si="55"/>
        <v>0</v>
      </c>
    </row>
    <row r="86" spans="2:61" x14ac:dyDescent="0.3">
      <c r="C86">
        <v>413</v>
      </c>
      <c r="D86" t="s">
        <v>146</v>
      </c>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f t="shared" si="52"/>
        <v>0</v>
      </c>
      <c r="BG86" s="4">
        <f t="shared" si="53"/>
        <v>0</v>
      </c>
      <c r="BH86" s="4">
        <f t="shared" si="54"/>
        <v>0</v>
      </c>
      <c r="BI86" s="4">
        <f t="shared" si="55"/>
        <v>0</v>
      </c>
    </row>
    <row r="87" spans="2:61" x14ac:dyDescent="0.3">
      <c r="E87" s="4"/>
      <c r="F87" s="4"/>
      <c r="G87" s="4"/>
      <c r="H87" s="4"/>
      <c r="I87" s="4"/>
      <c r="J87" s="4"/>
      <c r="K87" s="4"/>
      <c r="L87" s="4"/>
      <c r="M87" s="4"/>
      <c r="N87" s="4"/>
      <c r="O87" s="4"/>
      <c r="P87" s="4"/>
      <c r="Q87" s="4"/>
      <c r="R87" s="4"/>
      <c r="S87" s="4"/>
      <c r="T87" s="4"/>
      <c r="U87" s="4"/>
      <c r="V87" s="4"/>
      <c r="W87" s="4"/>
      <c r="X87" s="4"/>
      <c r="Y87" s="4"/>
      <c r="Z87" s="4"/>
      <c r="AA87" s="4"/>
      <c r="AB87" s="4"/>
      <c r="AC87" s="4"/>
      <c r="AD87" s="4"/>
      <c r="AE87" s="4">
        <v>0</v>
      </c>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3">
      <c r="B88" s="96">
        <v>42</v>
      </c>
      <c r="C88" s="96"/>
      <c r="D88" s="96" t="s">
        <v>147</v>
      </c>
      <c r="E88" s="91">
        <f>E89+E90+E91+E92+E93+E94+E95+E96+E97</f>
        <v>0</v>
      </c>
      <c r="F88" s="91">
        <f t="shared" ref="F88:BI88" si="56">F89+F90+F91+F92+F93+F94+F95+F96+F97</f>
        <v>0</v>
      </c>
      <c r="G88" s="91">
        <f t="shared" si="56"/>
        <v>0</v>
      </c>
      <c r="H88" s="91">
        <f t="shared" si="56"/>
        <v>0</v>
      </c>
      <c r="I88" s="91">
        <f t="shared" si="56"/>
        <v>0</v>
      </c>
      <c r="J88" s="91">
        <f t="shared" si="56"/>
        <v>0</v>
      </c>
      <c r="K88" s="91">
        <f t="shared" si="56"/>
        <v>0</v>
      </c>
      <c r="L88" s="91">
        <f t="shared" si="56"/>
        <v>0</v>
      </c>
      <c r="M88" s="91">
        <f t="shared" si="56"/>
        <v>0</v>
      </c>
      <c r="N88" s="91">
        <f t="shared" si="56"/>
        <v>0</v>
      </c>
      <c r="O88" s="91">
        <f t="shared" si="56"/>
        <v>0</v>
      </c>
      <c r="P88" s="91">
        <f t="shared" si="56"/>
        <v>0</v>
      </c>
      <c r="Q88" s="91">
        <f t="shared" si="56"/>
        <v>0</v>
      </c>
      <c r="R88" s="91">
        <f t="shared" si="56"/>
        <v>0</v>
      </c>
      <c r="S88" s="91">
        <f t="shared" si="56"/>
        <v>0</v>
      </c>
      <c r="T88" s="91">
        <f t="shared" si="56"/>
        <v>0</v>
      </c>
      <c r="U88" s="91">
        <f t="shared" si="56"/>
        <v>0</v>
      </c>
      <c r="V88" s="91">
        <f t="shared" si="56"/>
        <v>0</v>
      </c>
      <c r="W88" s="91">
        <f t="shared" si="56"/>
        <v>0</v>
      </c>
      <c r="X88" s="91">
        <f t="shared" si="56"/>
        <v>0</v>
      </c>
      <c r="Y88" s="91">
        <f t="shared" si="56"/>
        <v>0</v>
      </c>
      <c r="Z88" s="91">
        <f t="shared" si="56"/>
        <v>0</v>
      </c>
      <c r="AA88" s="91">
        <f t="shared" si="56"/>
        <v>0</v>
      </c>
      <c r="AB88" s="91">
        <f t="shared" si="56"/>
        <v>0</v>
      </c>
      <c r="AC88" s="91">
        <f t="shared" si="56"/>
        <v>0</v>
      </c>
      <c r="AD88" s="91">
        <f t="shared" si="56"/>
        <v>0</v>
      </c>
      <c r="AE88" s="91">
        <f t="shared" si="56"/>
        <v>0</v>
      </c>
      <c r="AF88" s="91">
        <f t="shared" si="56"/>
        <v>0</v>
      </c>
      <c r="AG88" s="91">
        <f t="shared" si="56"/>
        <v>0</v>
      </c>
      <c r="AH88" s="91">
        <f t="shared" si="56"/>
        <v>0</v>
      </c>
      <c r="AI88" s="91">
        <f t="shared" si="56"/>
        <v>0</v>
      </c>
      <c r="AJ88" s="91">
        <f t="shared" si="56"/>
        <v>0</v>
      </c>
      <c r="AK88" s="91">
        <f t="shared" si="56"/>
        <v>0</v>
      </c>
      <c r="AL88" s="91">
        <f t="shared" si="56"/>
        <v>0</v>
      </c>
      <c r="AM88" s="91">
        <f t="shared" si="56"/>
        <v>0</v>
      </c>
      <c r="AN88" s="91">
        <f t="shared" si="56"/>
        <v>0</v>
      </c>
      <c r="AO88" s="91">
        <f t="shared" si="56"/>
        <v>0</v>
      </c>
      <c r="AP88" s="91">
        <f t="shared" si="56"/>
        <v>0</v>
      </c>
      <c r="AQ88" s="91">
        <f t="shared" si="56"/>
        <v>0</v>
      </c>
      <c r="AR88" s="91">
        <f t="shared" si="56"/>
        <v>0</v>
      </c>
      <c r="AS88" s="91">
        <f t="shared" si="56"/>
        <v>0</v>
      </c>
      <c r="AT88" s="91">
        <f t="shared" si="56"/>
        <v>0</v>
      </c>
      <c r="AU88" s="91">
        <f t="shared" si="56"/>
        <v>0</v>
      </c>
      <c r="AV88" s="91">
        <f t="shared" si="56"/>
        <v>0</v>
      </c>
      <c r="AW88" s="91">
        <f t="shared" si="56"/>
        <v>0</v>
      </c>
      <c r="AX88" s="91">
        <f t="shared" si="56"/>
        <v>0</v>
      </c>
      <c r="AY88" s="91">
        <f t="shared" si="56"/>
        <v>0</v>
      </c>
      <c r="AZ88" s="91">
        <f t="shared" si="56"/>
        <v>0</v>
      </c>
      <c r="BA88" s="91">
        <f t="shared" si="56"/>
        <v>0</v>
      </c>
      <c r="BB88" s="91">
        <f t="shared" si="56"/>
        <v>0</v>
      </c>
      <c r="BC88" s="91">
        <f t="shared" si="56"/>
        <v>0</v>
      </c>
      <c r="BD88" s="91">
        <f t="shared" si="56"/>
        <v>0</v>
      </c>
      <c r="BE88" s="91">
        <f t="shared" si="56"/>
        <v>0</v>
      </c>
      <c r="BF88" s="91">
        <f t="shared" si="56"/>
        <v>0</v>
      </c>
      <c r="BG88" s="91">
        <f t="shared" si="56"/>
        <v>0</v>
      </c>
      <c r="BH88" s="91">
        <f t="shared" si="56"/>
        <v>0</v>
      </c>
      <c r="BI88" s="91">
        <f t="shared" si="56"/>
        <v>0</v>
      </c>
    </row>
    <row r="89" spans="2:61" x14ac:dyDescent="0.3">
      <c r="C89">
        <v>420</v>
      </c>
      <c r="D89" t="s">
        <v>148</v>
      </c>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f t="shared" ref="BF89:BF97" si="57">SUM(E89:BE89)</f>
        <v>0</v>
      </c>
      <c r="BG89" s="4">
        <f t="shared" ref="BG89:BG97" si="58">SUM(E89:W89)</f>
        <v>0</v>
      </c>
      <c r="BH89" s="4">
        <f t="shared" ref="BH89:BH97" si="59">SUM(X89:AJ89)</f>
        <v>0</v>
      </c>
      <c r="BI89" s="4">
        <f t="shared" ref="BI89:BI97" si="60">SUM(AK89:BE89)</f>
        <v>0</v>
      </c>
    </row>
    <row r="90" spans="2:61" x14ac:dyDescent="0.3">
      <c r="C90">
        <v>421</v>
      </c>
      <c r="D90" t="s">
        <v>149</v>
      </c>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f t="shared" si="57"/>
        <v>0</v>
      </c>
      <c r="BG90" s="4">
        <f t="shared" si="58"/>
        <v>0</v>
      </c>
      <c r="BH90" s="4">
        <f t="shared" si="59"/>
        <v>0</v>
      </c>
      <c r="BI90" s="4">
        <f t="shared" si="60"/>
        <v>0</v>
      </c>
    </row>
    <row r="91" spans="2:61" x14ac:dyDescent="0.3">
      <c r="C91">
        <v>422</v>
      </c>
      <c r="D91" t="s">
        <v>150</v>
      </c>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f t="shared" si="57"/>
        <v>0</v>
      </c>
      <c r="BG91" s="4">
        <f t="shared" si="58"/>
        <v>0</v>
      </c>
      <c r="BH91" s="4">
        <f t="shared" si="59"/>
        <v>0</v>
      </c>
      <c r="BI91" s="4">
        <f t="shared" si="60"/>
        <v>0</v>
      </c>
    </row>
    <row r="92" spans="2:61" x14ac:dyDescent="0.3">
      <c r="C92">
        <v>423</v>
      </c>
      <c r="D92" t="s">
        <v>151</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f t="shared" si="57"/>
        <v>0</v>
      </c>
      <c r="BG92" s="4">
        <f t="shared" si="58"/>
        <v>0</v>
      </c>
      <c r="BH92" s="4">
        <f t="shared" si="59"/>
        <v>0</v>
      </c>
      <c r="BI92" s="4">
        <f t="shared" si="60"/>
        <v>0</v>
      </c>
    </row>
    <row r="93" spans="2:61" x14ac:dyDescent="0.3">
      <c r="C93">
        <v>424</v>
      </c>
      <c r="D93" t="s">
        <v>152</v>
      </c>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f t="shared" si="57"/>
        <v>0</v>
      </c>
      <c r="BG93" s="4">
        <f t="shared" si="58"/>
        <v>0</v>
      </c>
      <c r="BH93" s="4">
        <f t="shared" si="59"/>
        <v>0</v>
      </c>
      <c r="BI93" s="4">
        <f t="shared" si="60"/>
        <v>0</v>
      </c>
    </row>
    <row r="94" spans="2:61" x14ac:dyDescent="0.3">
      <c r="C94">
        <v>425</v>
      </c>
      <c r="D94" t="s">
        <v>153</v>
      </c>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f t="shared" si="57"/>
        <v>0</v>
      </c>
      <c r="BG94" s="4">
        <f t="shared" si="58"/>
        <v>0</v>
      </c>
      <c r="BH94" s="4">
        <f t="shared" si="59"/>
        <v>0</v>
      </c>
      <c r="BI94" s="4">
        <f t="shared" si="60"/>
        <v>0</v>
      </c>
    </row>
    <row r="95" spans="2:61" x14ac:dyDescent="0.3">
      <c r="C95">
        <v>426</v>
      </c>
      <c r="D95" t="s">
        <v>154</v>
      </c>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f t="shared" si="57"/>
        <v>0</v>
      </c>
      <c r="BG95" s="4">
        <f t="shared" si="58"/>
        <v>0</v>
      </c>
      <c r="BH95" s="4">
        <f t="shared" si="59"/>
        <v>0</v>
      </c>
      <c r="BI95" s="4">
        <f t="shared" si="60"/>
        <v>0</v>
      </c>
    </row>
    <row r="96" spans="2:61" x14ac:dyDescent="0.3">
      <c r="C96">
        <v>427</v>
      </c>
      <c r="D96" t="s">
        <v>155</v>
      </c>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f t="shared" si="57"/>
        <v>0</v>
      </c>
      <c r="BG96" s="4">
        <f t="shared" si="58"/>
        <v>0</v>
      </c>
      <c r="BH96" s="4">
        <f t="shared" si="59"/>
        <v>0</v>
      </c>
      <c r="BI96" s="4">
        <f t="shared" si="60"/>
        <v>0</v>
      </c>
    </row>
    <row r="97" spans="2:61" x14ac:dyDescent="0.3">
      <c r="C97">
        <v>429</v>
      </c>
      <c r="D97" t="s">
        <v>156</v>
      </c>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f t="shared" si="57"/>
        <v>0</v>
      </c>
      <c r="BG97" s="4">
        <f t="shared" si="58"/>
        <v>0</v>
      </c>
      <c r="BH97" s="4">
        <f t="shared" si="59"/>
        <v>0</v>
      </c>
      <c r="BI97" s="4">
        <f t="shared" si="60"/>
        <v>0</v>
      </c>
    </row>
    <row r="98" spans="2:61" x14ac:dyDescent="0.3">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3">
      <c r="B99" s="96">
        <v>43</v>
      </c>
      <c r="C99" s="96"/>
      <c r="D99" s="96" t="s">
        <v>157</v>
      </c>
      <c r="E99" s="91">
        <f>E100+E101+E102+E103</f>
        <v>0</v>
      </c>
      <c r="F99" s="91">
        <f t="shared" ref="F99:BI99" si="61">F100+F101+F102+F103</f>
        <v>0</v>
      </c>
      <c r="G99" s="91">
        <f t="shared" si="61"/>
        <v>0</v>
      </c>
      <c r="H99" s="91">
        <f t="shared" si="61"/>
        <v>0</v>
      </c>
      <c r="I99" s="91">
        <f t="shared" si="61"/>
        <v>0</v>
      </c>
      <c r="J99" s="91">
        <f t="shared" si="61"/>
        <v>0</v>
      </c>
      <c r="K99" s="91">
        <f t="shared" si="61"/>
        <v>0</v>
      </c>
      <c r="L99" s="91">
        <f t="shared" si="61"/>
        <v>0</v>
      </c>
      <c r="M99" s="91">
        <f t="shared" si="61"/>
        <v>0</v>
      </c>
      <c r="N99" s="91">
        <f t="shared" si="61"/>
        <v>0</v>
      </c>
      <c r="O99" s="91">
        <f t="shared" si="61"/>
        <v>0</v>
      </c>
      <c r="P99" s="91">
        <f t="shared" si="61"/>
        <v>0</v>
      </c>
      <c r="Q99" s="91">
        <f t="shared" si="61"/>
        <v>0</v>
      </c>
      <c r="R99" s="91">
        <f t="shared" si="61"/>
        <v>0</v>
      </c>
      <c r="S99" s="91">
        <f t="shared" si="61"/>
        <v>0</v>
      </c>
      <c r="T99" s="91">
        <f t="shared" si="61"/>
        <v>0</v>
      </c>
      <c r="U99" s="91">
        <f t="shared" si="61"/>
        <v>0</v>
      </c>
      <c r="V99" s="91">
        <f t="shared" si="61"/>
        <v>0</v>
      </c>
      <c r="W99" s="91">
        <f t="shared" si="61"/>
        <v>0</v>
      </c>
      <c r="X99" s="91">
        <f t="shared" si="61"/>
        <v>0</v>
      </c>
      <c r="Y99" s="91">
        <f t="shared" si="61"/>
        <v>0</v>
      </c>
      <c r="Z99" s="91">
        <f t="shared" si="61"/>
        <v>0</v>
      </c>
      <c r="AA99" s="91">
        <f t="shared" si="61"/>
        <v>0</v>
      </c>
      <c r="AB99" s="91">
        <f t="shared" si="61"/>
        <v>0</v>
      </c>
      <c r="AC99" s="91">
        <f t="shared" si="61"/>
        <v>0</v>
      </c>
      <c r="AD99" s="91">
        <f t="shared" si="61"/>
        <v>0</v>
      </c>
      <c r="AE99" s="91">
        <f t="shared" si="61"/>
        <v>0</v>
      </c>
      <c r="AF99" s="91">
        <f t="shared" si="61"/>
        <v>0</v>
      </c>
      <c r="AG99" s="91">
        <f t="shared" si="61"/>
        <v>0</v>
      </c>
      <c r="AH99" s="91">
        <f t="shared" si="61"/>
        <v>0</v>
      </c>
      <c r="AI99" s="91">
        <f t="shared" si="61"/>
        <v>0</v>
      </c>
      <c r="AJ99" s="91">
        <f t="shared" si="61"/>
        <v>0</v>
      </c>
      <c r="AK99" s="91">
        <f t="shared" si="61"/>
        <v>0</v>
      </c>
      <c r="AL99" s="91">
        <f t="shared" si="61"/>
        <v>0</v>
      </c>
      <c r="AM99" s="91">
        <f t="shared" si="61"/>
        <v>0</v>
      </c>
      <c r="AN99" s="91">
        <f t="shared" si="61"/>
        <v>0</v>
      </c>
      <c r="AO99" s="91">
        <f t="shared" si="61"/>
        <v>0</v>
      </c>
      <c r="AP99" s="91">
        <f t="shared" si="61"/>
        <v>0</v>
      </c>
      <c r="AQ99" s="91">
        <f t="shared" si="61"/>
        <v>0</v>
      </c>
      <c r="AR99" s="91">
        <f t="shared" si="61"/>
        <v>0</v>
      </c>
      <c r="AS99" s="91">
        <f t="shared" si="61"/>
        <v>0</v>
      </c>
      <c r="AT99" s="91">
        <f t="shared" si="61"/>
        <v>0</v>
      </c>
      <c r="AU99" s="91">
        <f t="shared" si="61"/>
        <v>0</v>
      </c>
      <c r="AV99" s="91">
        <f t="shared" si="61"/>
        <v>0</v>
      </c>
      <c r="AW99" s="91">
        <f t="shared" si="61"/>
        <v>0</v>
      </c>
      <c r="AX99" s="91">
        <f t="shared" si="61"/>
        <v>0</v>
      </c>
      <c r="AY99" s="91">
        <f t="shared" si="61"/>
        <v>0</v>
      </c>
      <c r="AZ99" s="91">
        <f t="shared" si="61"/>
        <v>0</v>
      </c>
      <c r="BA99" s="91">
        <f t="shared" si="61"/>
        <v>0</v>
      </c>
      <c r="BB99" s="91">
        <f t="shared" si="61"/>
        <v>0</v>
      </c>
      <c r="BC99" s="91">
        <f t="shared" si="61"/>
        <v>0</v>
      </c>
      <c r="BD99" s="91">
        <f t="shared" si="61"/>
        <v>0</v>
      </c>
      <c r="BE99" s="91">
        <f t="shared" si="61"/>
        <v>0</v>
      </c>
      <c r="BF99" s="91">
        <f t="shared" si="61"/>
        <v>0</v>
      </c>
      <c r="BG99" s="91">
        <f t="shared" si="61"/>
        <v>0</v>
      </c>
      <c r="BH99" s="91">
        <f t="shared" si="61"/>
        <v>0</v>
      </c>
      <c r="BI99" s="91">
        <f t="shared" si="61"/>
        <v>0</v>
      </c>
    </row>
    <row r="100" spans="2:61" x14ac:dyDescent="0.3">
      <c r="C100">
        <v>430</v>
      </c>
      <c r="D100" t="s">
        <v>158</v>
      </c>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f t="shared" ref="BF100:BF103" si="62">SUM(E100:BE100)</f>
        <v>0</v>
      </c>
      <c r="BG100" s="4">
        <f t="shared" ref="BG100:BG103" si="63">SUM(E100:W100)</f>
        <v>0</v>
      </c>
      <c r="BH100" s="4">
        <f t="shared" ref="BH100:BH103" si="64">SUM(X100:AJ100)</f>
        <v>0</v>
      </c>
      <c r="BI100" s="4">
        <f t="shared" ref="BI100:BI103" si="65">SUM(AK100:BE100)</f>
        <v>0</v>
      </c>
    </row>
    <row r="101" spans="2:61" x14ac:dyDescent="0.3">
      <c r="C101">
        <v>431</v>
      </c>
      <c r="D101" t="s">
        <v>159</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f t="shared" si="62"/>
        <v>0</v>
      </c>
      <c r="BG101" s="4">
        <f t="shared" si="63"/>
        <v>0</v>
      </c>
      <c r="BH101" s="4">
        <f t="shared" si="64"/>
        <v>0</v>
      </c>
      <c r="BI101" s="4">
        <f t="shared" si="65"/>
        <v>0</v>
      </c>
    </row>
    <row r="102" spans="2:61" x14ac:dyDescent="0.3">
      <c r="C102">
        <v>432</v>
      </c>
      <c r="D102" t="s">
        <v>160</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f t="shared" si="62"/>
        <v>0</v>
      </c>
      <c r="BG102" s="4">
        <f t="shared" si="63"/>
        <v>0</v>
      </c>
      <c r="BH102" s="4">
        <f t="shared" si="64"/>
        <v>0</v>
      </c>
      <c r="BI102" s="4">
        <f t="shared" si="65"/>
        <v>0</v>
      </c>
    </row>
    <row r="103" spans="2:61" x14ac:dyDescent="0.3">
      <c r="C103">
        <v>439</v>
      </c>
      <c r="D103" t="s">
        <v>161</v>
      </c>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f t="shared" si="62"/>
        <v>0</v>
      </c>
      <c r="BG103" s="4">
        <f t="shared" si="63"/>
        <v>0</v>
      </c>
      <c r="BH103" s="4">
        <f t="shared" si="64"/>
        <v>0</v>
      </c>
      <c r="BI103" s="4">
        <f t="shared" si="65"/>
        <v>0</v>
      </c>
    </row>
    <row r="104" spans="2:61" x14ac:dyDescent="0.3">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3">
      <c r="B105" s="96">
        <v>44</v>
      </c>
      <c r="C105" s="96"/>
      <c r="D105" s="96" t="s">
        <v>162</v>
      </c>
      <c r="E105" s="91">
        <f>E106+E107+E108+E109+E110+E111+E112+E113+E114+E115</f>
        <v>0</v>
      </c>
      <c r="F105" s="91">
        <f t="shared" ref="F105:BI105" si="66">F106+F107+F108+F109+F110+F111+F112+F113+F114+F115</f>
        <v>0</v>
      </c>
      <c r="G105" s="91">
        <f t="shared" si="66"/>
        <v>0</v>
      </c>
      <c r="H105" s="91">
        <f t="shared" si="66"/>
        <v>0</v>
      </c>
      <c r="I105" s="91">
        <f t="shared" si="66"/>
        <v>0</v>
      </c>
      <c r="J105" s="91">
        <f t="shared" si="66"/>
        <v>0</v>
      </c>
      <c r="K105" s="91">
        <f t="shared" si="66"/>
        <v>0</v>
      </c>
      <c r="L105" s="91">
        <f t="shared" si="66"/>
        <v>0</v>
      </c>
      <c r="M105" s="91">
        <f t="shared" si="66"/>
        <v>0</v>
      </c>
      <c r="N105" s="91">
        <f t="shared" si="66"/>
        <v>0</v>
      </c>
      <c r="O105" s="91">
        <f t="shared" si="66"/>
        <v>0</v>
      </c>
      <c r="P105" s="91">
        <f t="shared" si="66"/>
        <v>0</v>
      </c>
      <c r="Q105" s="91">
        <f t="shared" si="66"/>
        <v>0</v>
      </c>
      <c r="R105" s="91">
        <f t="shared" si="66"/>
        <v>0</v>
      </c>
      <c r="S105" s="91">
        <f t="shared" si="66"/>
        <v>0</v>
      </c>
      <c r="T105" s="91">
        <f t="shared" si="66"/>
        <v>0</v>
      </c>
      <c r="U105" s="91">
        <f t="shared" si="66"/>
        <v>0</v>
      </c>
      <c r="V105" s="91">
        <f t="shared" si="66"/>
        <v>0</v>
      </c>
      <c r="W105" s="91">
        <f t="shared" si="66"/>
        <v>0</v>
      </c>
      <c r="X105" s="91">
        <f t="shared" si="66"/>
        <v>0</v>
      </c>
      <c r="Y105" s="91">
        <f t="shared" si="66"/>
        <v>0</v>
      </c>
      <c r="Z105" s="91">
        <f t="shared" si="66"/>
        <v>0</v>
      </c>
      <c r="AA105" s="91">
        <f t="shared" si="66"/>
        <v>0</v>
      </c>
      <c r="AB105" s="91">
        <f t="shared" si="66"/>
        <v>0</v>
      </c>
      <c r="AC105" s="91">
        <f t="shared" si="66"/>
        <v>0</v>
      </c>
      <c r="AD105" s="91">
        <f t="shared" si="66"/>
        <v>0</v>
      </c>
      <c r="AE105" s="91">
        <f t="shared" si="66"/>
        <v>0</v>
      </c>
      <c r="AF105" s="91">
        <f t="shared" si="66"/>
        <v>0</v>
      </c>
      <c r="AG105" s="91">
        <f t="shared" si="66"/>
        <v>0</v>
      </c>
      <c r="AH105" s="91">
        <f t="shared" si="66"/>
        <v>0</v>
      </c>
      <c r="AI105" s="91">
        <f t="shared" si="66"/>
        <v>0</v>
      </c>
      <c r="AJ105" s="91">
        <f t="shared" si="66"/>
        <v>0</v>
      </c>
      <c r="AK105" s="91">
        <f t="shared" si="66"/>
        <v>0</v>
      </c>
      <c r="AL105" s="91">
        <f t="shared" si="66"/>
        <v>0</v>
      </c>
      <c r="AM105" s="91">
        <f t="shared" si="66"/>
        <v>0</v>
      </c>
      <c r="AN105" s="91">
        <f t="shared" si="66"/>
        <v>0</v>
      </c>
      <c r="AO105" s="91">
        <f t="shared" si="66"/>
        <v>0</v>
      </c>
      <c r="AP105" s="91">
        <f t="shared" si="66"/>
        <v>0</v>
      </c>
      <c r="AQ105" s="91">
        <f t="shared" si="66"/>
        <v>0</v>
      </c>
      <c r="AR105" s="91">
        <f t="shared" si="66"/>
        <v>0</v>
      </c>
      <c r="AS105" s="91">
        <f t="shared" si="66"/>
        <v>0</v>
      </c>
      <c r="AT105" s="91">
        <f t="shared" si="66"/>
        <v>0</v>
      </c>
      <c r="AU105" s="91">
        <f t="shared" si="66"/>
        <v>0</v>
      </c>
      <c r="AV105" s="91">
        <f t="shared" si="66"/>
        <v>0</v>
      </c>
      <c r="AW105" s="91">
        <f t="shared" si="66"/>
        <v>0</v>
      </c>
      <c r="AX105" s="91">
        <f t="shared" si="66"/>
        <v>0</v>
      </c>
      <c r="AY105" s="91">
        <f t="shared" si="66"/>
        <v>0</v>
      </c>
      <c r="AZ105" s="91">
        <f t="shared" si="66"/>
        <v>0</v>
      </c>
      <c r="BA105" s="91">
        <f t="shared" si="66"/>
        <v>0</v>
      </c>
      <c r="BB105" s="91">
        <f t="shared" si="66"/>
        <v>0</v>
      </c>
      <c r="BC105" s="91">
        <f t="shared" si="66"/>
        <v>0</v>
      </c>
      <c r="BD105" s="91">
        <f t="shared" si="66"/>
        <v>0</v>
      </c>
      <c r="BE105" s="91">
        <f t="shared" si="66"/>
        <v>0</v>
      </c>
      <c r="BF105" s="91">
        <f t="shared" si="66"/>
        <v>0</v>
      </c>
      <c r="BG105" s="91">
        <f t="shared" si="66"/>
        <v>0</v>
      </c>
      <c r="BH105" s="91">
        <f t="shared" si="66"/>
        <v>0</v>
      </c>
      <c r="BI105" s="91">
        <f t="shared" si="66"/>
        <v>0</v>
      </c>
    </row>
    <row r="106" spans="2:61" x14ac:dyDescent="0.3">
      <c r="C106">
        <v>440</v>
      </c>
      <c r="D106" t="s">
        <v>163</v>
      </c>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f t="shared" ref="BF106:BF115" si="67">SUM(E106:BE106)</f>
        <v>0</v>
      </c>
      <c r="BG106" s="4">
        <f t="shared" ref="BG106:BG115" si="68">SUM(E106:W106)</f>
        <v>0</v>
      </c>
      <c r="BH106" s="4">
        <f t="shared" ref="BH106:BH115" si="69">SUM(X106:AJ106)</f>
        <v>0</v>
      </c>
      <c r="BI106" s="4">
        <f t="shared" ref="BI106:BI115" si="70">SUM(AK106:BE106)</f>
        <v>0</v>
      </c>
    </row>
    <row r="107" spans="2:61" x14ac:dyDescent="0.3">
      <c r="C107">
        <v>441</v>
      </c>
      <c r="D107" t="s">
        <v>164</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f t="shared" si="67"/>
        <v>0</v>
      </c>
      <c r="BG107" s="4">
        <f t="shared" si="68"/>
        <v>0</v>
      </c>
      <c r="BH107" s="4">
        <f t="shared" si="69"/>
        <v>0</v>
      </c>
      <c r="BI107" s="4">
        <f t="shared" si="70"/>
        <v>0</v>
      </c>
    </row>
    <row r="108" spans="2:61" x14ac:dyDescent="0.3">
      <c r="C108">
        <v>442</v>
      </c>
      <c r="D108" t="s">
        <v>165</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f t="shared" si="67"/>
        <v>0</v>
      </c>
      <c r="BG108" s="4">
        <f t="shared" si="68"/>
        <v>0</v>
      </c>
      <c r="BH108" s="4">
        <f t="shared" si="69"/>
        <v>0</v>
      </c>
      <c r="BI108" s="4">
        <f t="shared" si="70"/>
        <v>0</v>
      </c>
    </row>
    <row r="109" spans="2:61" x14ac:dyDescent="0.3">
      <c r="C109">
        <v>443</v>
      </c>
      <c r="D109" t="s">
        <v>166</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f t="shared" si="67"/>
        <v>0</v>
      </c>
      <c r="BG109" s="4">
        <f t="shared" si="68"/>
        <v>0</v>
      </c>
      <c r="BH109" s="4">
        <f t="shared" si="69"/>
        <v>0</v>
      </c>
      <c r="BI109" s="4">
        <f t="shared" si="70"/>
        <v>0</v>
      </c>
    </row>
    <row r="110" spans="2:61" x14ac:dyDescent="0.3">
      <c r="C110">
        <v>444</v>
      </c>
      <c r="D110" t="s">
        <v>106</v>
      </c>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f t="shared" si="67"/>
        <v>0</v>
      </c>
      <c r="BG110" s="4">
        <f t="shared" si="68"/>
        <v>0</v>
      </c>
      <c r="BH110" s="4">
        <f t="shared" si="69"/>
        <v>0</v>
      </c>
      <c r="BI110" s="4">
        <f t="shared" si="70"/>
        <v>0</v>
      </c>
    </row>
    <row r="111" spans="2:61" x14ac:dyDescent="0.3">
      <c r="C111">
        <v>445</v>
      </c>
      <c r="D111" t="s">
        <v>167</v>
      </c>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f t="shared" si="67"/>
        <v>0</v>
      </c>
      <c r="BG111" s="4">
        <f t="shared" si="68"/>
        <v>0</v>
      </c>
      <c r="BH111" s="4">
        <f t="shared" si="69"/>
        <v>0</v>
      </c>
      <c r="BI111" s="4">
        <f t="shared" si="70"/>
        <v>0</v>
      </c>
    </row>
    <row r="112" spans="2:61" x14ac:dyDescent="0.3">
      <c r="C112">
        <v>446</v>
      </c>
      <c r="D112" t="s">
        <v>168</v>
      </c>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f t="shared" si="67"/>
        <v>0</v>
      </c>
      <c r="BG112" s="4">
        <f t="shared" si="68"/>
        <v>0</v>
      </c>
      <c r="BH112" s="4">
        <f t="shared" si="69"/>
        <v>0</v>
      </c>
      <c r="BI112" s="4">
        <f t="shared" si="70"/>
        <v>0</v>
      </c>
    </row>
    <row r="113" spans="2:61" x14ac:dyDescent="0.3">
      <c r="C113">
        <v>447</v>
      </c>
      <c r="D113" t="s">
        <v>169</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f t="shared" si="67"/>
        <v>0</v>
      </c>
      <c r="BG113" s="4">
        <f t="shared" si="68"/>
        <v>0</v>
      </c>
      <c r="BH113" s="4">
        <f t="shared" si="69"/>
        <v>0</v>
      </c>
      <c r="BI113" s="4">
        <f t="shared" si="70"/>
        <v>0</v>
      </c>
    </row>
    <row r="114" spans="2:61" x14ac:dyDescent="0.3">
      <c r="C114">
        <v>448</v>
      </c>
      <c r="D114" t="s">
        <v>170</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f t="shared" si="67"/>
        <v>0</v>
      </c>
      <c r="BG114" s="4">
        <f t="shared" si="68"/>
        <v>0</v>
      </c>
      <c r="BH114" s="4">
        <f t="shared" si="69"/>
        <v>0</v>
      </c>
      <c r="BI114" s="4">
        <f t="shared" si="70"/>
        <v>0</v>
      </c>
    </row>
    <row r="115" spans="2:61" x14ac:dyDescent="0.3">
      <c r="C115">
        <v>449</v>
      </c>
      <c r="D115" t="s">
        <v>171</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f t="shared" si="67"/>
        <v>0</v>
      </c>
      <c r="BG115" s="4">
        <f t="shared" si="68"/>
        <v>0</v>
      </c>
      <c r="BH115" s="4">
        <f t="shared" si="69"/>
        <v>0</v>
      </c>
      <c r="BI115" s="4">
        <f t="shared" si="70"/>
        <v>0</v>
      </c>
    </row>
    <row r="116" spans="2:61" x14ac:dyDescent="0.3">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3">
      <c r="B117" s="96">
        <v>45</v>
      </c>
      <c r="C117" s="96"/>
      <c r="D117" s="96" t="s">
        <v>174</v>
      </c>
      <c r="E117" s="91">
        <f>E118+E119</f>
        <v>0</v>
      </c>
      <c r="F117" s="91">
        <f t="shared" ref="F117:BI117" si="71">F118+F119</f>
        <v>0</v>
      </c>
      <c r="G117" s="91">
        <f t="shared" si="71"/>
        <v>0</v>
      </c>
      <c r="H117" s="91">
        <f t="shared" si="71"/>
        <v>0</v>
      </c>
      <c r="I117" s="91">
        <f t="shared" si="71"/>
        <v>0</v>
      </c>
      <c r="J117" s="91">
        <f t="shared" si="71"/>
        <v>0</v>
      </c>
      <c r="K117" s="91">
        <f t="shared" si="71"/>
        <v>0</v>
      </c>
      <c r="L117" s="91">
        <f t="shared" si="71"/>
        <v>0</v>
      </c>
      <c r="M117" s="91">
        <f t="shared" si="71"/>
        <v>0</v>
      </c>
      <c r="N117" s="91">
        <f t="shared" si="71"/>
        <v>0</v>
      </c>
      <c r="O117" s="91">
        <f t="shared" si="71"/>
        <v>0</v>
      </c>
      <c r="P117" s="91">
        <f t="shared" si="71"/>
        <v>0</v>
      </c>
      <c r="Q117" s="91">
        <f t="shared" si="71"/>
        <v>0</v>
      </c>
      <c r="R117" s="91">
        <f t="shared" si="71"/>
        <v>0</v>
      </c>
      <c r="S117" s="91">
        <f t="shared" si="71"/>
        <v>0</v>
      </c>
      <c r="T117" s="91">
        <f t="shared" si="71"/>
        <v>0</v>
      </c>
      <c r="U117" s="91">
        <f t="shared" si="71"/>
        <v>0</v>
      </c>
      <c r="V117" s="91">
        <f t="shared" si="71"/>
        <v>0</v>
      </c>
      <c r="W117" s="91">
        <f t="shared" si="71"/>
        <v>0</v>
      </c>
      <c r="X117" s="91">
        <f t="shared" si="71"/>
        <v>0</v>
      </c>
      <c r="Y117" s="91">
        <f t="shared" si="71"/>
        <v>0</v>
      </c>
      <c r="Z117" s="91">
        <f t="shared" si="71"/>
        <v>0</v>
      </c>
      <c r="AA117" s="91">
        <f t="shared" si="71"/>
        <v>0</v>
      </c>
      <c r="AB117" s="91">
        <f t="shared" si="71"/>
        <v>0</v>
      </c>
      <c r="AC117" s="91">
        <f t="shared" si="71"/>
        <v>0</v>
      </c>
      <c r="AD117" s="91">
        <f t="shared" si="71"/>
        <v>0</v>
      </c>
      <c r="AE117" s="91">
        <f t="shared" si="71"/>
        <v>0</v>
      </c>
      <c r="AF117" s="91">
        <f t="shared" si="71"/>
        <v>0</v>
      </c>
      <c r="AG117" s="91">
        <f t="shared" si="71"/>
        <v>0</v>
      </c>
      <c r="AH117" s="91">
        <f t="shared" si="71"/>
        <v>0</v>
      </c>
      <c r="AI117" s="91">
        <f t="shared" si="71"/>
        <v>0</v>
      </c>
      <c r="AJ117" s="91">
        <f t="shared" si="71"/>
        <v>0</v>
      </c>
      <c r="AK117" s="91">
        <f t="shared" si="71"/>
        <v>0</v>
      </c>
      <c r="AL117" s="91">
        <f t="shared" si="71"/>
        <v>0</v>
      </c>
      <c r="AM117" s="91">
        <f t="shared" si="71"/>
        <v>0</v>
      </c>
      <c r="AN117" s="91">
        <f t="shared" si="71"/>
        <v>0</v>
      </c>
      <c r="AO117" s="91">
        <f t="shared" si="71"/>
        <v>0</v>
      </c>
      <c r="AP117" s="91">
        <f t="shared" si="71"/>
        <v>0</v>
      </c>
      <c r="AQ117" s="91">
        <f t="shared" si="71"/>
        <v>0</v>
      </c>
      <c r="AR117" s="91">
        <f t="shared" si="71"/>
        <v>0</v>
      </c>
      <c r="AS117" s="91">
        <f t="shared" si="71"/>
        <v>0</v>
      </c>
      <c r="AT117" s="91">
        <f t="shared" si="71"/>
        <v>0</v>
      </c>
      <c r="AU117" s="91">
        <f t="shared" si="71"/>
        <v>0</v>
      </c>
      <c r="AV117" s="91">
        <f t="shared" si="71"/>
        <v>0</v>
      </c>
      <c r="AW117" s="91">
        <f t="shared" si="71"/>
        <v>0</v>
      </c>
      <c r="AX117" s="91">
        <f t="shared" si="71"/>
        <v>0</v>
      </c>
      <c r="AY117" s="91">
        <f t="shared" si="71"/>
        <v>0</v>
      </c>
      <c r="AZ117" s="91">
        <f t="shared" si="71"/>
        <v>0</v>
      </c>
      <c r="BA117" s="91">
        <f t="shared" si="71"/>
        <v>0</v>
      </c>
      <c r="BB117" s="91">
        <f t="shared" si="71"/>
        <v>0</v>
      </c>
      <c r="BC117" s="91">
        <f t="shared" si="71"/>
        <v>0</v>
      </c>
      <c r="BD117" s="91">
        <f t="shared" si="71"/>
        <v>0</v>
      </c>
      <c r="BE117" s="91">
        <f t="shared" si="71"/>
        <v>0</v>
      </c>
      <c r="BF117" s="91">
        <f t="shared" si="71"/>
        <v>0</v>
      </c>
      <c r="BG117" s="91">
        <f t="shared" si="71"/>
        <v>0</v>
      </c>
      <c r="BH117" s="91">
        <f t="shared" si="71"/>
        <v>0</v>
      </c>
      <c r="BI117" s="91">
        <f t="shared" si="71"/>
        <v>0</v>
      </c>
    </row>
    <row r="118" spans="2:61" x14ac:dyDescent="0.3">
      <c r="C118">
        <v>450</v>
      </c>
      <c r="D118" t="s">
        <v>172</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f t="shared" ref="BF118:BF119" si="72">SUM(E118:BE118)</f>
        <v>0</v>
      </c>
      <c r="BG118" s="4">
        <f t="shared" ref="BG118:BG119" si="73">SUM(E118:W118)</f>
        <v>0</v>
      </c>
      <c r="BH118" s="4">
        <f t="shared" ref="BH118:BH119" si="74">SUM(X118:AJ118)</f>
        <v>0</v>
      </c>
      <c r="BI118" s="4">
        <f t="shared" ref="BI118:BI119" si="75">SUM(AK118:BE118)</f>
        <v>0</v>
      </c>
    </row>
    <row r="119" spans="2:61" x14ac:dyDescent="0.3">
      <c r="C119">
        <v>451</v>
      </c>
      <c r="D119" t="s">
        <v>173</v>
      </c>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f t="shared" si="72"/>
        <v>0</v>
      </c>
      <c r="BG119" s="4">
        <f t="shared" si="73"/>
        <v>0</v>
      </c>
      <c r="BH119" s="4">
        <f t="shared" si="74"/>
        <v>0</v>
      </c>
      <c r="BI119" s="4">
        <f t="shared" si="75"/>
        <v>0</v>
      </c>
    </row>
    <row r="120" spans="2:61" x14ac:dyDescent="0.3">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3">
      <c r="B121" s="96">
        <v>46</v>
      </c>
      <c r="C121" s="96"/>
      <c r="D121" s="96" t="s">
        <v>175</v>
      </c>
      <c r="E121" s="91">
        <f>E122+E123+E124+E125+E126</f>
        <v>0</v>
      </c>
      <c r="F121" s="91">
        <f t="shared" ref="F121:BI121" si="76">F122+F123+F124+F125+F126</f>
        <v>0</v>
      </c>
      <c r="G121" s="91">
        <f t="shared" si="76"/>
        <v>0</v>
      </c>
      <c r="H121" s="91">
        <f t="shared" si="76"/>
        <v>0</v>
      </c>
      <c r="I121" s="91">
        <f t="shared" si="76"/>
        <v>0</v>
      </c>
      <c r="J121" s="91">
        <f t="shared" si="76"/>
        <v>0</v>
      </c>
      <c r="K121" s="91">
        <f t="shared" si="76"/>
        <v>0</v>
      </c>
      <c r="L121" s="91">
        <f t="shared" si="76"/>
        <v>0</v>
      </c>
      <c r="M121" s="91">
        <f t="shared" si="76"/>
        <v>0</v>
      </c>
      <c r="N121" s="91">
        <f t="shared" si="76"/>
        <v>0</v>
      </c>
      <c r="O121" s="91">
        <f t="shared" si="76"/>
        <v>0</v>
      </c>
      <c r="P121" s="91">
        <f t="shared" si="76"/>
        <v>0</v>
      </c>
      <c r="Q121" s="91">
        <f t="shared" si="76"/>
        <v>0</v>
      </c>
      <c r="R121" s="91">
        <f t="shared" si="76"/>
        <v>0</v>
      </c>
      <c r="S121" s="91">
        <f t="shared" si="76"/>
        <v>0</v>
      </c>
      <c r="T121" s="91">
        <f t="shared" si="76"/>
        <v>0</v>
      </c>
      <c r="U121" s="91">
        <f t="shared" si="76"/>
        <v>0</v>
      </c>
      <c r="V121" s="91">
        <f t="shared" si="76"/>
        <v>0</v>
      </c>
      <c r="W121" s="91">
        <f t="shared" si="76"/>
        <v>0</v>
      </c>
      <c r="X121" s="91">
        <f t="shared" si="76"/>
        <v>0</v>
      </c>
      <c r="Y121" s="91">
        <f t="shared" si="76"/>
        <v>0</v>
      </c>
      <c r="Z121" s="91">
        <f t="shared" si="76"/>
        <v>0</v>
      </c>
      <c r="AA121" s="91">
        <f t="shared" si="76"/>
        <v>0</v>
      </c>
      <c r="AB121" s="91">
        <f t="shared" si="76"/>
        <v>0</v>
      </c>
      <c r="AC121" s="91">
        <f t="shared" si="76"/>
        <v>0</v>
      </c>
      <c r="AD121" s="91">
        <f t="shared" si="76"/>
        <v>0</v>
      </c>
      <c r="AE121" s="91">
        <f t="shared" si="76"/>
        <v>0</v>
      </c>
      <c r="AF121" s="91">
        <f t="shared" si="76"/>
        <v>0</v>
      </c>
      <c r="AG121" s="91">
        <f t="shared" si="76"/>
        <v>0</v>
      </c>
      <c r="AH121" s="91">
        <f t="shared" si="76"/>
        <v>0</v>
      </c>
      <c r="AI121" s="91">
        <f t="shared" si="76"/>
        <v>0</v>
      </c>
      <c r="AJ121" s="91">
        <f t="shared" si="76"/>
        <v>0</v>
      </c>
      <c r="AK121" s="91">
        <f t="shared" si="76"/>
        <v>0</v>
      </c>
      <c r="AL121" s="91">
        <f t="shared" si="76"/>
        <v>0</v>
      </c>
      <c r="AM121" s="91">
        <f t="shared" si="76"/>
        <v>0</v>
      </c>
      <c r="AN121" s="91">
        <f t="shared" si="76"/>
        <v>0</v>
      </c>
      <c r="AO121" s="91">
        <f t="shared" si="76"/>
        <v>0</v>
      </c>
      <c r="AP121" s="91">
        <f t="shared" si="76"/>
        <v>0</v>
      </c>
      <c r="AQ121" s="91">
        <f t="shared" si="76"/>
        <v>0</v>
      </c>
      <c r="AR121" s="91">
        <f t="shared" si="76"/>
        <v>0</v>
      </c>
      <c r="AS121" s="91">
        <f t="shared" si="76"/>
        <v>0</v>
      </c>
      <c r="AT121" s="91">
        <f t="shared" si="76"/>
        <v>0</v>
      </c>
      <c r="AU121" s="91">
        <f t="shared" si="76"/>
        <v>0</v>
      </c>
      <c r="AV121" s="91">
        <f t="shared" si="76"/>
        <v>0</v>
      </c>
      <c r="AW121" s="91">
        <f t="shared" si="76"/>
        <v>0</v>
      </c>
      <c r="AX121" s="91">
        <f t="shared" si="76"/>
        <v>0</v>
      </c>
      <c r="AY121" s="91">
        <f t="shared" si="76"/>
        <v>0</v>
      </c>
      <c r="AZ121" s="91">
        <f t="shared" si="76"/>
        <v>0</v>
      </c>
      <c r="BA121" s="91">
        <f t="shared" si="76"/>
        <v>0</v>
      </c>
      <c r="BB121" s="91">
        <f t="shared" si="76"/>
        <v>0</v>
      </c>
      <c r="BC121" s="91">
        <f t="shared" si="76"/>
        <v>0</v>
      </c>
      <c r="BD121" s="91">
        <f t="shared" si="76"/>
        <v>0</v>
      </c>
      <c r="BE121" s="91">
        <f t="shared" si="76"/>
        <v>0</v>
      </c>
      <c r="BF121" s="91">
        <f t="shared" si="76"/>
        <v>0</v>
      </c>
      <c r="BG121" s="91">
        <f t="shared" si="76"/>
        <v>0</v>
      </c>
      <c r="BH121" s="91">
        <f t="shared" si="76"/>
        <v>0</v>
      </c>
      <c r="BI121" s="91">
        <f t="shared" si="76"/>
        <v>0</v>
      </c>
    </row>
    <row r="122" spans="2:61" x14ac:dyDescent="0.3">
      <c r="C122">
        <v>460</v>
      </c>
      <c r="D122" t="s">
        <v>176</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f t="shared" ref="BF122:BF126" si="77">SUM(E122:BE122)</f>
        <v>0</v>
      </c>
      <c r="BG122" s="4">
        <f t="shared" ref="BG122:BG126" si="78">SUM(E122:W122)</f>
        <v>0</v>
      </c>
      <c r="BH122" s="4">
        <f t="shared" ref="BH122:BH126" si="79">SUM(X122:AJ122)</f>
        <v>0</v>
      </c>
      <c r="BI122" s="4">
        <f t="shared" ref="BI122:BI126" si="80">SUM(AK122:BE122)</f>
        <v>0</v>
      </c>
    </row>
    <row r="123" spans="2:61" x14ac:dyDescent="0.3">
      <c r="C123">
        <v>461</v>
      </c>
      <c r="D123" t="s">
        <v>177</v>
      </c>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f t="shared" si="77"/>
        <v>0</v>
      </c>
      <c r="BG123" s="4">
        <f t="shared" si="78"/>
        <v>0</v>
      </c>
      <c r="BH123" s="4">
        <f t="shared" si="79"/>
        <v>0</v>
      </c>
      <c r="BI123" s="4">
        <f t="shared" si="80"/>
        <v>0</v>
      </c>
    </row>
    <row r="124" spans="2:61" x14ac:dyDescent="0.3">
      <c r="C124">
        <v>462</v>
      </c>
      <c r="D124" t="s">
        <v>113</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f t="shared" si="77"/>
        <v>0</v>
      </c>
      <c r="BG124" s="4">
        <f t="shared" si="78"/>
        <v>0</v>
      </c>
      <c r="BH124" s="4">
        <f t="shared" si="79"/>
        <v>0</v>
      </c>
      <c r="BI124" s="4">
        <f t="shared" si="80"/>
        <v>0</v>
      </c>
    </row>
    <row r="125" spans="2:61" x14ac:dyDescent="0.3">
      <c r="C125">
        <v>463</v>
      </c>
      <c r="D125" t="s">
        <v>178</v>
      </c>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f t="shared" si="77"/>
        <v>0</v>
      </c>
      <c r="BG125" s="4">
        <f t="shared" si="78"/>
        <v>0</v>
      </c>
      <c r="BH125" s="4">
        <f t="shared" si="79"/>
        <v>0</v>
      </c>
      <c r="BI125" s="4">
        <f t="shared" si="80"/>
        <v>0</v>
      </c>
    </row>
    <row r="126" spans="2:61" x14ac:dyDescent="0.3">
      <c r="C126">
        <v>469</v>
      </c>
      <c r="D126" t="s">
        <v>179</v>
      </c>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f t="shared" si="77"/>
        <v>0</v>
      </c>
      <c r="BG126" s="4">
        <f t="shared" si="78"/>
        <v>0</v>
      </c>
      <c r="BH126" s="4">
        <f t="shared" si="79"/>
        <v>0</v>
      </c>
      <c r="BI126" s="4">
        <f t="shared" si="80"/>
        <v>0</v>
      </c>
    </row>
    <row r="127" spans="2:61" x14ac:dyDescent="0.3">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3">
      <c r="B128" s="96">
        <v>47</v>
      </c>
      <c r="C128" s="96"/>
      <c r="D128" s="96" t="s">
        <v>119</v>
      </c>
      <c r="E128" s="91">
        <f>E129</f>
        <v>0</v>
      </c>
      <c r="F128" s="91">
        <f t="shared" ref="F128:BI128" si="81">F129</f>
        <v>0</v>
      </c>
      <c r="G128" s="91">
        <f t="shared" si="81"/>
        <v>0</v>
      </c>
      <c r="H128" s="91">
        <f t="shared" si="81"/>
        <v>0</v>
      </c>
      <c r="I128" s="91">
        <f t="shared" si="81"/>
        <v>0</v>
      </c>
      <c r="J128" s="91">
        <f t="shared" si="81"/>
        <v>0</v>
      </c>
      <c r="K128" s="91">
        <f t="shared" si="81"/>
        <v>0</v>
      </c>
      <c r="L128" s="91">
        <f t="shared" si="81"/>
        <v>0</v>
      </c>
      <c r="M128" s="91">
        <f t="shared" si="81"/>
        <v>0</v>
      </c>
      <c r="N128" s="91">
        <f t="shared" si="81"/>
        <v>0</v>
      </c>
      <c r="O128" s="91">
        <f t="shared" si="81"/>
        <v>0</v>
      </c>
      <c r="P128" s="91">
        <f t="shared" si="81"/>
        <v>0</v>
      </c>
      <c r="Q128" s="91">
        <f t="shared" si="81"/>
        <v>0</v>
      </c>
      <c r="R128" s="91">
        <f t="shared" si="81"/>
        <v>0</v>
      </c>
      <c r="S128" s="91">
        <f t="shared" si="81"/>
        <v>0</v>
      </c>
      <c r="T128" s="91">
        <f t="shared" si="81"/>
        <v>0</v>
      </c>
      <c r="U128" s="91">
        <f t="shared" si="81"/>
        <v>0</v>
      </c>
      <c r="V128" s="91">
        <f t="shared" si="81"/>
        <v>0</v>
      </c>
      <c r="W128" s="91">
        <f t="shared" si="81"/>
        <v>0</v>
      </c>
      <c r="X128" s="91">
        <f t="shared" si="81"/>
        <v>0</v>
      </c>
      <c r="Y128" s="91">
        <f t="shared" si="81"/>
        <v>0</v>
      </c>
      <c r="Z128" s="91">
        <f t="shared" si="81"/>
        <v>0</v>
      </c>
      <c r="AA128" s="91">
        <f t="shared" si="81"/>
        <v>0</v>
      </c>
      <c r="AB128" s="91">
        <f t="shared" si="81"/>
        <v>0</v>
      </c>
      <c r="AC128" s="91">
        <f t="shared" si="81"/>
        <v>0</v>
      </c>
      <c r="AD128" s="91">
        <f t="shared" si="81"/>
        <v>0</v>
      </c>
      <c r="AE128" s="91">
        <f t="shared" si="81"/>
        <v>0</v>
      </c>
      <c r="AF128" s="91">
        <f t="shared" si="81"/>
        <v>0</v>
      </c>
      <c r="AG128" s="91">
        <f t="shared" si="81"/>
        <v>0</v>
      </c>
      <c r="AH128" s="91">
        <f t="shared" si="81"/>
        <v>0</v>
      </c>
      <c r="AI128" s="91">
        <f t="shared" si="81"/>
        <v>0</v>
      </c>
      <c r="AJ128" s="91">
        <f t="shared" si="81"/>
        <v>0</v>
      </c>
      <c r="AK128" s="91">
        <f t="shared" si="81"/>
        <v>0</v>
      </c>
      <c r="AL128" s="91">
        <f t="shared" si="81"/>
        <v>0</v>
      </c>
      <c r="AM128" s="91">
        <f t="shared" si="81"/>
        <v>0</v>
      </c>
      <c r="AN128" s="91">
        <f t="shared" si="81"/>
        <v>0</v>
      </c>
      <c r="AO128" s="91">
        <f t="shared" si="81"/>
        <v>0</v>
      </c>
      <c r="AP128" s="91">
        <f t="shared" si="81"/>
        <v>0</v>
      </c>
      <c r="AQ128" s="91">
        <f t="shared" si="81"/>
        <v>0</v>
      </c>
      <c r="AR128" s="91">
        <f t="shared" si="81"/>
        <v>0</v>
      </c>
      <c r="AS128" s="91">
        <f t="shared" si="81"/>
        <v>0</v>
      </c>
      <c r="AT128" s="91">
        <f t="shared" si="81"/>
        <v>0</v>
      </c>
      <c r="AU128" s="91">
        <f t="shared" si="81"/>
        <v>0</v>
      </c>
      <c r="AV128" s="91">
        <f t="shared" si="81"/>
        <v>0</v>
      </c>
      <c r="AW128" s="91">
        <f t="shared" si="81"/>
        <v>0</v>
      </c>
      <c r="AX128" s="91">
        <f t="shared" si="81"/>
        <v>0</v>
      </c>
      <c r="AY128" s="91">
        <f t="shared" si="81"/>
        <v>0</v>
      </c>
      <c r="AZ128" s="91">
        <f t="shared" si="81"/>
        <v>0</v>
      </c>
      <c r="BA128" s="91">
        <f t="shared" si="81"/>
        <v>0</v>
      </c>
      <c r="BB128" s="91">
        <f t="shared" si="81"/>
        <v>0</v>
      </c>
      <c r="BC128" s="91">
        <f t="shared" si="81"/>
        <v>0</v>
      </c>
      <c r="BD128" s="91">
        <f t="shared" si="81"/>
        <v>0</v>
      </c>
      <c r="BE128" s="91">
        <f t="shared" si="81"/>
        <v>0</v>
      </c>
      <c r="BF128" s="91">
        <f t="shared" si="81"/>
        <v>0</v>
      </c>
      <c r="BG128" s="91">
        <f t="shared" si="81"/>
        <v>0</v>
      </c>
      <c r="BH128" s="91">
        <f t="shared" si="81"/>
        <v>0</v>
      </c>
      <c r="BI128" s="91">
        <f t="shared" si="81"/>
        <v>0</v>
      </c>
    </row>
    <row r="129" spans="2:61" x14ac:dyDescent="0.3">
      <c r="C129">
        <v>470</v>
      </c>
      <c r="D129" t="s">
        <v>180</v>
      </c>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f t="shared" ref="BF129" si="82">SUM(E129:BE129)</f>
        <v>0</v>
      </c>
      <c r="BG129" s="4">
        <f t="shared" ref="BG129" si="83">SUM(E129:W129)</f>
        <v>0</v>
      </c>
      <c r="BH129" s="4">
        <f t="shared" ref="BH129" si="84">SUM(X129:AJ129)</f>
        <v>0</v>
      </c>
      <c r="BI129" s="4">
        <f t="shared" ref="BI129" si="85">SUM(AK129:BE129)</f>
        <v>0</v>
      </c>
    </row>
    <row r="130" spans="2:61" x14ac:dyDescent="0.3">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3">
      <c r="B131" s="96">
        <v>48</v>
      </c>
      <c r="C131" s="96"/>
      <c r="D131" s="96" t="s">
        <v>181</v>
      </c>
      <c r="E131" s="91">
        <f>E132+E133+E134+E135+E136+E137+E138</f>
        <v>0</v>
      </c>
      <c r="F131" s="91">
        <f t="shared" ref="F131:BI131" si="86">F132+F133+F134+F135+F136+F137+F138</f>
        <v>0</v>
      </c>
      <c r="G131" s="91">
        <f t="shared" si="86"/>
        <v>0</v>
      </c>
      <c r="H131" s="91">
        <f t="shared" si="86"/>
        <v>0</v>
      </c>
      <c r="I131" s="91">
        <f t="shared" si="86"/>
        <v>0</v>
      </c>
      <c r="J131" s="91">
        <f t="shared" si="86"/>
        <v>0</v>
      </c>
      <c r="K131" s="91">
        <f t="shared" si="86"/>
        <v>0</v>
      </c>
      <c r="L131" s="91">
        <f t="shared" si="86"/>
        <v>0</v>
      </c>
      <c r="M131" s="91">
        <f t="shared" si="86"/>
        <v>0</v>
      </c>
      <c r="N131" s="91">
        <f t="shared" si="86"/>
        <v>0</v>
      </c>
      <c r="O131" s="91">
        <f t="shared" si="86"/>
        <v>0</v>
      </c>
      <c r="P131" s="91">
        <f t="shared" si="86"/>
        <v>0</v>
      </c>
      <c r="Q131" s="91">
        <f t="shared" si="86"/>
        <v>0</v>
      </c>
      <c r="R131" s="91">
        <f t="shared" si="86"/>
        <v>0</v>
      </c>
      <c r="S131" s="91">
        <f t="shared" si="86"/>
        <v>0</v>
      </c>
      <c r="T131" s="91">
        <f t="shared" si="86"/>
        <v>0</v>
      </c>
      <c r="U131" s="91">
        <f t="shared" si="86"/>
        <v>0</v>
      </c>
      <c r="V131" s="91">
        <f t="shared" si="86"/>
        <v>0</v>
      </c>
      <c r="W131" s="91">
        <f t="shared" si="86"/>
        <v>0</v>
      </c>
      <c r="X131" s="91">
        <f t="shared" si="86"/>
        <v>0</v>
      </c>
      <c r="Y131" s="91">
        <f t="shared" si="86"/>
        <v>0</v>
      </c>
      <c r="Z131" s="91">
        <f t="shared" si="86"/>
        <v>0</v>
      </c>
      <c r="AA131" s="91">
        <f t="shared" si="86"/>
        <v>0</v>
      </c>
      <c r="AB131" s="91">
        <f t="shared" si="86"/>
        <v>0</v>
      </c>
      <c r="AC131" s="91">
        <f t="shared" si="86"/>
        <v>0</v>
      </c>
      <c r="AD131" s="91">
        <f t="shared" si="86"/>
        <v>0</v>
      </c>
      <c r="AE131" s="91">
        <f t="shared" si="86"/>
        <v>0</v>
      </c>
      <c r="AF131" s="91">
        <f t="shared" si="86"/>
        <v>0</v>
      </c>
      <c r="AG131" s="91">
        <f t="shared" si="86"/>
        <v>0</v>
      </c>
      <c r="AH131" s="91">
        <f t="shared" si="86"/>
        <v>0</v>
      </c>
      <c r="AI131" s="91">
        <f t="shared" si="86"/>
        <v>0</v>
      </c>
      <c r="AJ131" s="91">
        <f t="shared" si="86"/>
        <v>0</v>
      </c>
      <c r="AK131" s="91">
        <f t="shared" si="86"/>
        <v>0</v>
      </c>
      <c r="AL131" s="91">
        <f t="shared" si="86"/>
        <v>0</v>
      </c>
      <c r="AM131" s="91">
        <f t="shared" si="86"/>
        <v>0</v>
      </c>
      <c r="AN131" s="91">
        <f t="shared" si="86"/>
        <v>0</v>
      </c>
      <c r="AO131" s="91">
        <f t="shared" si="86"/>
        <v>0</v>
      </c>
      <c r="AP131" s="91">
        <f t="shared" si="86"/>
        <v>0</v>
      </c>
      <c r="AQ131" s="91">
        <f t="shared" si="86"/>
        <v>0</v>
      </c>
      <c r="AR131" s="91">
        <f t="shared" si="86"/>
        <v>0</v>
      </c>
      <c r="AS131" s="91">
        <f t="shared" si="86"/>
        <v>0</v>
      </c>
      <c r="AT131" s="91">
        <f t="shared" si="86"/>
        <v>0</v>
      </c>
      <c r="AU131" s="91">
        <f t="shared" si="86"/>
        <v>0</v>
      </c>
      <c r="AV131" s="91">
        <f t="shared" si="86"/>
        <v>0</v>
      </c>
      <c r="AW131" s="91">
        <f t="shared" si="86"/>
        <v>0</v>
      </c>
      <c r="AX131" s="91">
        <f t="shared" si="86"/>
        <v>0</v>
      </c>
      <c r="AY131" s="91">
        <f t="shared" si="86"/>
        <v>0</v>
      </c>
      <c r="AZ131" s="91">
        <f t="shared" si="86"/>
        <v>0</v>
      </c>
      <c r="BA131" s="91">
        <f t="shared" si="86"/>
        <v>0</v>
      </c>
      <c r="BB131" s="91">
        <f t="shared" si="86"/>
        <v>0</v>
      </c>
      <c r="BC131" s="91">
        <f t="shared" si="86"/>
        <v>0</v>
      </c>
      <c r="BD131" s="91">
        <f t="shared" si="86"/>
        <v>0</v>
      </c>
      <c r="BE131" s="91">
        <f t="shared" si="86"/>
        <v>0</v>
      </c>
      <c r="BF131" s="91">
        <f t="shared" si="86"/>
        <v>0</v>
      </c>
      <c r="BG131" s="91">
        <f t="shared" si="86"/>
        <v>0</v>
      </c>
      <c r="BH131" s="91">
        <f t="shared" si="86"/>
        <v>0</v>
      </c>
      <c r="BI131" s="91">
        <f t="shared" si="86"/>
        <v>0</v>
      </c>
    </row>
    <row r="132" spans="2:61" x14ac:dyDescent="0.3">
      <c r="C132">
        <v>481</v>
      </c>
      <c r="D132" t="s">
        <v>182</v>
      </c>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f t="shared" ref="BF132:BF138" si="87">SUM(E132:BE132)</f>
        <v>0</v>
      </c>
      <c r="BG132" s="4">
        <f t="shared" ref="BG132:BG138" si="88">SUM(E132:W132)</f>
        <v>0</v>
      </c>
      <c r="BH132" s="4">
        <f t="shared" ref="BH132:BH138" si="89">SUM(X132:AJ132)</f>
        <v>0</v>
      </c>
      <c r="BI132" s="4">
        <f t="shared" ref="BI132:BI138" si="90">SUM(AK132:BE132)</f>
        <v>0</v>
      </c>
    </row>
    <row r="133" spans="2:61" x14ac:dyDescent="0.3">
      <c r="C133">
        <v>482</v>
      </c>
      <c r="D133" t="s">
        <v>183</v>
      </c>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f t="shared" si="87"/>
        <v>0</v>
      </c>
      <c r="BG133" s="4">
        <f t="shared" si="88"/>
        <v>0</v>
      </c>
      <c r="BH133" s="4">
        <f t="shared" si="89"/>
        <v>0</v>
      </c>
      <c r="BI133" s="4">
        <f t="shared" si="90"/>
        <v>0</v>
      </c>
    </row>
    <row r="134" spans="2:61" x14ac:dyDescent="0.3">
      <c r="C134">
        <v>483</v>
      </c>
      <c r="D134" t="s">
        <v>184</v>
      </c>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f t="shared" si="87"/>
        <v>0</v>
      </c>
      <c r="BG134" s="4">
        <f t="shared" si="88"/>
        <v>0</v>
      </c>
      <c r="BH134" s="4">
        <f t="shared" si="89"/>
        <v>0</v>
      </c>
      <c r="BI134" s="4">
        <f t="shared" si="90"/>
        <v>0</v>
      </c>
    </row>
    <row r="135" spans="2:61" x14ac:dyDescent="0.3">
      <c r="C135">
        <v>484</v>
      </c>
      <c r="D135" t="s">
        <v>185</v>
      </c>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f t="shared" si="87"/>
        <v>0</v>
      </c>
      <c r="BG135" s="4">
        <f t="shared" si="88"/>
        <v>0</v>
      </c>
      <c r="BH135" s="4">
        <f t="shared" si="89"/>
        <v>0</v>
      </c>
      <c r="BI135" s="4">
        <f t="shared" si="90"/>
        <v>0</v>
      </c>
    </row>
    <row r="136" spans="2:61" x14ac:dyDescent="0.3">
      <c r="C136">
        <v>485</v>
      </c>
      <c r="D136" t="s">
        <v>186</v>
      </c>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f t="shared" si="87"/>
        <v>0</v>
      </c>
      <c r="BG136" s="4">
        <f t="shared" si="88"/>
        <v>0</v>
      </c>
      <c r="BH136" s="4">
        <f t="shared" si="89"/>
        <v>0</v>
      </c>
      <c r="BI136" s="4">
        <f t="shared" si="90"/>
        <v>0</v>
      </c>
    </row>
    <row r="137" spans="2:61" x14ac:dyDescent="0.3">
      <c r="C137">
        <v>486</v>
      </c>
      <c r="D137" t="s">
        <v>187</v>
      </c>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f t="shared" si="87"/>
        <v>0</v>
      </c>
      <c r="BG137" s="4">
        <f t="shared" si="88"/>
        <v>0</v>
      </c>
      <c r="BH137" s="4">
        <f t="shared" si="89"/>
        <v>0</v>
      </c>
      <c r="BI137" s="4">
        <f t="shared" si="90"/>
        <v>0</v>
      </c>
    </row>
    <row r="138" spans="2:61" x14ac:dyDescent="0.3">
      <c r="C138">
        <v>489</v>
      </c>
      <c r="D138" t="s">
        <v>188</v>
      </c>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f t="shared" si="87"/>
        <v>0</v>
      </c>
      <c r="BG138" s="4">
        <f t="shared" si="88"/>
        <v>0</v>
      </c>
      <c r="BH138" s="4">
        <f t="shared" si="89"/>
        <v>0</v>
      </c>
      <c r="BI138" s="4">
        <f t="shared" si="90"/>
        <v>0</v>
      </c>
    </row>
    <row r="139" spans="2:61" x14ac:dyDescent="0.3">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3">
      <c r="B140" s="96">
        <v>49</v>
      </c>
      <c r="C140" s="96"/>
      <c r="D140" s="96" t="s">
        <v>128</v>
      </c>
      <c r="E140" s="91">
        <f>E141+E142+E143+E144+E145+E146+E147+E148</f>
        <v>0</v>
      </c>
      <c r="F140" s="91">
        <f t="shared" ref="F140:BI140" si="91">F141+F142+F143+F144+F145+F146+F147+F148</f>
        <v>0</v>
      </c>
      <c r="G140" s="91">
        <f t="shared" si="91"/>
        <v>0</v>
      </c>
      <c r="H140" s="91">
        <f t="shared" si="91"/>
        <v>0</v>
      </c>
      <c r="I140" s="91">
        <f t="shared" si="91"/>
        <v>0</v>
      </c>
      <c r="J140" s="91">
        <f t="shared" si="91"/>
        <v>0</v>
      </c>
      <c r="K140" s="91">
        <f t="shared" si="91"/>
        <v>0</v>
      </c>
      <c r="L140" s="91">
        <f t="shared" si="91"/>
        <v>0</v>
      </c>
      <c r="M140" s="91">
        <f t="shared" si="91"/>
        <v>0</v>
      </c>
      <c r="N140" s="91">
        <f t="shared" si="91"/>
        <v>0</v>
      </c>
      <c r="O140" s="91">
        <f t="shared" si="91"/>
        <v>0</v>
      </c>
      <c r="P140" s="91">
        <f t="shared" si="91"/>
        <v>0</v>
      </c>
      <c r="Q140" s="91">
        <f t="shared" si="91"/>
        <v>0</v>
      </c>
      <c r="R140" s="91">
        <f t="shared" si="91"/>
        <v>0</v>
      </c>
      <c r="S140" s="91">
        <f t="shared" si="91"/>
        <v>0</v>
      </c>
      <c r="T140" s="91">
        <f t="shared" si="91"/>
        <v>0</v>
      </c>
      <c r="U140" s="91">
        <f t="shared" si="91"/>
        <v>0</v>
      </c>
      <c r="V140" s="91">
        <f t="shared" si="91"/>
        <v>0</v>
      </c>
      <c r="W140" s="91">
        <f t="shared" si="91"/>
        <v>0</v>
      </c>
      <c r="X140" s="91">
        <f t="shared" si="91"/>
        <v>0</v>
      </c>
      <c r="Y140" s="91">
        <f t="shared" si="91"/>
        <v>0</v>
      </c>
      <c r="Z140" s="91">
        <f t="shared" si="91"/>
        <v>0</v>
      </c>
      <c r="AA140" s="91">
        <f t="shared" si="91"/>
        <v>0</v>
      </c>
      <c r="AB140" s="91">
        <f t="shared" si="91"/>
        <v>0</v>
      </c>
      <c r="AC140" s="91">
        <f t="shared" si="91"/>
        <v>0</v>
      </c>
      <c r="AD140" s="91">
        <f t="shared" si="91"/>
        <v>0</v>
      </c>
      <c r="AE140" s="91">
        <f t="shared" si="91"/>
        <v>0</v>
      </c>
      <c r="AF140" s="91">
        <f t="shared" si="91"/>
        <v>0</v>
      </c>
      <c r="AG140" s="91">
        <f t="shared" si="91"/>
        <v>0</v>
      </c>
      <c r="AH140" s="91">
        <f t="shared" si="91"/>
        <v>0</v>
      </c>
      <c r="AI140" s="91">
        <f t="shared" si="91"/>
        <v>0</v>
      </c>
      <c r="AJ140" s="91">
        <f t="shared" si="91"/>
        <v>0</v>
      </c>
      <c r="AK140" s="91">
        <f t="shared" si="91"/>
        <v>0</v>
      </c>
      <c r="AL140" s="91">
        <f t="shared" si="91"/>
        <v>0</v>
      </c>
      <c r="AM140" s="91">
        <f t="shared" si="91"/>
        <v>0</v>
      </c>
      <c r="AN140" s="91">
        <f t="shared" si="91"/>
        <v>0</v>
      </c>
      <c r="AO140" s="91">
        <f t="shared" si="91"/>
        <v>0</v>
      </c>
      <c r="AP140" s="91">
        <f t="shared" si="91"/>
        <v>0</v>
      </c>
      <c r="AQ140" s="91">
        <f t="shared" si="91"/>
        <v>0</v>
      </c>
      <c r="AR140" s="91">
        <f t="shared" si="91"/>
        <v>0</v>
      </c>
      <c r="AS140" s="91">
        <f t="shared" si="91"/>
        <v>0</v>
      </c>
      <c r="AT140" s="91">
        <f t="shared" si="91"/>
        <v>0</v>
      </c>
      <c r="AU140" s="91">
        <f t="shared" si="91"/>
        <v>0</v>
      </c>
      <c r="AV140" s="91">
        <f t="shared" si="91"/>
        <v>0</v>
      </c>
      <c r="AW140" s="91">
        <f t="shared" si="91"/>
        <v>0</v>
      </c>
      <c r="AX140" s="91">
        <f t="shared" si="91"/>
        <v>0</v>
      </c>
      <c r="AY140" s="91">
        <f t="shared" si="91"/>
        <v>0</v>
      </c>
      <c r="AZ140" s="91">
        <f t="shared" si="91"/>
        <v>0</v>
      </c>
      <c r="BA140" s="91">
        <f t="shared" si="91"/>
        <v>0</v>
      </c>
      <c r="BB140" s="91">
        <f t="shared" si="91"/>
        <v>0</v>
      </c>
      <c r="BC140" s="91">
        <f t="shared" si="91"/>
        <v>0</v>
      </c>
      <c r="BD140" s="91">
        <f t="shared" si="91"/>
        <v>0</v>
      </c>
      <c r="BE140" s="91">
        <f t="shared" si="91"/>
        <v>0</v>
      </c>
      <c r="BF140" s="91">
        <f t="shared" si="91"/>
        <v>0</v>
      </c>
      <c r="BG140" s="91">
        <f t="shared" si="91"/>
        <v>0</v>
      </c>
      <c r="BH140" s="91">
        <f t="shared" si="91"/>
        <v>0</v>
      </c>
      <c r="BI140" s="91">
        <f t="shared" si="91"/>
        <v>0</v>
      </c>
    </row>
    <row r="141" spans="2:61" x14ac:dyDescent="0.3">
      <c r="C141">
        <v>490</v>
      </c>
      <c r="D141" t="s">
        <v>129</v>
      </c>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f t="shared" ref="BF141:BF148" si="92">SUM(E141:BE141)</f>
        <v>0</v>
      </c>
      <c r="BG141" s="4">
        <f t="shared" ref="BG141:BG148" si="93">SUM(E141:W141)</f>
        <v>0</v>
      </c>
      <c r="BH141" s="4">
        <f t="shared" ref="BH141:BH148" si="94">SUM(X141:AJ141)</f>
        <v>0</v>
      </c>
      <c r="BI141" s="4">
        <f t="shared" ref="BI141:BI148" si="95">SUM(AK141:BE141)</f>
        <v>0</v>
      </c>
    </row>
    <row r="142" spans="2:61" x14ac:dyDescent="0.3">
      <c r="C142">
        <v>491</v>
      </c>
      <c r="D142" t="s">
        <v>130</v>
      </c>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f t="shared" si="92"/>
        <v>0</v>
      </c>
      <c r="BG142" s="4">
        <f t="shared" si="93"/>
        <v>0</v>
      </c>
      <c r="BH142" s="4">
        <f t="shared" si="94"/>
        <v>0</v>
      </c>
      <c r="BI142" s="4">
        <f t="shared" si="95"/>
        <v>0</v>
      </c>
    </row>
    <row r="143" spans="2:61" x14ac:dyDescent="0.3">
      <c r="C143">
        <v>492</v>
      </c>
      <c r="D143" t="s">
        <v>189</v>
      </c>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f t="shared" si="92"/>
        <v>0</v>
      </c>
      <c r="BG143" s="4">
        <f t="shared" si="93"/>
        <v>0</v>
      </c>
      <c r="BH143" s="4">
        <f t="shared" si="94"/>
        <v>0</v>
      </c>
      <c r="BI143" s="4">
        <f t="shared" si="95"/>
        <v>0</v>
      </c>
    </row>
    <row r="144" spans="2:61" x14ac:dyDescent="0.3">
      <c r="C144">
        <v>493</v>
      </c>
      <c r="D144" t="s">
        <v>190</v>
      </c>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f t="shared" si="92"/>
        <v>0</v>
      </c>
      <c r="BG144" s="4">
        <f t="shared" si="93"/>
        <v>0</v>
      </c>
      <c r="BH144" s="4">
        <f t="shared" si="94"/>
        <v>0</v>
      </c>
      <c r="BI144" s="4">
        <f t="shared" si="95"/>
        <v>0</v>
      </c>
    </row>
    <row r="145" spans="1:61" x14ac:dyDescent="0.3">
      <c r="C145">
        <v>494</v>
      </c>
      <c r="D145" t="s">
        <v>133</v>
      </c>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f t="shared" si="92"/>
        <v>0</v>
      </c>
      <c r="BG145" s="4">
        <f t="shared" si="93"/>
        <v>0</v>
      </c>
      <c r="BH145" s="4">
        <f t="shared" si="94"/>
        <v>0</v>
      </c>
      <c r="BI145" s="4">
        <f t="shared" si="95"/>
        <v>0</v>
      </c>
    </row>
    <row r="146" spans="1:61" x14ac:dyDescent="0.3">
      <c r="C146">
        <v>495</v>
      </c>
      <c r="D146" t="s">
        <v>191</v>
      </c>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f t="shared" si="92"/>
        <v>0</v>
      </c>
      <c r="BG146" s="4">
        <f t="shared" si="93"/>
        <v>0</v>
      </c>
      <c r="BH146" s="4">
        <f t="shared" si="94"/>
        <v>0</v>
      </c>
      <c r="BI146" s="4">
        <f t="shared" si="95"/>
        <v>0</v>
      </c>
    </row>
    <row r="147" spans="1:61" x14ac:dyDescent="0.3">
      <c r="C147">
        <v>498</v>
      </c>
      <c r="D147" t="s">
        <v>192</v>
      </c>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f t="shared" si="92"/>
        <v>0</v>
      </c>
      <c r="BG147" s="4">
        <f t="shared" si="93"/>
        <v>0</v>
      </c>
      <c r="BH147" s="4">
        <f t="shared" si="94"/>
        <v>0</v>
      </c>
      <c r="BI147" s="4">
        <f t="shared" si="95"/>
        <v>0</v>
      </c>
    </row>
    <row r="148" spans="1:61" x14ac:dyDescent="0.3">
      <c r="C148">
        <v>499</v>
      </c>
      <c r="D148" t="s">
        <v>136</v>
      </c>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f t="shared" si="92"/>
        <v>0</v>
      </c>
      <c r="BG148" s="4">
        <f t="shared" si="93"/>
        <v>0</v>
      </c>
      <c r="BH148" s="4">
        <f t="shared" si="94"/>
        <v>0</v>
      </c>
      <c r="BI148" s="4">
        <f t="shared" si="95"/>
        <v>0</v>
      </c>
    </row>
    <row r="149" spans="1:61" x14ac:dyDescent="0.3">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3">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6">SUM(E151:BE151)</f>
        <v>0</v>
      </c>
      <c r="BG151" s="4">
        <f t="shared" ref="BG151" si="97">SUM(E151:W151)</f>
        <v>0</v>
      </c>
      <c r="BH151" s="4">
        <f t="shared" ref="BH151" si="98">SUM(X151:AJ151)</f>
        <v>0</v>
      </c>
      <c r="BI151" s="4">
        <f t="shared" ref="BI151" si="99">SUM(AK151:BE151)</f>
        <v>0</v>
      </c>
    </row>
    <row r="152" spans="1:61" x14ac:dyDescent="0.3">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3">
      <c r="A153" s="106"/>
      <c r="B153" s="106">
        <v>90</v>
      </c>
      <c r="C153" s="106"/>
      <c r="D153" s="106" t="s">
        <v>195</v>
      </c>
      <c r="E153" s="108">
        <f>E154+E155</f>
        <v>0</v>
      </c>
      <c r="F153" s="108">
        <f t="shared" ref="F153:BI153" si="100">F154+F155</f>
        <v>0</v>
      </c>
      <c r="G153" s="108">
        <f t="shared" si="100"/>
        <v>0</v>
      </c>
      <c r="H153" s="108">
        <f t="shared" si="100"/>
        <v>0</v>
      </c>
      <c r="I153" s="108">
        <f t="shared" si="100"/>
        <v>0</v>
      </c>
      <c r="J153" s="108">
        <f t="shared" si="100"/>
        <v>0</v>
      </c>
      <c r="K153" s="108">
        <f t="shared" si="100"/>
        <v>0</v>
      </c>
      <c r="L153" s="108">
        <f t="shared" si="100"/>
        <v>0</v>
      </c>
      <c r="M153" s="108">
        <f t="shared" si="100"/>
        <v>0</v>
      </c>
      <c r="N153" s="108">
        <f t="shared" si="100"/>
        <v>0</v>
      </c>
      <c r="O153" s="108">
        <f t="shared" si="100"/>
        <v>0</v>
      </c>
      <c r="P153" s="108">
        <f t="shared" si="100"/>
        <v>0</v>
      </c>
      <c r="Q153" s="108">
        <f t="shared" si="100"/>
        <v>0</v>
      </c>
      <c r="R153" s="108">
        <f t="shared" si="100"/>
        <v>0</v>
      </c>
      <c r="S153" s="108">
        <f t="shared" si="100"/>
        <v>0</v>
      </c>
      <c r="T153" s="108">
        <f t="shared" si="100"/>
        <v>0</v>
      </c>
      <c r="U153" s="108">
        <f t="shared" si="100"/>
        <v>0</v>
      </c>
      <c r="V153" s="108">
        <f t="shared" si="100"/>
        <v>0</v>
      </c>
      <c r="W153" s="108">
        <f t="shared" si="100"/>
        <v>0</v>
      </c>
      <c r="X153" s="108">
        <f t="shared" si="100"/>
        <v>0</v>
      </c>
      <c r="Y153" s="108">
        <f t="shared" si="100"/>
        <v>0</v>
      </c>
      <c r="Z153" s="108">
        <f t="shared" si="100"/>
        <v>0</v>
      </c>
      <c r="AA153" s="108">
        <f t="shared" si="100"/>
        <v>0</v>
      </c>
      <c r="AB153" s="108">
        <f t="shared" si="100"/>
        <v>0</v>
      </c>
      <c r="AC153" s="108">
        <f t="shared" si="100"/>
        <v>0</v>
      </c>
      <c r="AD153" s="108">
        <f t="shared" si="100"/>
        <v>0</v>
      </c>
      <c r="AE153" s="108">
        <f t="shared" si="100"/>
        <v>0</v>
      </c>
      <c r="AF153" s="108">
        <f t="shared" si="100"/>
        <v>0</v>
      </c>
      <c r="AG153" s="108">
        <f t="shared" si="100"/>
        <v>0</v>
      </c>
      <c r="AH153" s="108">
        <f t="shared" si="100"/>
        <v>0</v>
      </c>
      <c r="AI153" s="108">
        <f t="shared" si="100"/>
        <v>0</v>
      </c>
      <c r="AJ153" s="108">
        <f t="shared" si="100"/>
        <v>0</v>
      </c>
      <c r="AK153" s="108">
        <f t="shared" si="100"/>
        <v>0</v>
      </c>
      <c r="AL153" s="108">
        <f t="shared" si="100"/>
        <v>0</v>
      </c>
      <c r="AM153" s="108">
        <f t="shared" si="100"/>
        <v>0</v>
      </c>
      <c r="AN153" s="108">
        <f t="shared" si="100"/>
        <v>0</v>
      </c>
      <c r="AO153" s="108">
        <f t="shared" si="100"/>
        <v>0</v>
      </c>
      <c r="AP153" s="108">
        <f t="shared" si="100"/>
        <v>0</v>
      </c>
      <c r="AQ153" s="108">
        <f t="shared" si="100"/>
        <v>0</v>
      </c>
      <c r="AR153" s="108">
        <f t="shared" si="100"/>
        <v>0</v>
      </c>
      <c r="AS153" s="108">
        <f t="shared" si="100"/>
        <v>0</v>
      </c>
      <c r="AT153" s="108">
        <f t="shared" si="100"/>
        <v>0</v>
      </c>
      <c r="AU153" s="108">
        <f t="shared" si="100"/>
        <v>0</v>
      </c>
      <c r="AV153" s="108">
        <f t="shared" si="100"/>
        <v>0</v>
      </c>
      <c r="AW153" s="108">
        <f t="shared" si="100"/>
        <v>0</v>
      </c>
      <c r="AX153" s="108">
        <f t="shared" si="100"/>
        <v>0</v>
      </c>
      <c r="AY153" s="108">
        <f t="shared" si="100"/>
        <v>0</v>
      </c>
      <c r="AZ153" s="108">
        <f t="shared" si="100"/>
        <v>0</v>
      </c>
      <c r="BA153" s="108">
        <f t="shared" si="100"/>
        <v>0</v>
      </c>
      <c r="BB153" s="108">
        <f t="shared" si="100"/>
        <v>0</v>
      </c>
      <c r="BC153" s="108">
        <f t="shared" si="100"/>
        <v>0</v>
      </c>
      <c r="BD153" s="108">
        <f t="shared" si="100"/>
        <v>0</v>
      </c>
      <c r="BE153" s="108">
        <f t="shared" si="100"/>
        <v>0</v>
      </c>
      <c r="BF153" s="108">
        <f t="shared" si="100"/>
        <v>0</v>
      </c>
      <c r="BG153" s="108">
        <f t="shared" si="100"/>
        <v>0</v>
      </c>
      <c r="BH153" s="108">
        <f t="shared" si="100"/>
        <v>0</v>
      </c>
      <c r="BI153" s="108">
        <f t="shared" si="100"/>
        <v>0</v>
      </c>
    </row>
    <row r="154" spans="1:61" x14ac:dyDescent="0.3">
      <c r="C154">
        <v>900</v>
      </c>
      <c r="D154" t="s">
        <v>196</v>
      </c>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153"/>
      <c r="BB154" s="4"/>
      <c r="BC154" s="4"/>
      <c r="BD154" s="4"/>
      <c r="BE154" s="4"/>
      <c r="BF154" s="4">
        <f t="shared" ref="BF154:BF155" si="101">SUM(E154:BE154)</f>
        <v>0</v>
      </c>
      <c r="BG154" s="4">
        <f t="shared" ref="BG154:BG155" si="102">SUM(E154:W154)</f>
        <v>0</v>
      </c>
      <c r="BH154" s="4">
        <f t="shared" ref="BH154:BH155" si="103">SUM(X154:AJ154)</f>
        <v>0</v>
      </c>
      <c r="BI154" s="4">
        <f t="shared" ref="BI154:BI155" si="104">SUM(AK154:BE154)</f>
        <v>0</v>
      </c>
    </row>
    <row r="155" spans="1:61" x14ac:dyDescent="0.3">
      <c r="C155">
        <v>901</v>
      </c>
      <c r="D155" t="s">
        <v>197</v>
      </c>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f t="shared" si="101"/>
        <v>0</v>
      </c>
      <c r="BG155" s="4">
        <f t="shared" si="102"/>
        <v>0</v>
      </c>
      <c r="BH155" s="4">
        <f t="shared" si="103"/>
        <v>0</v>
      </c>
      <c r="BI155" s="4">
        <f t="shared" si="104"/>
        <v>0</v>
      </c>
    </row>
    <row r="156" spans="1:61" x14ac:dyDescent="0.3">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3">
      <c r="D157" s="7" t="s">
        <v>198</v>
      </c>
      <c r="E157" s="41">
        <f>E154+E155</f>
        <v>0</v>
      </c>
      <c r="F157" s="41">
        <f t="shared" ref="F157:BI157" si="105">F154+F155</f>
        <v>0</v>
      </c>
      <c r="G157" s="41">
        <f t="shared" si="105"/>
        <v>0</v>
      </c>
      <c r="H157" s="41">
        <f t="shared" si="105"/>
        <v>0</v>
      </c>
      <c r="I157" s="41">
        <f t="shared" si="105"/>
        <v>0</v>
      </c>
      <c r="J157" s="41">
        <f t="shared" si="105"/>
        <v>0</v>
      </c>
      <c r="K157" s="41">
        <f t="shared" si="105"/>
        <v>0</v>
      </c>
      <c r="L157" s="41">
        <f t="shared" si="105"/>
        <v>0</v>
      </c>
      <c r="M157" s="41">
        <f t="shared" si="105"/>
        <v>0</v>
      </c>
      <c r="N157" s="41">
        <f t="shared" si="105"/>
        <v>0</v>
      </c>
      <c r="O157" s="41">
        <f t="shared" si="105"/>
        <v>0</v>
      </c>
      <c r="P157" s="41">
        <f t="shared" si="105"/>
        <v>0</v>
      </c>
      <c r="Q157" s="41">
        <f t="shared" si="105"/>
        <v>0</v>
      </c>
      <c r="R157" s="41">
        <f t="shared" si="105"/>
        <v>0</v>
      </c>
      <c r="S157" s="41">
        <f t="shared" si="105"/>
        <v>0</v>
      </c>
      <c r="T157" s="41">
        <f t="shared" si="105"/>
        <v>0</v>
      </c>
      <c r="U157" s="41">
        <f t="shared" si="105"/>
        <v>0</v>
      </c>
      <c r="V157" s="41">
        <f t="shared" si="105"/>
        <v>0</v>
      </c>
      <c r="W157" s="41">
        <f t="shared" si="105"/>
        <v>0</v>
      </c>
      <c r="X157" s="41">
        <f t="shared" si="105"/>
        <v>0</v>
      </c>
      <c r="Y157" s="41">
        <f t="shared" si="105"/>
        <v>0</v>
      </c>
      <c r="Z157" s="41">
        <f t="shared" si="105"/>
        <v>0</v>
      </c>
      <c r="AA157" s="41">
        <f t="shared" si="105"/>
        <v>0</v>
      </c>
      <c r="AB157" s="41">
        <f t="shared" si="105"/>
        <v>0</v>
      </c>
      <c r="AC157" s="41">
        <f t="shared" si="105"/>
        <v>0</v>
      </c>
      <c r="AD157" s="41">
        <f t="shared" si="105"/>
        <v>0</v>
      </c>
      <c r="AE157" s="41">
        <f t="shared" si="105"/>
        <v>0</v>
      </c>
      <c r="AF157" s="41">
        <f t="shared" si="105"/>
        <v>0</v>
      </c>
      <c r="AG157" s="41">
        <f t="shared" si="105"/>
        <v>0</v>
      </c>
      <c r="AH157" s="41">
        <f t="shared" si="105"/>
        <v>0</v>
      </c>
      <c r="AI157" s="41">
        <f t="shared" si="105"/>
        <v>0</v>
      </c>
      <c r="AJ157" s="41">
        <f t="shared" si="105"/>
        <v>0</v>
      </c>
      <c r="AK157" s="41">
        <f t="shared" si="105"/>
        <v>0</v>
      </c>
      <c r="AL157" s="41">
        <f t="shared" si="105"/>
        <v>0</v>
      </c>
      <c r="AM157" s="41">
        <f t="shared" si="105"/>
        <v>0</v>
      </c>
      <c r="AN157" s="41">
        <f t="shared" si="105"/>
        <v>0</v>
      </c>
      <c r="AO157" s="41">
        <f t="shared" si="105"/>
        <v>0</v>
      </c>
      <c r="AP157" s="41">
        <f t="shared" si="105"/>
        <v>0</v>
      </c>
      <c r="AQ157" s="41">
        <f t="shared" si="105"/>
        <v>0</v>
      </c>
      <c r="AR157" s="41">
        <f t="shared" si="105"/>
        <v>0</v>
      </c>
      <c r="AS157" s="41">
        <f t="shared" si="105"/>
        <v>0</v>
      </c>
      <c r="AT157" s="41">
        <f t="shared" si="105"/>
        <v>0</v>
      </c>
      <c r="AU157" s="41">
        <f t="shared" si="105"/>
        <v>0</v>
      </c>
      <c r="AV157" s="41">
        <f t="shared" si="105"/>
        <v>0</v>
      </c>
      <c r="AW157" s="41">
        <f t="shared" si="105"/>
        <v>0</v>
      </c>
      <c r="AX157" s="41">
        <f t="shared" si="105"/>
        <v>0</v>
      </c>
      <c r="AY157" s="41">
        <f t="shared" si="105"/>
        <v>0</v>
      </c>
      <c r="AZ157" s="41">
        <f t="shared" si="105"/>
        <v>0</v>
      </c>
      <c r="BA157" s="41">
        <f t="shared" si="105"/>
        <v>0</v>
      </c>
      <c r="BB157" s="41">
        <f t="shared" si="105"/>
        <v>0</v>
      </c>
      <c r="BC157" s="41">
        <f t="shared" si="105"/>
        <v>0</v>
      </c>
      <c r="BD157" s="41">
        <f t="shared" si="105"/>
        <v>0</v>
      </c>
      <c r="BE157" s="41">
        <f t="shared" si="105"/>
        <v>0</v>
      </c>
      <c r="BF157" s="41">
        <f t="shared" si="105"/>
        <v>0</v>
      </c>
      <c r="BG157" s="41">
        <f t="shared" si="105"/>
        <v>0</v>
      </c>
      <c r="BH157" s="41">
        <f t="shared" si="105"/>
        <v>0</v>
      </c>
      <c r="BI157" s="41">
        <f t="shared" si="105"/>
        <v>0</v>
      </c>
    </row>
    <row r="158" spans="1:61" x14ac:dyDescent="0.3">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3">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f t="shared" ref="BF159" si="106">SUM(E159:BE159)</f>
        <v>0</v>
      </c>
      <c r="BG159" s="4">
        <f t="shared" ref="BG159" si="107">SUM(E159:W159)</f>
        <v>0</v>
      </c>
      <c r="BH159" s="4">
        <f t="shared" ref="BH159" si="108">SUM(X159:AJ159)</f>
        <v>0</v>
      </c>
      <c r="BI159" s="4">
        <f t="shared" ref="BI159" si="109">SUM(AK159:BE159)</f>
        <v>0</v>
      </c>
    </row>
    <row r="160" spans="1:61" x14ac:dyDescent="0.3">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row>
    <row r="161" spans="4:61" x14ac:dyDescent="0.3">
      <c r="D161" s="49"/>
      <c r="E161" s="41">
        <f t="shared" ref="E161:BI161" si="110">E75-E4</f>
        <v>0</v>
      </c>
      <c r="F161" s="41">
        <f t="shared" si="110"/>
        <v>0</v>
      </c>
      <c r="G161" s="41">
        <f t="shared" si="110"/>
        <v>0</v>
      </c>
      <c r="H161" s="41">
        <f t="shared" si="110"/>
        <v>0</v>
      </c>
      <c r="I161" s="41">
        <f t="shared" si="110"/>
        <v>0</v>
      </c>
      <c r="J161" s="41">
        <f t="shared" si="110"/>
        <v>0</v>
      </c>
      <c r="K161" s="41">
        <f t="shared" si="110"/>
        <v>0</v>
      </c>
      <c r="L161" s="41">
        <f t="shared" si="110"/>
        <v>0</v>
      </c>
      <c r="M161" s="41">
        <f t="shared" si="110"/>
        <v>0</v>
      </c>
      <c r="N161" s="41">
        <f t="shared" si="110"/>
        <v>0</v>
      </c>
      <c r="O161" s="41">
        <f t="shared" si="110"/>
        <v>0</v>
      </c>
      <c r="P161" s="41">
        <f t="shared" si="110"/>
        <v>0</v>
      </c>
      <c r="Q161" s="41">
        <f t="shared" si="110"/>
        <v>0</v>
      </c>
      <c r="R161" s="41">
        <f t="shared" si="110"/>
        <v>0</v>
      </c>
      <c r="S161" s="41">
        <f t="shared" si="110"/>
        <v>0</v>
      </c>
      <c r="T161" s="41">
        <f t="shared" si="110"/>
        <v>0</v>
      </c>
      <c r="U161" s="41">
        <f t="shared" si="110"/>
        <v>0</v>
      </c>
      <c r="V161" s="41">
        <f t="shared" si="110"/>
        <v>0</v>
      </c>
      <c r="W161" s="41">
        <f t="shared" si="110"/>
        <v>0</v>
      </c>
      <c r="X161" s="41">
        <f t="shared" si="110"/>
        <v>0</v>
      </c>
      <c r="Y161" s="41">
        <f t="shared" si="110"/>
        <v>0</v>
      </c>
      <c r="Z161" s="41">
        <f t="shared" si="110"/>
        <v>0</v>
      </c>
      <c r="AA161" s="41">
        <f t="shared" si="110"/>
        <v>0</v>
      </c>
      <c r="AB161" s="41">
        <f t="shared" si="110"/>
        <v>0</v>
      </c>
      <c r="AC161" s="41">
        <f t="shared" si="110"/>
        <v>0</v>
      </c>
      <c r="AD161" s="41">
        <f t="shared" si="110"/>
        <v>0</v>
      </c>
      <c r="AE161" s="41">
        <f t="shared" si="110"/>
        <v>0</v>
      </c>
      <c r="AF161" s="41">
        <f t="shared" si="110"/>
        <v>0</v>
      </c>
      <c r="AG161" s="41">
        <f t="shared" si="110"/>
        <v>0</v>
      </c>
      <c r="AH161" s="41">
        <f t="shared" si="110"/>
        <v>0</v>
      </c>
      <c r="AI161" s="41">
        <f t="shared" si="110"/>
        <v>0</v>
      </c>
      <c r="AJ161" s="41">
        <f t="shared" si="110"/>
        <v>0</v>
      </c>
      <c r="AK161" s="41">
        <f t="shared" si="110"/>
        <v>0</v>
      </c>
      <c r="AL161" s="41">
        <f t="shared" si="110"/>
        <v>0</v>
      </c>
      <c r="AM161" s="41">
        <f t="shared" si="110"/>
        <v>0</v>
      </c>
      <c r="AN161" s="41">
        <f t="shared" si="110"/>
        <v>0</v>
      </c>
      <c r="AO161" s="41">
        <f t="shared" si="110"/>
        <v>0</v>
      </c>
      <c r="AP161" s="41">
        <f t="shared" si="110"/>
        <v>0</v>
      </c>
      <c r="AQ161" s="41">
        <f t="shared" si="110"/>
        <v>0</v>
      </c>
      <c r="AR161" s="41">
        <f t="shared" si="110"/>
        <v>0</v>
      </c>
      <c r="AS161" s="41">
        <f t="shared" si="110"/>
        <v>0</v>
      </c>
      <c r="AT161" s="41">
        <f t="shared" si="110"/>
        <v>0</v>
      </c>
      <c r="AU161" s="41">
        <f t="shared" si="110"/>
        <v>0</v>
      </c>
      <c r="AV161" s="41">
        <f t="shared" si="110"/>
        <v>0</v>
      </c>
      <c r="AW161" s="41">
        <f t="shared" si="110"/>
        <v>0</v>
      </c>
      <c r="AX161" s="41">
        <f t="shared" si="110"/>
        <v>0</v>
      </c>
      <c r="AY161" s="41">
        <f t="shared" si="110"/>
        <v>0</v>
      </c>
      <c r="AZ161" s="41">
        <f t="shared" si="110"/>
        <v>0</v>
      </c>
      <c r="BA161" s="41">
        <f t="shared" si="110"/>
        <v>0</v>
      </c>
      <c r="BB161" s="41">
        <f t="shared" si="110"/>
        <v>0</v>
      </c>
      <c r="BC161" s="41">
        <f t="shared" si="110"/>
        <v>0</v>
      </c>
      <c r="BD161" s="41">
        <f t="shared" si="110"/>
        <v>0</v>
      </c>
      <c r="BE161" s="41">
        <f t="shared" si="110"/>
        <v>0</v>
      </c>
      <c r="BF161" s="41">
        <f t="shared" si="110"/>
        <v>0</v>
      </c>
      <c r="BG161" s="41">
        <f t="shared" si="110"/>
        <v>0</v>
      </c>
      <c r="BH161" s="41">
        <f t="shared" si="110"/>
        <v>0</v>
      </c>
      <c r="BI161" s="41">
        <f t="shared" si="110"/>
        <v>0</v>
      </c>
    </row>
    <row r="162" spans="4:61" x14ac:dyDescent="0.3">
      <c r="D162" s="49" t="s">
        <v>68</v>
      </c>
      <c r="E162" s="153">
        <f t="shared" ref="E162:N162" si="111">E157-E161</f>
        <v>0</v>
      </c>
      <c r="F162" s="153">
        <f t="shared" si="111"/>
        <v>0</v>
      </c>
      <c r="G162" s="153">
        <f t="shared" si="111"/>
        <v>0</v>
      </c>
      <c r="H162" s="153">
        <f t="shared" si="111"/>
        <v>0</v>
      </c>
      <c r="I162" s="153">
        <f t="shared" si="111"/>
        <v>0</v>
      </c>
      <c r="J162" s="153">
        <f t="shared" si="111"/>
        <v>0</v>
      </c>
      <c r="K162" s="153">
        <f t="shared" si="111"/>
        <v>0</v>
      </c>
      <c r="L162" s="153">
        <f t="shared" si="111"/>
        <v>0</v>
      </c>
      <c r="M162" s="153">
        <f t="shared" si="111"/>
        <v>0</v>
      </c>
      <c r="N162" s="153">
        <f t="shared" si="111"/>
        <v>0</v>
      </c>
      <c r="O162" s="153">
        <f>O157-O161</f>
        <v>0</v>
      </c>
      <c r="P162" s="153">
        <f t="shared" ref="P162:BI162" si="112">P157-P161</f>
        <v>0</v>
      </c>
      <c r="Q162" s="153">
        <f t="shared" si="112"/>
        <v>0</v>
      </c>
      <c r="R162" s="153">
        <f t="shared" si="112"/>
        <v>0</v>
      </c>
      <c r="S162" s="153">
        <f t="shared" si="112"/>
        <v>0</v>
      </c>
      <c r="T162" s="153">
        <f t="shared" si="112"/>
        <v>0</v>
      </c>
      <c r="U162" s="153">
        <f t="shared" si="112"/>
        <v>0</v>
      </c>
      <c r="V162" s="153">
        <f t="shared" si="112"/>
        <v>0</v>
      </c>
      <c r="W162" s="153">
        <f t="shared" si="112"/>
        <v>0</v>
      </c>
      <c r="X162" s="153">
        <f t="shared" si="112"/>
        <v>0</v>
      </c>
      <c r="Y162" s="153">
        <f t="shared" si="112"/>
        <v>0</v>
      </c>
      <c r="Z162" s="153">
        <f t="shared" si="112"/>
        <v>0</v>
      </c>
      <c r="AA162" s="153">
        <f t="shared" si="112"/>
        <v>0</v>
      </c>
      <c r="AB162" s="153">
        <f t="shared" si="112"/>
        <v>0</v>
      </c>
      <c r="AC162" s="153">
        <f t="shared" si="112"/>
        <v>0</v>
      </c>
      <c r="AD162" s="153">
        <f t="shared" si="112"/>
        <v>0</v>
      </c>
      <c r="AE162" s="153">
        <f t="shared" si="112"/>
        <v>0</v>
      </c>
      <c r="AF162" s="153">
        <f t="shared" si="112"/>
        <v>0</v>
      </c>
      <c r="AG162" s="153">
        <f t="shared" si="112"/>
        <v>0</v>
      </c>
      <c r="AH162" s="153">
        <f t="shared" si="112"/>
        <v>0</v>
      </c>
      <c r="AI162" s="153">
        <f t="shared" si="112"/>
        <v>0</v>
      </c>
      <c r="AJ162" s="153">
        <f t="shared" si="112"/>
        <v>0</v>
      </c>
      <c r="AK162" s="153">
        <f t="shared" si="112"/>
        <v>0</v>
      </c>
      <c r="AL162" s="153">
        <f t="shared" si="112"/>
        <v>0</v>
      </c>
      <c r="AM162" s="153">
        <f t="shared" si="112"/>
        <v>0</v>
      </c>
      <c r="AN162" s="153">
        <f t="shared" si="112"/>
        <v>0</v>
      </c>
      <c r="AO162" s="153">
        <f t="shared" si="112"/>
        <v>0</v>
      </c>
      <c r="AP162" s="153">
        <f t="shared" si="112"/>
        <v>0</v>
      </c>
      <c r="AQ162" s="153">
        <f t="shared" si="112"/>
        <v>0</v>
      </c>
      <c r="AR162" s="153">
        <f t="shared" si="112"/>
        <v>0</v>
      </c>
      <c r="AS162" s="153">
        <f t="shared" si="112"/>
        <v>0</v>
      </c>
      <c r="AT162" s="153">
        <f t="shared" si="112"/>
        <v>0</v>
      </c>
      <c r="AU162" s="153">
        <f t="shared" si="112"/>
        <v>0</v>
      </c>
      <c r="AV162" s="153">
        <f t="shared" si="112"/>
        <v>0</v>
      </c>
      <c r="AW162" s="153">
        <f t="shared" si="112"/>
        <v>0</v>
      </c>
      <c r="AX162" s="153">
        <f t="shared" si="112"/>
        <v>0</v>
      </c>
      <c r="AY162" s="153">
        <f t="shared" si="112"/>
        <v>0</v>
      </c>
      <c r="AZ162" s="153">
        <f t="shared" si="112"/>
        <v>0</v>
      </c>
      <c r="BA162" s="153">
        <f t="shared" si="112"/>
        <v>0</v>
      </c>
      <c r="BB162" s="153">
        <f t="shared" si="112"/>
        <v>0</v>
      </c>
      <c r="BC162" s="153">
        <f t="shared" si="112"/>
        <v>0</v>
      </c>
      <c r="BD162" s="153">
        <f t="shared" si="112"/>
        <v>0</v>
      </c>
      <c r="BE162" s="153">
        <f t="shared" si="112"/>
        <v>0</v>
      </c>
      <c r="BF162" s="153">
        <f t="shared" si="112"/>
        <v>0</v>
      </c>
      <c r="BG162" s="153">
        <f t="shared" si="112"/>
        <v>0</v>
      </c>
      <c r="BH162" s="153">
        <f t="shared" si="112"/>
        <v>0</v>
      </c>
      <c r="BI162" s="153">
        <f t="shared" si="112"/>
        <v>0</v>
      </c>
    </row>
    <row r="163" spans="4:61" x14ac:dyDescent="0.3">
      <c r="M163" s="4"/>
    </row>
    <row r="164" spans="4:61" x14ac:dyDescent="0.3">
      <c r="D164" s="49" t="s">
        <v>243</v>
      </c>
      <c r="E164" s="61">
        <f>E64-E140</f>
        <v>0</v>
      </c>
      <c r="F164" s="61">
        <f t="shared" ref="F164:BI164" si="113">F64-F140</f>
        <v>0</v>
      </c>
      <c r="G164" s="61">
        <f t="shared" si="113"/>
        <v>0</v>
      </c>
      <c r="H164" s="61">
        <f t="shared" si="113"/>
        <v>0</v>
      </c>
      <c r="I164" s="198">
        <f t="shared" si="113"/>
        <v>0</v>
      </c>
      <c r="J164" s="61">
        <f t="shared" si="113"/>
        <v>0</v>
      </c>
      <c r="K164" s="198">
        <f t="shared" si="113"/>
        <v>0</v>
      </c>
      <c r="L164" s="61">
        <f t="shared" si="113"/>
        <v>0</v>
      </c>
      <c r="M164" s="61">
        <f t="shared" si="113"/>
        <v>0</v>
      </c>
      <c r="N164" s="61">
        <f t="shared" si="113"/>
        <v>0</v>
      </c>
      <c r="O164" s="61">
        <f t="shared" si="113"/>
        <v>0</v>
      </c>
      <c r="P164" s="198">
        <f t="shared" si="113"/>
        <v>0</v>
      </c>
      <c r="Q164" s="61">
        <f t="shared" si="113"/>
        <v>0</v>
      </c>
      <c r="R164" s="61">
        <f t="shared" si="113"/>
        <v>0</v>
      </c>
      <c r="S164" s="61">
        <f t="shared" si="113"/>
        <v>0</v>
      </c>
      <c r="T164" s="61">
        <f t="shared" si="113"/>
        <v>0</v>
      </c>
      <c r="U164" s="61">
        <f t="shared" si="113"/>
        <v>0</v>
      </c>
      <c r="V164" s="61">
        <f t="shared" si="113"/>
        <v>0</v>
      </c>
      <c r="W164" s="61">
        <f t="shared" si="113"/>
        <v>0</v>
      </c>
      <c r="X164" s="61">
        <f t="shared" si="113"/>
        <v>0</v>
      </c>
      <c r="Y164" s="61">
        <f t="shared" si="113"/>
        <v>0</v>
      </c>
      <c r="Z164" s="61">
        <f t="shared" si="113"/>
        <v>0</v>
      </c>
      <c r="AA164" s="61">
        <f t="shared" si="113"/>
        <v>0</v>
      </c>
      <c r="AB164" s="61">
        <f t="shared" si="113"/>
        <v>0</v>
      </c>
      <c r="AC164" s="61">
        <f t="shared" si="113"/>
        <v>0</v>
      </c>
      <c r="AD164" s="61">
        <f t="shared" si="113"/>
        <v>0</v>
      </c>
      <c r="AE164" s="61">
        <f t="shared" si="113"/>
        <v>0</v>
      </c>
      <c r="AF164" s="61">
        <f t="shared" si="113"/>
        <v>0</v>
      </c>
      <c r="AG164" s="61">
        <f t="shared" si="113"/>
        <v>0</v>
      </c>
      <c r="AH164" s="61">
        <f t="shared" si="113"/>
        <v>0</v>
      </c>
      <c r="AI164" s="61">
        <f t="shared" si="113"/>
        <v>0</v>
      </c>
      <c r="AJ164" s="61">
        <f t="shared" si="113"/>
        <v>0</v>
      </c>
      <c r="AK164" s="61">
        <f t="shared" si="113"/>
        <v>0</v>
      </c>
      <c r="AL164" s="61">
        <f t="shared" si="113"/>
        <v>0</v>
      </c>
      <c r="AM164" s="61">
        <f t="shared" si="113"/>
        <v>0</v>
      </c>
      <c r="AN164" s="61">
        <f t="shared" si="113"/>
        <v>0</v>
      </c>
      <c r="AO164" s="61">
        <f t="shared" si="113"/>
        <v>0</v>
      </c>
      <c r="AP164" s="61">
        <f t="shared" si="113"/>
        <v>0</v>
      </c>
      <c r="AQ164" s="61">
        <f t="shared" si="113"/>
        <v>0</v>
      </c>
      <c r="AR164" s="61">
        <f t="shared" si="113"/>
        <v>0</v>
      </c>
      <c r="AS164" s="61">
        <f t="shared" si="113"/>
        <v>0</v>
      </c>
      <c r="AT164" s="61">
        <f t="shared" si="113"/>
        <v>0</v>
      </c>
      <c r="AU164" s="61">
        <f t="shared" si="113"/>
        <v>0</v>
      </c>
      <c r="AV164" s="61">
        <f t="shared" si="113"/>
        <v>0</v>
      </c>
      <c r="AW164" s="61">
        <f t="shared" si="113"/>
        <v>0</v>
      </c>
      <c r="AX164" s="61">
        <f t="shared" si="113"/>
        <v>0</v>
      </c>
      <c r="AY164" s="61">
        <f t="shared" si="113"/>
        <v>0</v>
      </c>
      <c r="AZ164" s="61">
        <f t="shared" si="113"/>
        <v>0</v>
      </c>
      <c r="BA164" s="61">
        <f t="shared" si="113"/>
        <v>0</v>
      </c>
      <c r="BB164" s="61">
        <f t="shared" si="113"/>
        <v>0</v>
      </c>
      <c r="BC164" s="61">
        <f t="shared" si="113"/>
        <v>0</v>
      </c>
      <c r="BD164" s="61">
        <f t="shared" si="113"/>
        <v>0</v>
      </c>
      <c r="BE164" s="61">
        <f t="shared" si="113"/>
        <v>0</v>
      </c>
      <c r="BF164" s="61">
        <f t="shared" si="113"/>
        <v>0</v>
      </c>
      <c r="BG164" s="61">
        <f t="shared" si="113"/>
        <v>0</v>
      </c>
      <c r="BH164" s="61">
        <f t="shared" si="113"/>
        <v>0</v>
      </c>
      <c r="BI164" s="61">
        <f t="shared" si="113"/>
        <v>0</v>
      </c>
    </row>
    <row r="166" spans="4:61" x14ac:dyDescent="0.3">
      <c r="D166" t="s">
        <v>605</v>
      </c>
      <c r="E166" s="4">
        <f>E5+E15+E27+E39+E43+E53</f>
        <v>0</v>
      </c>
      <c r="F166" s="4">
        <f t="shared" ref="F166:BI166" si="114">F5+F15+F27+F39+F43+F53</f>
        <v>0</v>
      </c>
      <c r="G166" s="4">
        <f t="shared" si="114"/>
        <v>0</v>
      </c>
      <c r="H166" s="4">
        <f t="shared" si="114"/>
        <v>0</v>
      </c>
      <c r="I166" s="4">
        <f t="shared" si="114"/>
        <v>0</v>
      </c>
      <c r="J166" s="4">
        <f t="shared" si="114"/>
        <v>0</v>
      </c>
      <c r="K166" s="4">
        <f t="shared" si="114"/>
        <v>0</v>
      </c>
      <c r="L166" s="4">
        <f t="shared" si="114"/>
        <v>0</v>
      </c>
      <c r="M166" s="4">
        <f t="shared" si="114"/>
        <v>0</v>
      </c>
      <c r="N166" s="4">
        <f t="shared" si="114"/>
        <v>0</v>
      </c>
      <c r="O166" s="4">
        <f t="shared" si="114"/>
        <v>0</v>
      </c>
      <c r="P166" s="4">
        <f t="shared" si="114"/>
        <v>0</v>
      </c>
      <c r="Q166" s="4">
        <f t="shared" si="114"/>
        <v>0</v>
      </c>
      <c r="R166" s="4">
        <f t="shared" si="114"/>
        <v>0</v>
      </c>
      <c r="S166" s="4">
        <f t="shared" si="114"/>
        <v>0</v>
      </c>
      <c r="T166" s="4">
        <f t="shared" si="114"/>
        <v>0</v>
      </c>
      <c r="U166" s="4">
        <f t="shared" si="114"/>
        <v>0</v>
      </c>
      <c r="V166" s="4">
        <f t="shared" si="114"/>
        <v>0</v>
      </c>
      <c r="W166" s="4">
        <f t="shared" si="114"/>
        <v>0</v>
      </c>
      <c r="X166" s="4">
        <f t="shared" si="114"/>
        <v>0</v>
      </c>
      <c r="Y166" s="4">
        <f t="shared" si="114"/>
        <v>0</v>
      </c>
      <c r="Z166" s="4">
        <f t="shared" si="114"/>
        <v>0</v>
      </c>
      <c r="AA166" s="4">
        <f t="shared" si="114"/>
        <v>0</v>
      </c>
      <c r="AB166" s="4">
        <f t="shared" si="114"/>
        <v>0</v>
      </c>
      <c r="AC166" s="4">
        <f t="shared" si="114"/>
        <v>0</v>
      </c>
      <c r="AD166" s="4">
        <f t="shared" si="114"/>
        <v>0</v>
      </c>
      <c r="AE166" s="4">
        <f t="shared" si="114"/>
        <v>0</v>
      </c>
      <c r="AF166" s="4">
        <f t="shared" si="114"/>
        <v>0</v>
      </c>
      <c r="AG166" s="4">
        <f t="shared" si="114"/>
        <v>0</v>
      </c>
      <c r="AH166" s="4">
        <f t="shared" si="114"/>
        <v>0</v>
      </c>
      <c r="AI166" s="4">
        <f t="shared" si="114"/>
        <v>0</v>
      </c>
      <c r="AJ166" s="4">
        <f t="shared" si="114"/>
        <v>0</v>
      </c>
      <c r="AK166" s="4">
        <f t="shared" si="114"/>
        <v>0</v>
      </c>
      <c r="AL166" s="4">
        <f t="shared" si="114"/>
        <v>0</v>
      </c>
      <c r="AM166" s="4">
        <f t="shared" si="114"/>
        <v>0</v>
      </c>
      <c r="AN166" s="4">
        <f t="shared" si="114"/>
        <v>0</v>
      </c>
      <c r="AO166" s="4">
        <f t="shared" si="114"/>
        <v>0</v>
      </c>
      <c r="AP166" s="4">
        <f t="shared" si="114"/>
        <v>0</v>
      </c>
      <c r="AQ166" s="4">
        <f t="shared" si="114"/>
        <v>0</v>
      </c>
      <c r="AR166" s="4">
        <f t="shared" si="114"/>
        <v>0</v>
      </c>
      <c r="AS166" s="4">
        <f t="shared" si="114"/>
        <v>0</v>
      </c>
      <c r="AT166" s="4">
        <f t="shared" si="114"/>
        <v>0</v>
      </c>
      <c r="AU166" s="4">
        <f t="shared" si="114"/>
        <v>0</v>
      </c>
      <c r="AV166" s="4">
        <f t="shared" si="114"/>
        <v>0</v>
      </c>
      <c r="AW166" s="4">
        <f t="shared" si="114"/>
        <v>0</v>
      </c>
      <c r="AX166" s="4">
        <f t="shared" si="114"/>
        <v>0</v>
      </c>
      <c r="AY166" s="4">
        <f t="shared" si="114"/>
        <v>0</v>
      </c>
      <c r="AZ166" s="4">
        <f t="shared" si="114"/>
        <v>0</v>
      </c>
      <c r="BA166" s="4">
        <f t="shared" si="114"/>
        <v>0</v>
      </c>
      <c r="BB166" s="4">
        <f t="shared" si="114"/>
        <v>0</v>
      </c>
      <c r="BC166" s="4">
        <f t="shared" si="114"/>
        <v>0</v>
      </c>
      <c r="BD166" s="4">
        <f t="shared" si="114"/>
        <v>0</v>
      </c>
      <c r="BE166" s="4">
        <f t="shared" si="114"/>
        <v>0</v>
      </c>
      <c r="BF166" s="4">
        <f t="shared" si="114"/>
        <v>0</v>
      </c>
      <c r="BG166" s="4">
        <f t="shared" si="114"/>
        <v>0</v>
      </c>
      <c r="BH166" s="4">
        <f t="shared" si="114"/>
        <v>0</v>
      </c>
      <c r="BI166" s="4">
        <f t="shared" si="114"/>
        <v>0</v>
      </c>
    </row>
    <row r="167" spans="4:61" x14ac:dyDescent="0.3">
      <c r="D167" t="s">
        <v>606</v>
      </c>
      <c r="E167" s="4">
        <f>E76+E82+E88+E99+E117+E121+E128</f>
        <v>0</v>
      </c>
      <c r="F167" s="4">
        <f t="shared" ref="F167:BI167" si="115">F76+F82+F88+F99+F117+F121+F128</f>
        <v>0</v>
      </c>
      <c r="G167" s="4">
        <f t="shared" si="115"/>
        <v>0</v>
      </c>
      <c r="H167" s="4">
        <f t="shared" si="115"/>
        <v>0</v>
      </c>
      <c r="I167" s="4">
        <f t="shared" si="115"/>
        <v>0</v>
      </c>
      <c r="J167" s="4">
        <f t="shared" si="115"/>
        <v>0</v>
      </c>
      <c r="K167" s="4">
        <f t="shared" si="115"/>
        <v>0</v>
      </c>
      <c r="L167" s="4">
        <f t="shared" si="115"/>
        <v>0</v>
      </c>
      <c r="M167" s="4">
        <f t="shared" si="115"/>
        <v>0</v>
      </c>
      <c r="N167" s="4">
        <f t="shared" si="115"/>
        <v>0</v>
      </c>
      <c r="O167" s="4">
        <f t="shared" si="115"/>
        <v>0</v>
      </c>
      <c r="P167" s="4">
        <f t="shared" si="115"/>
        <v>0</v>
      </c>
      <c r="Q167" s="4">
        <f t="shared" si="115"/>
        <v>0</v>
      </c>
      <c r="R167" s="4">
        <f t="shared" si="115"/>
        <v>0</v>
      </c>
      <c r="S167" s="4">
        <f t="shared" si="115"/>
        <v>0</v>
      </c>
      <c r="T167" s="4">
        <f t="shared" si="115"/>
        <v>0</v>
      </c>
      <c r="U167" s="4">
        <f t="shared" si="115"/>
        <v>0</v>
      </c>
      <c r="V167" s="4">
        <f t="shared" si="115"/>
        <v>0</v>
      </c>
      <c r="W167" s="4">
        <f t="shared" si="115"/>
        <v>0</v>
      </c>
      <c r="X167" s="4">
        <f t="shared" si="115"/>
        <v>0</v>
      </c>
      <c r="Y167" s="4">
        <f t="shared" si="115"/>
        <v>0</v>
      </c>
      <c r="Z167" s="4">
        <f t="shared" si="115"/>
        <v>0</v>
      </c>
      <c r="AA167" s="4">
        <f t="shared" si="115"/>
        <v>0</v>
      </c>
      <c r="AB167" s="4">
        <f t="shared" si="115"/>
        <v>0</v>
      </c>
      <c r="AC167" s="4">
        <f t="shared" si="115"/>
        <v>0</v>
      </c>
      <c r="AD167" s="4">
        <f t="shared" si="115"/>
        <v>0</v>
      </c>
      <c r="AE167" s="4">
        <f t="shared" si="115"/>
        <v>0</v>
      </c>
      <c r="AF167" s="4">
        <f t="shared" si="115"/>
        <v>0</v>
      </c>
      <c r="AG167" s="4">
        <f t="shared" si="115"/>
        <v>0</v>
      </c>
      <c r="AH167" s="4">
        <f t="shared" si="115"/>
        <v>0</v>
      </c>
      <c r="AI167" s="4">
        <f t="shared" si="115"/>
        <v>0</v>
      </c>
      <c r="AJ167" s="4">
        <f t="shared" si="115"/>
        <v>0</v>
      </c>
      <c r="AK167" s="4">
        <f t="shared" si="115"/>
        <v>0</v>
      </c>
      <c r="AL167" s="4">
        <f t="shared" si="115"/>
        <v>0</v>
      </c>
      <c r="AM167" s="4">
        <f t="shared" si="115"/>
        <v>0</v>
      </c>
      <c r="AN167" s="4">
        <f t="shared" si="115"/>
        <v>0</v>
      </c>
      <c r="AO167" s="4">
        <f t="shared" si="115"/>
        <v>0</v>
      </c>
      <c r="AP167" s="4">
        <f t="shared" si="115"/>
        <v>0</v>
      </c>
      <c r="AQ167" s="4">
        <f t="shared" si="115"/>
        <v>0</v>
      </c>
      <c r="AR167" s="4">
        <f t="shared" si="115"/>
        <v>0</v>
      </c>
      <c r="AS167" s="4">
        <f t="shared" si="115"/>
        <v>0</v>
      </c>
      <c r="AT167" s="4">
        <f t="shared" si="115"/>
        <v>0</v>
      </c>
      <c r="AU167" s="4">
        <f t="shared" si="115"/>
        <v>0</v>
      </c>
      <c r="AV167" s="4">
        <f t="shared" si="115"/>
        <v>0</v>
      </c>
      <c r="AW167" s="4">
        <f t="shared" si="115"/>
        <v>0</v>
      </c>
      <c r="AX167" s="4">
        <f t="shared" si="115"/>
        <v>0</v>
      </c>
      <c r="AY167" s="4">
        <f t="shared" si="115"/>
        <v>0</v>
      </c>
      <c r="AZ167" s="4">
        <f t="shared" si="115"/>
        <v>0</v>
      </c>
      <c r="BA167" s="4">
        <f t="shared" si="115"/>
        <v>0</v>
      </c>
      <c r="BB167" s="4">
        <f t="shared" si="115"/>
        <v>0</v>
      </c>
      <c r="BC167" s="4">
        <f t="shared" si="115"/>
        <v>0</v>
      </c>
      <c r="BD167" s="4">
        <f t="shared" si="115"/>
        <v>0</v>
      </c>
      <c r="BE167" s="4">
        <f t="shared" si="115"/>
        <v>0</v>
      </c>
      <c r="BF167" s="4">
        <f t="shared" si="115"/>
        <v>0</v>
      </c>
      <c r="BG167" s="4">
        <f t="shared" si="115"/>
        <v>0</v>
      </c>
      <c r="BH167" s="4">
        <f t="shared" si="115"/>
        <v>0</v>
      </c>
      <c r="BI167" s="4">
        <f t="shared" si="115"/>
        <v>0</v>
      </c>
    </row>
    <row r="169" spans="4:61" x14ac:dyDescent="0.3">
      <c r="L169" s="4"/>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F155" sqref="F155"/>
    </sheetView>
  </sheetViews>
  <sheetFormatPr baseColWidth="10" defaultRowHeight="14.4" x14ac:dyDescent="0.3"/>
  <cols>
    <col min="1" max="2" width="5.6640625" customWidth="1"/>
    <col min="3" max="3" width="9" customWidth="1"/>
    <col min="4" max="4" width="63.5546875" customWidth="1"/>
    <col min="5" max="5" width="23" customWidth="1"/>
  </cols>
  <sheetData>
    <row r="2" spans="1:5" ht="25.8" x14ac:dyDescent="0.5">
      <c r="A2" s="42" t="s">
        <v>199</v>
      </c>
      <c r="B2" s="7"/>
      <c r="C2" s="7"/>
      <c r="D2" s="7"/>
    </row>
    <row r="4" spans="1:5" ht="15" thickBot="1" x14ac:dyDescent="0.35"/>
    <row r="5" spans="1:5" ht="15" thickBot="1" x14ac:dyDescent="0.35">
      <c r="A5" t="s">
        <v>768</v>
      </c>
      <c r="D5" s="174" t="s">
        <v>27</v>
      </c>
    </row>
    <row r="7" spans="1:5" x14ac:dyDescent="0.3">
      <c r="E7" s="65" t="s">
        <v>205</v>
      </c>
    </row>
    <row r="8" spans="1:5" ht="21" x14ac:dyDescent="0.4">
      <c r="A8" s="92">
        <v>3</v>
      </c>
      <c r="B8" s="92"/>
      <c r="C8" s="92"/>
      <c r="D8" s="92" t="s">
        <v>60</v>
      </c>
      <c r="E8" s="171">
        <f>HLOOKUP(D5,'4.1 Comptes 2020 natures'!$E$3:$BE$158,2,0)</f>
        <v>11757343.74</v>
      </c>
    </row>
    <row r="9" spans="1:5" x14ac:dyDescent="0.3">
      <c r="A9" s="94"/>
      <c r="B9" s="94">
        <v>30</v>
      </c>
      <c r="C9" s="94"/>
      <c r="D9" s="94" t="s">
        <v>61</v>
      </c>
      <c r="E9" s="95">
        <f>HLOOKUP($D$5,'4.1 Comptes 2020 natures'!$E$3:$BE$158,3,0)</f>
        <v>2126563.1999999997</v>
      </c>
    </row>
    <row r="10" spans="1:5" x14ac:dyDescent="0.3">
      <c r="C10">
        <v>300</v>
      </c>
      <c r="D10" t="s">
        <v>80</v>
      </c>
      <c r="E10" s="89">
        <f>HLOOKUP($D$5,'4.1 Comptes 2020 natures'!$E$3:$BE$158,4,0)</f>
        <v>94890.6</v>
      </c>
    </row>
    <row r="11" spans="1:5" x14ac:dyDescent="0.3">
      <c r="C11">
        <v>301</v>
      </c>
      <c r="D11" t="s">
        <v>81</v>
      </c>
      <c r="E11" s="89">
        <f>HLOOKUP($D$5,'4.1 Comptes 2020 natures'!$E$3:$BE$158,5,0)</f>
        <v>1693877.5</v>
      </c>
    </row>
    <row r="12" spans="1:5" x14ac:dyDescent="0.3">
      <c r="C12">
        <v>302</v>
      </c>
      <c r="D12" t="s">
        <v>82</v>
      </c>
      <c r="E12" s="89">
        <f>HLOOKUP($D$5,'4.1 Comptes 2020 natures'!$E$3:$BE$158,6,0)</f>
        <v>0</v>
      </c>
    </row>
    <row r="13" spans="1:5" x14ac:dyDescent="0.3">
      <c r="C13">
        <v>303</v>
      </c>
      <c r="D13" t="s">
        <v>83</v>
      </c>
      <c r="E13" s="89">
        <f>HLOOKUP($D$5,'4.1 Comptes 2020 natures'!$E$3:$BE$158,7,0)</f>
        <v>0</v>
      </c>
    </row>
    <row r="14" spans="1:5" x14ac:dyDescent="0.3">
      <c r="C14">
        <v>304</v>
      </c>
      <c r="D14" t="s">
        <v>596</v>
      </c>
      <c r="E14" s="89">
        <f>HLOOKUP($D$5,'4.1 Comptes 2020 natures'!$E$3:$BE$158,8,0)</f>
        <v>0</v>
      </c>
    </row>
    <row r="15" spans="1:5" x14ac:dyDescent="0.3">
      <c r="C15">
        <v>305</v>
      </c>
      <c r="D15" t="s">
        <v>84</v>
      </c>
      <c r="E15" s="89">
        <f>HLOOKUP($D$5,'4.1 Comptes 2020 natures'!$E$3:$BE$158,9,0)</f>
        <v>321191.8</v>
      </c>
    </row>
    <row r="16" spans="1:5" x14ac:dyDescent="0.3">
      <c r="C16">
        <v>306</v>
      </c>
      <c r="D16" t="s">
        <v>85</v>
      </c>
      <c r="E16" s="89">
        <f>HLOOKUP($D$5,'4.1 Comptes 2020 natures'!$E$3:$BE$158,10,0)</f>
        <v>0</v>
      </c>
    </row>
    <row r="17" spans="2:5" x14ac:dyDescent="0.3">
      <c r="C17">
        <v>309</v>
      </c>
      <c r="D17" t="s">
        <v>86</v>
      </c>
      <c r="E17" s="89">
        <f>HLOOKUP($D$5,'4.1 Comptes 2020 natures'!$E$3:$BE$158,11,0)</f>
        <v>16603.3</v>
      </c>
    </row>
    <row r="18" spans="2:5" x14ac:dyDescent="0.3">
      <c r="E18" s="4"/>
    </row>
    <row r="19" spans="2:5" x14ac:dyDescent="0.3">
      <c r="B19" s="94">
        <v>31</v>
      </c>
      <c r="C19" s="94"/>
      <c r="D19" s="94" t="s">
        <v>87</v>
      </c>
      <c r="E19" s="95">
        <f>SUM(E20:E29)</f>
        <v>1803554.98</v>
      </c>
    </row>
    <row r="20" spans="2:5" x14ac:dyDescent="0.3">
      <c r="C20">
        <v>310</v>
      </c>
      <c r="D20" t="s">
        <v>88</v>
      </c>
      <c r="E20" s="89">
        <f>HLOOKUP($D$5,'4.1 Comptes 2020 natures'!$E$3:$BE$158,14,0)</f>
        <v>238295.07</v>
      </c>
    </row>
    <row r="21" spans="2:5" x14ac:dyDescent="0.3">
      <c r="C21">
        <v>311</v>
      </c>
      <c r="D21" t="s">
        <v>462</v>
      </c>
      <c r="E21" s="89">
        <f>HLOOKUP($D$5,'4.1 Comptes 2020 natures'!$E$3:$BE$158,15,0)</f>
        <v>65770.399999999994</v>
      </c>
    </row>
    <row r="22" spans="2:5" x14ac:dyDescent="0.3">
      <c r="C22">
        <v>312</v>
      </c>
      <c r="D22" t="s">
        <v>90</v>
      </c>
      <c r="E22" s="89">
        <f>HLOOKUP($D$5,'4.1 Comptes 2020 natures'!$E$3:$BE$158,16,0)</f>
        <v>256606.73</v>
      </c>
    </row>
    <row r="23" spans="2:5" x14ac:dyDescent="0.3">
      <c r="C23">
        <v>313</v>
      </c>
      <c r="D23" t="s">
        <v>91</v>
      </c>
      <c r="E23" s="89">
        <f>HLOOKUP($D$5,'4.1 Comptes 2020 natures'!$E$3:$BE$158,17,0)</f>
        <v>579434.35</v>
      </c>
    </row>
    <row r="24" spans="2:5" x14ac:dyDescent="0.3">
      <c r="C24">
        <v>314</v>
      </c>
      <c r="D24" t="s">
        <v>92</v>
      </c>
      <c r="E24" s="89">
        <f>HLOOKUP($D$5,'4.1 Comptes 2020 natures'!$E$3:$BE$158,18,0)</f>
        <v>235417.63</v>
      </c>
    </row>
    <row r="25" spans="2:5" x14ac:dyDescent="0.3">
      <c r="C25">
        <v>315</v>
      </c>
      <c r="D25" t="s">
        <v>93</v>
      </c>
      <c r="E25" s="89">
        <f>HLOOKUP($D$5,'4.1 Comptes 2020 natures'!$E$3:$BE$158,19,0)</f>
        <v>125111.69</v>
      </c>
    </row>
    <row r="26" spans="2:5" x14ac:dyDescent="0.3">
      <c r="C26">
        <v>316</v>
      </c>
      <c r="D26" t="s">
        <v>94</v>
      </c>
      <c r="E26" s="89">
        <f>HLOOKUP($D$5,'4.1 Comptes 2020 natures'!$E$3:$BE$158,20,0)</f>
        <v>113662.35</v>
      </c>
    </row>
    <row r="27" spans="2:5" x14ac:dyDescent="0.3">
      <c r="C27">
        <v>317</v>
      </c>
      <c r="D27" t="s">
        <v>95</v>
      </c>
      <c r="E27" s="89">
        <f>HLOOKUP($D$5,'4.1 Comptes 2020 natures'!$E$3:$BE$158,21,0)</f>
        <v>17203.55</v>
      </c>
    </row>
    <row r="28" spans="2:5" x14ac:dyDescent="0.3">
      <c r="C28">
        <v>318</v>
      </c>
      <c r="D28" t="s">
        <v>96</v>
      </c>
      <c r="E28" s="89">
        <f>HLOOKUP($D$5,'4.1 Comptes 2020 natures'!$E$3:$BE$158,22,0)</f>
        <v>165098.10999999999</v>
      </c>
    </row>
    <row r="29" spans="2:5" x14ac:dyDescent="0.3">
      <c r="C29">
        <v>319</v>
      </c>
      <c r="D29" t="s">
        <v>97</v>
      </c>
      <c r="E29" s="89">
        <f>HLOOKUP($D$5,'4.1 Comptes 2020 natures'!$E$3:$BE$158,23,0)</f>
        <v>6955.1</v>
      </c>
    </row>
    <row r="30" spans="2:5" x14ac:dyDescent="0.3">
      <c r="E30" s="4"/>
    </row>
    <row r="31" spans="2:5" x14ac:dyDescent="0.3">
      <c r="B31" s="94">
        <v>33</v>
      </c>
      <c r="C31" s="94"/>
      <c r="D31" s="94" t="s">
        <v>98</v>
      </c>
      <c r="E31" s="95">
        <f>SUM(E32:E33)</f>
        <v>954867.77</v>
      </c>
    </row>
    <row r="32" spans="2:5" x14ac:dyDescent="0.3">
      <c r="C32">
        <v>330</v>
      </c>
      <c r="D32" t="s">
        <v>100</v>
      </c>
      <c r="E32" s="89">
        <f>HLOOKUP($D$5,'4.1 Comptes 2020 natures'!$E$3:$BE$158,26,0)</f>
        <v>900538.02</v>
      </c>
    </row>
    <row r="33" spans="2:5" x14ac:dyDescent="0.3">
      <c r="C33">
        <v>332</v>
      </c>
      <c r="D33" t="s">
        <v>99</v>
      </c>
      <c r="E33" s="89">
        <f>HLOOKUP($D$5,'4.1 Comptes 2020 natures'!$E$3:$BE$158,27,0)</f>
        <v>54329.75</v>
      </c>
    </row>
    <row r="34" spans="2:5" x14ac:dyDescent="0.3">
      <c r="E34" s="4"/>
    </row>
    <row r="35" spans="2:5" x14ac:dyDescent="0.3">
      <c r="B35" s="94">
        <v>34</v>
      </c>
      <c r="C35" s="94"/>
      <c r="D35" s="94" t="s">
        <v>101</v>
      </c>
      <c r="E35" s="95">
        <f>SUM(E36:E41)</f>
        <v>236226.93</v>
      </c>
    </row>
    <row r="36" spans="2:5" x14ac:dyDescent="0.3">
      <c r="C36">
        <v>340</v>
      </c>
      <c r="D36" t="s">
        <v>102</v>
      </c>
      <c r="E36" s="89">
        <f>HLOOKUP($D$5,'4.1 Comptes 2020 natures'!$E$3:$BE$158,30,0)</f>
        <v>223986.68</v>
      </c>
    </row>
    <row r="37" spans="2:5" x14ac:dyDescent="0.3">
      <c r="C37">
        <v>341</v>
      </c>
      <c r="D37" t="s">
        <v>103</v>
      </c>
      <c r="E37" s="89">
        <f>HLOOKUP($D$5,'4.1 Comptes 2020 natures'!$E$3:$BE$158,31,0)</f>
        <v>0</v>
      </c>
    </row>
    <row r="38" spans="2:5" x14ac:dyDescent="0.3">
      <c r="C38">
        <v>342</v>
      </c>
      <c r="D38" t="s">
        <v>104</v>
      </c>
      <c r="E38" s="89">
        <f>HLOOKUP($D$5,'4.1 Comptes 2020 natures'!$E$3:$BE$158,32,0)</f>
        <v>0</v>
      </c>
    </row>
    <row r="39" spans="2:5" x14ac:dyDescent="0.3">
      <c r="C39">
        <v>343</v>
      </c>
      <c r="D39" t="s">
        <v>105</v>
      </c>
      <c r="E39" s="89">
        <f>HLOOKUP($D$5,'4.1 Comptes 2020 natures'!$E$3:$BE$158,33,0)</f>
        <v>12231.25</v>
      </c>
    </row>
    <row r="40" spans="2:5" x14ac:dyDescent="0.3">
      <c r="C40">
        <v>344</v>
      </c>
      <c r="D40" t="s">
        <v>106</v>
      </c>
      <c r="E40" s="89">
        <f>HLOOKUP($D$5,'4.1 Comptes 2020 natures'!$E$3:$BE$158,34,0)</f>
        <v>0</v>
      </c>
    </row>
    <row r="41" spans="2:5" x14ac:dyDescent="0.3">
      <c r="C41">
        <v>349</v>
      </c>
      <c r="D41" t="s">
        <v>107</v>
      </c>
      <c r="E41" s="89">
        <f>HLOOKUP($D$5,'4.1 Comptes 2020 natures'!$E$3:$BE$158,35,0)</f>
        <v>9</v>
      </c>
    </row>
    <row r="42" spans="2:5" x14ac:dyDescent="0.3">
      <c r="E42" s="4"/>
    </row>
    <row r="43" spans="2:5" x14ac:dyDescent="0.3">
      <c r="B43" s="94">
        <v>35</v>
      </c>
      <c r="C43" s="94"/>
      <c r="D43" s="94" t="s">
        <v>109</v>
      </c>
      <c r="E43" s="95">
        <f>SUM(E44:E45)</f>
        <v>0</v>
      </c>
    </row>
    <row r="44" spans="2:5" x14ac:dyDescent="0.3">
      <c r="C44">
        <v>350</v>
      </c>
      <c r="D44" t="s">
        <v>109</v>
      </c>
      <c r="E44" s="89">
        <f>HLOOKUP($D$5,'4.1 Comptes 2020 natures'!$E$3:$BE$158,38,0)</f>
        <v>0</v>
      </c>
    </row>
    <row r="45" spans="2:5" x14ac:dyDescent="0.3">
      <c r="C45">
        <v>351</v>
      </c>
      <c r="D45" t="s">
        <v>108</v>
      </c>
      <c r="E45" s="89">
        <f>HLOOKUP($D$5,'4.1 Comptes 2020 natures'!$E$3:$BE$158,39,0)</f>
        <v>0</v>
      </c>
    </row>
    <row r="46" spans="2:5" x14ac:dyDescent="0.3">
      <c r="E46" s="4"/>
    </row>
    <row r="47" spans="2:5" x14ac:dyDescent="0.3">
      <c r="B47" s="94">
        <v>36</v>
      </c>
      <c r="C47" s="94"/>
      <c r="D47" s="94" t="s">
        <v>110</v>
      </c>
      <c r="E47" s="95">
        <f>SUM(E48:E55)</f>
        <v>6100130.71</v>
      </c>
    </row>
    <row r="48" spans="2:5" x14ac:dyDescent="0.3">
      <c r="C48">
        <v>360</v>
      </c>
      <c r="D48" t="s">
        <v>111</v>
      </c>
      <c r="E48" s="89">
        <f>HLOOKUP($D$5,'4.1 Comptes 2020 natures'!$E$3:$BE$158,42,0)</f>
        <v>7220</v>
      </c>
    </row>
    <row r="49" spans="2:5" x14ac:dyDescent="0.3">
      <c r="C49">
        <v>361</v>
      </c>
      <c r="D49" t="s">
        <v>112</v>
      </c>
      <c r="E49" s="89">
        <f>HLOOKUP($D$5,'4.1 Comptes 2020 natures'!$E$3:$BE$158,43,0)</f>
        <v>4387628.09</v>
      </c>
    </row>
    <row r="50" spans="2:5" x14ac:dyDescent="0.3">
      <c r="C50">
        <v>362</v>
      </c>
      <c r="D50" t="s">
        <v>113</v>
      </c>
      <c r="E50" s="89">
        <f>HLOOKUP($D$5,'4.1 Comptes 2020 natures'!$E$3:$BE$158,44,0)</f>
        <v>0</v>
      </c>
    </row>
    <row r="51" spans="2:5" x14ac:dyDescent="0.3">
      <c r="C51">
        <v>363</v>
      </c>
      <c r="D51" t="s">
        <v>114</v>
      </c>
      <c r="E51" s="89">
        <f>HLOOKUP($D$5,'4.1 Comptes 2020 natures'!$E$3:$BE$158,45,0)</f>
        <v>1705282.62</v>
      </c>
    </row>
    <row r="52" spans="2:5" x14ac:dyDescent="0.3">
      <c r="C52">
        <v>364</v>
      </c>
      <c r="D52" t="s">
        <v>115</v>
      </c>
      <c r="E52" s="89">
        <f>HLOOKUP($D$5,'4.1 Comptes 2020 natures'!$E$3:$BE$158,46,0)</f>
        <v>0</v>
      </c>
    </row>
    <row r="53" spans="2:5" x14ac:dyDescent="0.3">
      <c r="C53">
        <v>365</v>
      </c>
      <c r="D53" t="s">
        <v>116</v>
      </c>
      <c r="E53" s="89">
        <f>HLOOKUP($D$5,'4.1 Comptes 2020 natures'!$E$3:$BE$158,47,0)</f>
        <v>0</v>
      </c>
    </row>
    <row r="54" spans="2:5" x14ac:dyDescent="0.3">
      <c r="C54">
        <v>366</v>
      </c>
      <c r="D54" t="s">
        <v>117</v>
      </c>
      <c r="E54" s="89">
        <f>HLOOKUP($D$5,'4.1 Comptes 2020 natures'!$E$3:$BE$158,48,0)</f>
        <v>0</v>
      </c>
    </row>
    <row r="55" spans="2:5" x14ac:dyDescent="0.3">
      <c r="C55">
        <v>369</v>
      </c>
      <c r="D55" t="s">
        <v>118</v>
      </c>
      <c r="E55" s="89">
        <f>HLOOKUP($D$5,'4.1 Comptes 2020 natures'!$E$3:$BE$158,49,0)</f>
        <v>0</v>
      </c>
    </row>
    <row r="56" spans="2:5" x14ac:dyDescent="0.3">
      <c r="E56" s="4"/>
    </row>
    <row r="57" spans="2:5" x14ac:dyDescent="0.3">
      <c r="B57" s="94">
        <v>37</v>
      </c>
      <c r="C57" s="94"/>
      <c r="D57" s="94" t="s">
        <v>119</v>
      </c>
      <c r="E57" s="95">
        <f>SUM(E58)</f>
        <v>0</v>
      </c>
    </row>
    <row r="58" spans="2:5" x14ac:dyDescent="0.3">
      <c r="C58">
        <v>370</v>
      </c>
      <c r="D58" t="s">
        <v>120</v>
      </c>
      <c r="E58" s="89">
        <f>HLOOKUP($D$5,'4.1 Comptes 2020 natures'!$E$3:$BE$158,52,0)</f>
        <v>0</v>
      </c>
    </row>
    <row r="59" spans="2:5" x14ac:dyDescent="0.3">
      <c r="E59" s="4"/>
    </row>
    <row r="60" spans="2:5" x14ac:dyDescent="0.3">
      <c r="B60" s="94">
        <v>38</v>
      </c>
      <c r="C60" s="94"/>
      <c r="D60" s="94" t="s">
        <v>121</v>
      </c>
      <c r="E60" s="95">
        <f>SUM(E61:E66)</f>
        <v>250000</v>
      </c>
    </row>
    <row r="61" spans="2:5" x14ac:dyDescent="0.3">
      <c r="C61">
        <v>380</v>
      </c>
      <c r="D61" t="s">
        <v>122</v>
      </c>
      <c r="E61" s="89">
        <f>HLOOKUP($D$5,'4.1 Comptes 2020 natures'!$E$3:$BE$158,55,0)</f>
        <v>0</v>
      </c>
    </row>
    <row r="62" spans="2:5" x14ac:dyDescent="0.3">
      <c r="C62">
        <v>381</v>
      </c>
      <c r="D62" t="s">
        <v>123</v>
      </c>
      <c r="E62" s="89">
        <f>HLOOKUP($D$5,'4.1 Comptes 2020 natures'!$E$3:$BE$158,56,0)</f>
        <v>0</v>
      </c>
    </row>
    <row r="63" spans="2:5" x14ac:dyDescent="0.3">
      <c r="C63">
        <v>384</v>
      </c>
      <c r="D63" t="s">
        <v>124</v>
      </c>
      <c r="E63" s="89">
        <f>HLOOKUP($D$5,'4.1 Comptes 2020 natures'!$E$3:$BE$158,57,0)</f>
        <v>0</v>
      </c>
    </row>
    <row r="64" spans="2:5" x14ac:dyDescent="0.3">
      <c r="C64">
        <v>385</v>
      </c>
      <c r="D64" t="s">
        <v>125</v>
      </c>
      <c r="E64" s="89">
        <f>HLOOKUP($D$5,'4.1 Comptes 2020 natures'!$E$3:$BE$158,58,0)</f>
        <v>0</v>
      </c>
    </row>
    <row r="65" spans="1:5" x14ac:dyDescent="0.3">
      <c r="C65">
        <v>386</v>
      </c>
      <c r="D65" t="s">
        <v>126</v>
      </c>
      <c r="E65" s="89">
        <f>HLOOKUP($D$5,'4.1 Comptes 2020 natures'!$E$3:$BE$158,59,0)</f>
        <v>0</v>
      </c>
    </row>
    <row r="66" spans="1:5" x14ac:dyDescent="0.3">
      <c r="C66">
        <v>389</v>
      </c>
      <c r="D66" t="s">
        <v>297</v>
      </c>
      <c r="E66" s="89">
        <f>HLOOKUP($D$5,'4.1 Comptes 2020 natures'!$E$3:$BE$158,60,0)</f>
        <v>250000</v>
      </c>
    </row>
    <row r="67" spans="1:5" x14ac:dyDescent="0.3">
      <c r="E67" s="4"/>
    </row>
    <row r="68" spans="1:5" x14ac:dyDescent="0.3">
      <c r="B68" s="94">
        <v>39</v>
      </c>
      <c r="C68" s="94"/>
      <c r="D68" s="94" t="s">
        <v>128</v>
      </c>
      <c r="E68" s="95">
        <f>SUM(E69:E76)</f>
        <v>286000.15000000002</v>
      </c>
    </row>
    <row r="69" spans="1:5" x14ac:dyDescent="0.3">
      <c r="C69">
        <v>390</v>
      </c>
      <c r="D69" t="s">
        <v>129</v>
      </c>
      <c r="E69" s="89">
        <f>HLOOKUP($D$5,'4.1 Comptes 2020 natures'!$E$3:$BE$158,63,0)</f>
        <v>13000</v>
      </c>
    </row>
    <row r="70" spans="1:5" x14ac:dyDescent="0.3">
      <c r="C70">
        <v>391</v>
      </c>
      <c r="D70" t="s">
        <v>130</v>
      </c>
      <c r="E70" s="89">
        <f>HLOOKUP($D$5,'4.1 Comptes 2020 natures'!$E$3:$BE$158,64,0)</f>
        <v>88799</v>
      </c>
    </row>
    <row r="71" spans="1:5" x14ac:dyDescent="0.3">
      <c r="C71">
        <v>392</v>
      </c>
      <c r="D71" t="s">
        <v>131</v>
      </c>
      <c r="E71" s="89">
        <f>HLOOKUP($D$5,'4.1 Comptes 2020 natures'!$E$3:$BE$158,65,0)</f>
        <v>0</v>
      </c>
    </row>
    <row r="72" spans="1:5" x14ac:dyDescent="0.3">
      <c r="C72">
        <v>393</v>
      </c>
      <c r="D72" t="s">
        <v>132</v>
      </c>
      <c r="E72" s="89">
        <f>HLOOKUP($D$5,'4.1 Comptes 2020 natures'!$E$3:$BE$158,66,0)</f>
        <v>4000</v>
      </c>
    </row>
    <row r="73" spans="1:5" x14ac:dyDescent="0.3">
      <c r="C73">
        <v>394</v>
      </c>
      <c r="D73" t="s">
        <v>133</v>
      </c>
      <c r="E73" s="89">
        <f>HLOOKUP($D$5,'4.1 Comptes 2020 natures'!$E$3:$BE$158,67,0)</f>
        <v>174801.15</v>
      </c>
    </row>
    <row r="74" spans="1:5" x14ac:dyDescent="0.3">
      <c r="C74">
        <v>395</v>
      </c>
      <c r="D74" t="s">
        <v>134</v>
      </c>
      <c r="E74" s="89">
        <f>HLOOKUP($D$5,'4.1 Comptes 2020 natures'!$E$3:$BE$158,68,0)</f>
        <v>0</v>
      </c>
    </row>
    <row r="75" spans="1:5" x14ac:dyDescent="0.3">
      <c r="C75">
        <v>398</v>
      </c>
      <c r="D75" t="s">
        <v>135</v>
      </c>
      <c r="E75" s="89">
        <f>HLOOKUP($D$5,'4.1 Comptes 2020 natures'!$E$3:$BE$158,69,0)</f>
        <v>0</v>
      </c>
    </row>
    <row r="76" spans="1:5" x14ac:dyDescent="0.3">
      <c r="C76">
        <v>399</v>
      </c>
      <c r="D76" t="s">
        <v>136</v>
      </c>
      <c r="E76" s="89">
        <f>HLOOKUP($D$5,'4.1 Comptes 2020 natures'!$E$3:$BE$158,70,0)</f>
        <v>5400</v>
      </c>
    </row>
    <row r="77" spans="1:5" x14ac:dyDescent="0.3">
      <c r="E77" s="4"/>
    </row>
    <row r="78" spans="1:5" x14ac:dyDescent="0.3">
      <c r="E78" s="4"/>
    </row>
    <row r="79" spans="1:5" ht="21" x14ac:dyDescent="0.4">
      <c r="A79" s="98">
        <v>4</v>
      </c>
      <c r="B79" s="98"/>
      <c r="C79" s="98"/>
      <c r="D79" s="98" t="s">
        <v>137</v>
      </c>
      <c r="E79" s="172">
        <f>HLOOKUP($D$5,'4.1 Comptes 2020 natures'!$E$3:$BE$158,73,0)</f>
        <v>12122055.15</v>
      </c>
    </row>
    <row r="80" spans="1:5" x14ac:dyDescent="0.3">
      <c r="A80" s="7"/>
      <c r="B80" s="96">
        <v>40</v>
      </c>
      <c r="C80" s="96"/>
      <c r="D80" s="96" t="s">
        <v>79</v>
      </c>
      <c r="E80" s="91">
        <f>SUM(E81:E84)</f>
        <v>7697736.75</v>
      </c>
    </row>
    <row r="81" spans="2:5" x14ac:dyDescent="0.3">
      <c r="C81">
        <v>400</v>
      </c>
      <c r="D81" t="s">
        <v>138</v>
      </c>
      <c r="E81" s="89">
        <f>HLOOKUP($D$5,'4.1 Comptes 2020 natures'!$E$3:$BE$158,75,0)</f>
        <v>6519291.7999999998</v>
      </c>
    </row>
    <row r="82" spans="2:5" x14ac:dyDescent="0.3">
      <c r="C82">
        <v>401</v>
      </c>
      <c r="D82" t="s">
        <v>139</v>
      </c>
      <c r="E82" s="89">
        <f>HLOOKUP($D$5,'4.1 Comptes 2020 natures'!$E$3:$BE$158,76,0)</f>
        <v>154646.65</v>
      </c>
    </row>
    <row r="83" spans="2:5" x14ac:dyDescent="0.3">
      <c r="C83">
        <v>402</v>
      </c>
      <c r="D83" t="s">
        <v>140</v>
      </c>
      <c r="E83" s="89">
        <f>HLOOKUP($D$5,'4.1 Comptes 2020 natures'!$E$3:$BE$158,77,0)</f>
        <v>981292.05</v>
      </c>
    </row>
    <row r="84" spans="2:5" x14ac:dyDescent="0.3">
      <c r="C84">
        <v>403</v>
      </c>
      <c r="D84" t="s">
        <v>141</v>
      </c>
      <c r="E84" s="89">
        <f>HLOOKUP($D$5,'4.1 Comptes 2020 natures'!$E$3:$BE$158,78,0)</f>
        <v>42506.25</v>
      </c>
    </row>
    <row r="85" spans="2:5" x14ac:dyDescent="0.3">
      <c r="E85" s="4"/>
    </row>
    <row r="86" spans="2:5" x14ac:dyDescent="0.3">
      <c r="B86" s="96">
        <v>41</v>
      </c>
      <c r="C86" s="96"/>
      <c r="D86" s="96" t="s">
        <v>142</v>
      </c>
      <c r="E86" s="91">
        <f>SUM(E87:E90)</f>
        <v>7233</v>
      </c>
    </row>
    <row r="87" spans="2:5" x14ac:dyDescent="0.3">
      <c r="C87">
        <v>410</v>
      </c>
      <c r="D87" t="s">
        <v>143</v>
      </c>
      <c r="E87" s="89">
        <f>HLOOKUP($D$5,'4.1 Comptes 2020 natures'!$E$3:$BE$158,81,0)</f>
        <v>0</v>
      </c>
    </row>
    <row r="88" spans="2:5" x14ac:dyDescent="0.3">
      <c r="C88">
        <v>411</v>
      </c>
      <c r="D88" t="s">
        <v>144</v>
      </c>
      <c r="E88" s="89">
        <f>HLOOKUP($D$5,'4.1 Comptes 2020 natures'!$E$3:$BE$158,82,0)</f>
        <v>0</v>
      </c>
    </row>
    <row r="89" spans="2:5" x14ac:dyDescent="0.3">
      <c r="C89">
        <v>412</v>
      </c>
      <c r="D89" t="s">
        <v>145</v>
      </c>
      <c r="E89" s="89">
        <f>HLOOKUP($D$5,'4.1 Comptes 2020 natures'!$E$3:$BE$158,83,0)</f>
        <v>7233</v>
      </c>
    </row>
    <row r="90" spans="2:5" x14ac:dyDescent="0.3">
      <c r="C90">
        <v>413</v>
      </c>
      <c r="D90" t="s">
        <v>146</v>
      </c>
      <c r="E90" s="89">
        <f>HLOOKUP($D$5,'4.1 Comptes 2020 natures'!$E$3:$BE$158,84,0)</f>
        <v>0</v>
      </c>
    </row>
    <row r="91" spans="2:5" x14ac:dyDescent="0.3">
      <c r="E91" s="4"/>
    </row>
    <row r="92" spans="2:5" x14ac:dyDescent="0.3">
      <c r="B92" s="96">
        <v>42</v>
      </c>
      <c r="C92" s="96"/>
      <c r="D92" s="96" t="s">
        <v>147</v>
      </c>
      <c r="E92" s="91">
        <f>SUM(E93:E101)</f>
        <v>1568564.23</v>
      </c>
    </row>
    <row r="93" spans="2:5" x14ac:dyDescent="0.3">
      <c r="C93">
        <v>420</v>
      </c>
      <c r="D93" t="s">
        <v>148</v>
      </c>
      <c r="E93" s="89">
        <f>HLOOKUP($D$5,'4.1 Comptes 2020 natures'!$E$3:$BE$158,87,0)</f>
        <v>113300.6</v>
      </c>
    </row>
    <row r="94" spans="2:5" x14ac:dyDescent="0.3">
      <c r="C94">
        <v>421</v>
      </c>
      <c r="D94" t="s">
        <v>149</v>
      </c>
      <c r="E94" s="89">
        <f>HLOOKUP($D$5,'4.1 Comptes 2020 natures'!$E$3:$BE$158,88,0)</f>
        <v>40907.199999999997</v>
      </c>
    </row>
    <row r="95" spans="2:5" x14ac:dyDescent="0.3">
      <c r="C95">
        <v>422</v>
      </c>
      <c r="D95" t="s">
        <v>150</v>
      </c>
      <c r="E95" s="89">
        <f>HLOOKUP($D$5,'4.1 Comptes 2020 natures'!$E$3:$BE$158,89,0)</f>
        <v>0</v>
      </c>
    </row>
    <row r="96" spans="2:5" x14ac:dyDescent="0.3">
      <c r="C96">
        <v>423</v>
      </c>
      <c r="D96" t="s">
        <v>151</v>
      </c>
      <c r="E96" s="89">
        <f>HLOOKUP($D$5,'4.1 Comptes 2020 natures'!$E$3:$BE$158,90,0)</f>
        <v>9000</v>
      </c>
    </row>
    <row r="97" spans="2:5" x14ac:dyDescent="0.3">
      <c r="C97">
        <v>424</v>
      </c>
      <c r="D97" t="s">
        <v>152</v>
      </c>
      <c r="E97" s="89">
        <f>HLOOKUP($D$5,'4.1 Comptes 2020 natures'!$E$3:$BE$158,91,0)</f>
        <v>1342279.7</v>
      </c>
    </row>
    <row r="98" spans="2:5" x14ac:dyDescent="0.3">
      <c r="C98">
        <v>425</v>
      </c>
      <c r="D98" t="s">
        <v>153</v>
      </c>
      <c r="E98" s="89">
        <f>HLOOKUP($D$5,'4.1 Comptes 2020 natures'!$E$3:$BE$158,92,0)</f>
        <v>27500.44</v>
      </c>
    </row>
    <row r="99" spans="2:5" x14ac:dyDescent="0.3">
      <c r="C99">
        <v>426</v>
      </c>
      <c r="D99" t="s">
        <v>154</v>
      </c>
      <c r="E99" s="89">
        <f>HLOOKUP($D$5,'4.1 Comptes 2020 natures'!$E$3:$BE$158,93,0)</f>
        <v>35576.29</v>
      </c>
    </row>
    <row r="100" spans="2:5" x14ac:dyDescent="0.3">
      <c r="C100">
        <v>427</v>
      </c>
      <c r="D100" t="s">
        <v>155</v>
      </c>
      <c r="E100" s="89">
        <f>HLOOKUP($D$5,'4.1 Comptes 2020 natures'!$E$3:$BE$158,94,0)</f>
        <v>0</v>
      </c>
    </row>
    <row r="101" spans="2:5" x14ac:dyDescent="0.3">
      <c r="C101">
        <v>429</v>
      </c>
      <c r="D101" t="s">
        <v>156</v>
      </c>
      <c r="E101" s="89">
        <f>HLOOKUP($D$5,'4.1 Comptes 2020 natures'!$E$3:$BE$158,95,0)</f>
        <v>0</v>
      </c>
    </row>
    <row r="102" spans="2:5" x14ac:dyDescent="0.3">
      <c r="E102" s="4"/>
    </row>
    <row r="103" spans="2:5" x14ac:dyDescent="0.3">
      <c r="B103" s="96">
        <v>43</v>
      </c>
      <c r="C103" s="96"/>
      <c r="D103" s="96" t="s">
        <v>157</v>
      </c>
      <c r="E103" s="91">
        <f>SUM(E104:E107)</f>
        <v>3069.5</v>
      </c>
    </row>
    <row r="104" spans="2:5" x14ac:dyDescent="0.3">
      <c r="C104">
        <v>430</v>
      </c>
      <c r="D104" t="s">
        <v>158</v>
      </c>
      <c r="E104" s="89">
        <f>HLOOKUP($D$5,'4.1 Comptes 2020 natures'!$E$3:$BE$158,98,0)</f>
        <v>3069.5</v>
      </c>
    </row>
    <row r="105" spans="2:5" x14ac:dyDescent="0.3">
      <c r="C105">
        <v>431</v>
      </c>
      <c r="D105" t="s">
        <v>159</v>
      </c>
      <c r="E105" s="89">
        <f>HLOOKUP($D$5,'4.1 Comptes 2020 natures'!$E$3:$BE$158,99,0)</f>
        <v>0</v>
      </c>
    </row>
    <row r="106" spans="2:5" x14ac:dyDescent="0.3">
      <c r="C106">
        <v>432</v>
      </c>
      <c r="D106" t="s">
        <v>160</v>
      </c>
      <c r="E106" s="89">
        <f>HLOOKUP($D$5,'4.1 Comptes 2020 natures'!$E$3:$BE$158,100,0)</f>
        <v>0</v>
      </c>
    </row>
    <row r="107" spans="2:5" x14ac:dyDescent="0.3">
      <c r="C107">
        <v>439</v>
      </c>
      <c r="D107" t="s">
        <v>161</v>
      </c>
      <c r="E107" s="89">
        <f>HLOOKUP($D$5,'4.1 Comptes 2020 natures'!$E$3:$BE$158,101,0)</f>
        <v>0</v>
      </c>
    </row>
    <row r="108" spans="2:5" x14ac:dyDescent="0.3">
      <c r="E108" s="4"/>
    </row>
    <row r="109" spans="2:5" x14ac:dyDescent="0.3">
      <c r="B109" s="96">
        <v>44</v>
      </c>
      <c r="C109" s="96"/>
      <c r="D109" s="96" t="s">
        <v>162</v>
      </c>
      <c r="E109" s="91">
        <f>SUM(E110:E119)</f>
        <v>463779.32000000007</v>
      </c>
    </row>
    <row r="110" spans="2:5" x14ac:dyDescent="0.3">
      <c r="C110">
        <v>440</v>
      </c>
      <c r="D110" t="s">
        <v>163</v>
      </c>
      <c r="E110" s="89">
        <f>HLOOKUP($D$5,'4.1 Comptes 2020 natures'!$E$3:$BE$158,104,0)</f>
        <v>79792.3</v>
      </c>
    </row>
    <row r="111" spans="2:5" x14ac:dyDescent="0.3">
      <c r="C111">
        <v>441</v>
      </c>
      <c r="D111" t="s">
        <v>164</v>
      </c>
      <c r="E111" s="89">
        <f>HLOOKUP($D$5,'4.1 Comptes 2020 natures'!$E$3:$BE$158,105,0)</f>
        <v>86244.2</v>
      </c>
    </row>
    <row r="112" spans="2:5" x14ac:dyDescent="0.3">
      <c r="C112">
        <v>442</v>
      </c>
      <c r="D112" t="s">
        <v>165</v>
      </c>
      <c r="E112" s="89">
        <f>HLOOKUP($D$5,'4.1 Comptes 2020 natures'!$E$3:$BE$158,106,0)</f>
        <v>219.42</v>
      </c>
    </row>
    <row r="113" spans="2:5" x14ac:dyDescent="0.3">
      <c r="C113">
        <v>443</v>
      </c>
      <c r="D113" t="s">
        <v>166</v>
      </c>
      <c r="E113" s="89">
        <f>HLOOKUP($D$5,'4.1 Comptes 2020 natures'!$E$3:$BE$158,107,0)</f>
        <v>126933.5</v>
      </c>
    </row>
    <row r="114" spans="2:5" x14ac:dyDescent="0.3">
      <c r="C114">
        <v>444</v>
      </c>
      <c r="D114" t="s">
        <v>106</v>
      </c>
      <c r="E114" s="89">
        <f>HLOOKUP($D$5,'4.1 Comptes 2020 natures'!$E$3:$BE$158,108,0)</f>
        <v>0</v>
      </c>
    </row>
    <row r="115" spans="2:5" x14ac:dyDescent="0.3">
      <c r="C115">
        <v>445</v>
      </c>
      <c r="D115" t="s">
        <v>167</v>
      </c>
      <c r="E115" s="89">
        <f>HLOOKUP($D$5,'4.1 Comptes 2020 natures'!$E$3:$BE$158,109,0)</f>
        <v>0</v>
      </c>
    </row>
    <row r="116" spans="2:5" x14ac:dyDescent="0.3">
      <c r="C116">
        <v>446</v>
      </c>
      <c r="D116" t="s">
        <v>168</v>
      </c>
      <c r="E116" s="89">
        <f>HLOOKUP($D$5,'4.1 Comptes 2020 natures'!$E$3:$BE$158,110,0)</f>
        <v>0</v>
      </c>
    </row>
    <row r="117" spans="2:5" x14ac:dyDescent="0.3">
      <c r="C117">
        <v>447</v>
      </c>
      <c r="D117" t="s">
        <v>169</v>
      </c>
      <c r="E117" s="89">
        <f>HLOOKUP($D$5,'4.1 Comptes 2020 natures'!$E$3:$BE$158,111,0)</f>
        <v>170589.9</v>
      </c>
    </row>
    <row r="118" spans="2:5" x14ac:dyDescent="0.3">
      <c r="C118">
        <v>448</v>
      </c>
      <c r="D118" t="s">
        <v>170</v>
      </c>
      <c r="E118" s="89">
        <f>HLOOKUP($D$5,'4.1 Comptes 2020 natures'!$E$3:$BE$158,112,0)</f>
        <v>0</v>
      </c>
    </row>
    <row r="119" spans="2:5" x14ac:dyDescent="0.3">
      <c r="C119">
        <v>449</v>
      </c>
      <c r="D119" t="s">
        <v>171</v>
      </c>
      <c r="E119" s="89">
        <f>HLOOKUP($D$5,'4.1 Comptes 2020 natures'!$E$3:$BE$158,113,0)</f>
        <v>0</v>
      </c>
    </row>
    <row r="120" spans="2:5" x14ac:dyDescent="0.3">
      <c r="E120" s="4"/>
    </row>
    <row r="121" spans="2:5" x14ac:dyDescent="0.3">
      <c r="B121" s="96">
        <v>45</v>
      </c>
      <c r="C121" s="96"/>
      <c r="D121" s="96" t="s">
        <v>174</v>
      </c>
      <c r="E121" s="91">
        <f>SUM(E122:E123)</f>
        <v>9045.5</v>
      </c>
    </row>
    <row r="122" spans="2:5" x14ac:dyDescent="0.3">
      <c r="C122">
        <v>450</v>
      </c>
      <c r="D122" t="s">
        <v>172</v>
      </c>
      <c r="E122" s="89">
        <f>HLOOKUP($D$5,'4.1 Comptes 2020 natures'!$E$3:$BE$158,116,0)</f>
        <v>9045.5</v>
      </c>
    </row>
    <row r="123" spans="2:5" x14ac:dyDescent="0.3">
      <c r="C123">
        <v>451</v>
      </c>
      <c r="D123" t="s">
        <v>173</v>
      </c>
      <c r="E123" s="89">
        <f>HLOOKUP($D$5,'4.1 Comptes 2020 natures'!$E$3:$BE$158,117,0)</f>
        <v>0</v>
      </c>
    </row>
    <row r="124" spans="2:5" x14ac:dyDescent="0.3">
      <c r="E124" s="4"/>
    </row>
    <row r="125" spans="2:5" x14ac:dyDescent="0.3">
      <c r="B125" s="96">
        <v>46</v>
      </c>
      <c r="C125" s="96"/>
      <c r="D125" s="96" t="s">
        <v>175</v>
      </c>
      <c r="E125" s="91">
        <f>SUM(E126:E130)</f>
        <v>2086626.7</v>
      </c>
    </row>
    <row r="126" spans="2:5" x14ac:dyDescent="0.3">
      <c r="C126">
        <v>460</v>
      </c>
      <c r="D126" t="s">
        <v>176</v>
      </c>
      <c r="E126" s="89">
        <f>HLOOKUP($D$5,'4.1 Comptes 2020 natures'!$E$3:$BE$158,120,0)</f>
        <v>19713</v>
      </c>
    </row>
    <row r="127" spans="2:5" x14ac:dyDescent="0.3">
      <c r="C127">
        <v>461</v>
      </c>
      <c r="D127" t="s">
        <v>177</v>
      </c>
      <c r="E127" s="89">
        <f>HLOOKUP($D$5,'4.1 Comptes 2020 natures'!$E$3:$BE$158,121,0)</f>
        <v>388781.8</v>
      </c>
    </row>
    <row r="128" spans="2:5" x14ac:dyDescent="0.3">
      <c r="C128">
        <v>462</v>
      </c>
      <c r="D128" t="s">
        <v>113</v>
      </c>
      <c r="E128" s="89">
        <f>HLOOKUP($D$5,'4.1 Comptes 2020 natures'!$E$3:$BE$158,122,0)</f>
        <v>1341516</v>
      </c>
    </row>
    <row r="129" spans="2:5" x14ac:dyDescent="0.3">
      <c r="C129">
        <v>463</v>
      </c>
      <c r="D129" t="s">
        <v>178</v>
      </c>
      <c r="E129" s="89">
        <f>HLOOKUP($D$5,'4.1 Comptes 2020 natures'!$E$3:$BE$158,123,0)</f>
        <v>335761.95</v>
      </c>
    </row>
    <row r="130" spans="2:5" x14ac:dyDescent="0.3">
      <c r="C130">
        <v>469</v>
      </c>
      <c r="D130" t="s">
        <v>179</v>
      </c>
      <c r="E130" s="89">
        <f>HLOOKUP($D$5,'4.1 Comptes 2020 natures'!$E$3:$BE$158,124,0)</f>
        <v>853.95</v>
      </c>
    </row>
    <row r="131" spans="2:5" x14ac:dyDescent="0.3">
      <c r="E131" s="4"/>
    </row>
    <row r="132" spans="2:5" x14ac:dyDescent="0.3">
      <c r="B132" s="96">
        <v>47</v>
      </c>
      <c r="C132" s="96"/>
      <c r="D132" s="96" t="s">
        <v>119</v>
      </c>
      <c r="E132" s="91">
        <f>SUM(E133)</f>
        <v>0</v>
      </c>
    </row>
    <row r="133" spans="2:5" x14ac:dyDescent="0.3">
      <c r="C133">
        <v>470</v>
      </c>
      <c r="D133" t="s">
        <v>180</v>
      </c>
      <c r="E133" s="89">
        <f>HLOOKUP($D$5,'4.1 Comptes 2020 natures'!$E$3:$BE$158,127,0)</f>
        <v>0</v>
      </c>
    </row>
    <row r="134" spans="2:5" x14ac:dyDescent="0.3">
      <c r="E134" s="4"/>
    </row>
    <row r="135" spans="2:5" x14ac:dyDescent="0.3">
      <c r="B135" s="96">
        <v>48</v>
      </c>
      <c r="C135" s="96"/>
      <c r="D135" s="96" t="s">
        <v>181</v>
      </c>
      <c r="E135" s="91">
        <f>SUM(E136:E142)</f>
        <v>0</v>
      </c>
    </row>
    <row r="136" spans="2:5" x14ac:dyDescent="0.3">
      <c r="C136">
        <v>481</v>
      </c>
      <c r="D136" t="s">
        <v>182</v>
      </c>
      <c r="E136" s="89">
        <f>HLOOKUP($D$5,'4.1 Comptes 2020 natures'!$E$3:$BE$158,130,0)</f>
        <v>0</v>
      </c>
    </row>
    <row r="137" spans="2:5" x14ac:dyDescent="0.3">
      <c r="C137">
        <v>482</v>
      </c>
      <c r="D137" t="s">
        <v>183</v>
      </c>
      <c r="E137" s="89">
        <f>HLOOKUP($D$5,'4.1 Comptes 2020 natures'!$E$3:$BE$158,131,0)</f>
        <v>0</v>
      </c>
    </row>
    <row r="138" spans="2:5" x14ac:dyDescent="0.3">
      <c r="C138">
        <v>483</v>
      </c>
      <c r="D138" t="s">
        <v>184</v>
      </c>
      <c r="E138" s="89">
        <f>HLOOKUP($D$5,'4.1 Comptes 2020 natures'!$E$3:$BE$158,132,0)</f>
        <v>0</v>
      </c>
    </row>
    <row r="139" spans="2:5" x14ac:dyDescent="0.3">
      <c r="C139">
        <v>484</v>
      </c>
      <c r="D139" t="s">
        <v>185</v>
      </c>
      <c r="E139" s="89">
        <f>HLOOKUP($D$5,'4.1 Comptes 2020 natures'!$E$3:$BE$158,133,0)</f>
        <v>0</v>
      </c>
    </row>
    <row r="140" spans="2:5" x14ac:dyDescent="0.3">
      <c r="C140">
        <v>485</v>
      </c>
      <c r="D140" t="s">
        <v>186</v>
      </c>
      <c r="E140" s="89">
        <f>HLOOKUP($D$5,'4.1 Comptes 2020 natures'!$E$3:$BE$158,134,0)</f>
        <v>0</v>
      </c>
    </row>
    <row r="141" spans="2:5" x14ac:dyDescent="0.3">
      <c r="C141">
        <v>486</v>
      </c>
      <c r="D141" t="s">
        <v>187</v>
      </c>
      <c r="E141" s="89">
        <f>HLOOKUP($D$5,'4.1 Comptes 2020 natures'!$E$3:$BE$158,135,0)</f>
        <v>0</v>
      </c>
    </row>
    <row r="142" spans="2:5" x14ac:dyDescent="0.3">
      <c r="C142">
        <v>489</v>
      </c>
      <c r="D142" t="s">
        <v>188</v>
      </c>
      <c r="E142" s="89">
        <f>HLOOKUP($D$5,'4.1 Comptes 2020 natures'!$E$3:$BE$158,136,0)</f>
        <v>0</v>
      </c>
    </row>
    <row r="143" spans="2:5" x14ac:dyDescent="0.3">
      <c r="E143" s="4"/>
    </row>
    <row r="144" spans="2:5" x14ac:dyDescent="0.3">
      <c r="B144" s="96">
        <v>49</v>
      </c>
      <c r="C144" s="96"/>
      <c r="D144" s="96" t="s">
        <v>128</v>
      </c>
      <c r="E144" s="91">
        <f>SUM(E145:E152)</f>
        <v>286000.15000000002</v>
      </c>
    </row>
    <row r="145" spans="1:5" x14ac:dyDescent="0.3">
      <c r="C145">
        <v>490</v>
      </c>
      <c r="D145" t="s">
        <v>129</v>
      </c>
      <c r="E145" s="89">
        <f>HLOOKUP($D$5,'4.1 Comptes 2020 natures'!$E$3:$BE$158,139,0)</f>
        <v>3000</v>
      </c>
    </row>
    <row r="146" spans="1:5" x14ac:dyDescent="0.3">
      <c r="C146">
        <v>491</v>
      </c>
      <c r="D146" t="s">
        <v>130</v>
      </c>
      <c r="E146" s="89">
        <f>HLOOKUP($D$5,'4.1 Comptes 2020 natures'!$E$3:$BE$158,140,0)</f>
        <v>88799</v>
      </c>
    </row>
    <row r="147" spans="1:5" x14ac:dyDescent="0.3">
      <c r="C147">
        <v>492</v>
      </c>
      <c r="D147" t="s">
        <v>189</v>
      </c>
      <c r="E147" s="89">
        <f>HLOOKUP($D$5,'4.1 Comptes 2020 natures'!$E$3:$BE$158,141,0)</f>
        <v>6400</v>
      </c>
    </row>
    <row r="148" spans="1:5" x14ac:dyDescent="0.3">
      <c r="C148">
        <v>493</v>
      </c>
      <c r="D148" t="s">
        <v>190</v>
      </c>
      <c r="E148" s="89">
        <f>HLOOKUP($D$5,'4.1 Comptes 2020 natures'!$E$3:$BE$158,142,0)</f>
        <v>10000</v>
      </c>
    </row>
    <row r="149" spans="1:5" x14ac:dyDescent="0.3">
      <c r="C149">
        <v>494</v>
      </c>
      <c r="D149" t="s">
        <v>133</v>
      </c>
      <c r="E149" s="89">
        <f>HLOOKUP($D$5,'4.1 Comptes 2020 natures'!$E$3:$BE$158,143,0)</f>
        <v>174801.15</v>
      </c>
    </row>
    <row r="150" spans="1:5" x14ac:dyDescent="0.3">
      <c r="C150">
        <v>495</v>
      </c>
      <c r="D150" t="s">
        <v>191</v>
      </c>
      <c r="E150" s="89">
        <f>HLOOKUP($D$5,'4.1 Comptes 2020 natures'!$E$3:$BE$158,144,0)</f>
        <v>0</v>
      </c>
    </row>
    <row r="151" spans="1:5" x14ac:dyDescent="0.3">
      <c r="C151">
        <v>498</v>
      </c>
      <c r="D151" t="s">
        <v>192</v>
      </c>
      <c r="E151" s="89">
        <f>HLOOKUP($D$5,'4.1 Comptes 2020 natures'!$E$3:$BE$158,145,0)</f>
        <v>0</v>
      </c>
    </row>
    <row r="152" spans="1:5" x14ac:dyDescent="0.3">
      <c r="C152">
        <v>499</v>
      </c>
      <c r="D152" t="s">
        <v>136</v>
      </c>
      <c r="E152" s="89">
        <f>HLOOKUP($D$5,'4.1 Comptes 2020 natures'!$E$3:$BE$158,146,0)</f>
        <v>3000</v>
      </c>
    </row>
    <row r="153" spans="1:5" x14ac:dyDescent="0.3">
      <c r="E153" s="4"/>
    </row>
    <row r="154" spans="1:5" x14ac:dyDescent="0.3">
      <c r="E154" s="4"/>
    </row>
    <row r="155" spans="1:5" x14ac:dyDescent="0.3">
      <c r="E155" s="4"/>
    </row>
    <row r="156" spans="1:5" x14ac:dyDescent="0.3">
      <c r="A156" s="106">
        <v>9</v>
      </c>
      <c r="B156" s="106"/>
      <c r="C156" s="106"/>
      <c r="D156" s="106" t="s">
        <v>194</v>
      </c>
      <c r="E156" s="107"/>
    </row>
    <row r="157" spans="1:5" x14ac:dyDescent="0.3">
      <c r="A157" s="106"/>
      <c r="B157" s="106">
        <v>90</v>
      </c>
      <c r="C157" s="106"/>
      <c r="D157" s="106" t="s">
        <v>195</v>
      </c>
      <c r="E157" s="108">
        <f>SUM(E158:E159)</f>
        <v>364711.41000000003</v>
      </c>
    </row>
    <row r="158" spans="1:5" x14ac:dyDescent="0.3">
      <c r="C158">
        <v>900</v>
      </c>
      <c r="D158" t="s">
        <v>196</v>
      </c>
      <c r="E158" s="89">
        <f>HLOOKUP($D$5,'4.1 Comptes 2020 natures'!$E$3:$BE$158,152,0)</f>
        <v>8997.4500000000007</v>
      </c>
    </row>
    <row r="159" spans="1:5" x14ac:dyDescent="0.3">
      <c r="C159">
        <v>901</v>
      </c>
      <c r="D159" t="s">
        <v>197</v>
      </c>
      <c r="E159" s="89">
        <f>HLOOKUP($D$5,'4.1 Comptes 2020 natures'!$E$3:$BE$158,153,0)</f>
        <v>355713.96</v>
      </c>
    </row>
    <row r="160" spans="1:5" x14ac:dyDescent="0.3">
      <c r="E160" s="4"/>
    </row>
    <row r="161" spans="4:5" x14ac:dyDescent="0.3">
      <c r="D161" s="7" t="s">
        <v>198</v>
      </c>
      <c r="E161" s="80">
        <f>HLOOKUP($D$5,'4.1 Comptes 2020 natures'!$E$3:$BE$158,155,0)</f>
        <v>364711.41000000003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2020 natures'!$E$3:$BE$3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8"/>
  <sheetViews>
    <sheetView workbookViewId="0">
      <selection activeCell="F155" sqref="F155"/>
    </sheetView>
  </sheetViews>
  <sheetFormatPr baseColWidth="10" defaultRowHeight="14.4" x14ac:dyDescent="0.3"/>
  <cols>
    <col min="1" max="1" width="9.109375" customWidth="1"/>
    <col min="2" max="2" width="38.5546875" customWidth="1"/>
    <col min="3" max="3" width="22.88671875" customWidth="1"/>
  </cols>
  <sheetData>
    <row r="1" spans="1:3" ht="25.8" x14ac:dyDescent="0.5">
      <c r="A1" s="42" t="s">
        <v>226</v>
      </c>
    </row>
    <row r="3" spans="1:3" x14ac:dyDescent="0.3">
      <c r="A3" s="7" t="s">
        <v>201</v>
      </c>
    </row>
    <row r="5" spans="1:3" x14ac:dyDescent="0.3">
      <c r="A5" s="51" t="s">
        <v>219</v>
      </c>
      <c r="B5" s="51" t="s">
        <v>204</v>
      </c>
      <c r="C5" s="51" t="s">
        <v>220</v>
      </c>
    </row>
    <row r="6" spans="1:3" x14ac:dyDescent="0.3">
      <c r="A6" s="52">
        <v>90</v>
      </c>
      <c r="B6" s="53" t="s">
        <v>222</v>
      </c>
      <c r="C6" s="56">
        <f>'4.1 Comptes 2020 natures'!BF153</f>
        <v>10804534.910000002</v>
      </c>
    </row>
    <row r="7" spans="1:3" x14ac:dyDescent="0.3">
      <c r="A7" s="52">
        <v>900</v>
      </c>
      <c r="B7" s="53" t="s">
        <v>223</v>
      </c>
      <c r="C7" s="56">
        <f>'4.1 Comptes 2020 natures'!BF154</f>
        <v>2315293.3799999994</v>
      </c>
    </row>
    <row r="8" spans="1:3" x14ac:dyDescent="0.3">
      <c r="A8" s="52">
        <v>901</v>
      </c>
      <c r="B8" s="53" t="s">
        <v>224</v>
      </c>
      <c r="C8" s="56">
        <f>'4.1 Comptes 2020 natures'!BF155</f>
        <v>8489241.5300000031</v>
      </c>
    </row>
    <row r="9" spans="1:3" x14ac:dyDescent="0.3">
      <c r="A9" s="52">
        <v>400</v>
      </c>
      <c r="B9" s="53" t="s">
        <v>138</v>
      </c>
      <c r="C9" s="56">
        <f>'4.1 Comptes 2020 natures'!BF77</f>
        <v>165448839.81999999</v>
      </c>
    </row>
    <row r="10" spans="1:3" x14ac:dyDescent="0.3">
      <c r="A10" s="52">
        <v>401</v>
      </c>
      <c r="B10" s="53" t="s">
        <v>139</v>
      </c>
      <c r="C10" s="56">
        <f>'4.1 Comptes 2020 natures'!BF78</f>
        <v>27763214.739999995</v>
      </c>
    </row>
    <row r="11" spans="1:3" x14ac:dyDescent="0.3">
      <c r="A11" s="52">
        <v>4021</v>
      </c>
      <c r="B11" s="53" t="s">
        <v>217</v>
      </c>
      <c r="C11" s="56">
        <f>'4.1 Comptes 2020 natures'!BF163</f>
        <v>14738369.829999996</v>
      </c>
    </row>
    <row r="12" spans="1:3" x14ac:dyDescent="0.3">
      <c r="A12" s="52" t="s">
        <v>221</v>
      </c>
      <c r="B12" s="53" t="s">
        <v>225</v>
      </c>
      <c r="C12" s="56">
        <f>'6.1 Investissements'!BF182</f>
        <v>36028775.899999999</v>
      </c>
    </row>
    <row r="15" spans="1:3" x14ac:dyDescent="0.3">
      <c r="A15" s="7" t="s">
        <v>214</v>
      </c>
    </row>
    <row r="17" spans="1:3" x14ac:dyDescent="0.3">
      <c r="A17" s="51" t="s">
        <v>219</v>
      </c>
      <c r="B17" s="51" t="s">
        <v>204</v>
      </c>
      <c r="C17" s="51" t="s">
        <v>220</v>
      </c>
    </row>
    <row r="18" spans="1:3" x14ac:dyDescent="0.3">
      <c r="A18" s="52">
        <v>90</v>
      </c>
      <c r="B18" s="53" t="s">
        <v>222</v>
      </c>
      <c r="C18" s="56">
        <f>'4.1 Comptes 2020 natures'!BG153</f>
        <v>3478485.71</v>
      </c>
    </row>
    <row r="19" spans="1:3" x14ac:dyDescent="0.3">
      <c r="A19" s="52">
        <v>900</v>
      </c>
      <c r="B19" s="53" t="s">
        <v>223</v>
      </c>
      <c r="C19" s="56">
        <f>'4.1 Comptes 2020 natures'!BG154</f>
        <v>-2000018.6400000006</v>
      </c>
    </row>
    <row r="20" spans="1:3" x14ac:dyDescent="0.3">
      <c r="A20" s="52">
        <v>901</v>
      </c>
      <c r="B20" s="53" t="s">
        <v>224</v>
      </c>
      <c r="C20" s="56">
        <f>'4.1 Comptes 2020 natures'!BG155</f>
        <v>5478504.3500000006</v>
      </c>
    </row>
    <row r="21" spans="1:3" x14ac:dyDescent="0.3">
      <c r="A21" s="52">
        <v>400</v>
      </c>
      <c r="B21" s="53" t="s">
        <v>138</v>
      </c>
      <c r="C21" s="56">
        <f>'4.1 Comptes 2020 natures'!BG77</f>
        <v>82544081.640000001</v>
      </c>
    </row>
    <row r="22" spans="1:3" x14ac:dyDescent="0.3">
      <c r="A22" s="52">
        <v>401</v>
      </c>
      <c r="B22" s="53" t="s">
        <v>139</v>
      </c>
      <c r="C22" s="56">
        <f>'4.1 Comptes 2020 natures'!BG78</f>
        <v>9419045.5999999978</v>
      </c>
    </row>
    <row r="23" spans="1:3" x14ac:dyDescent="0.3">
      <c r="A23" s="52">
        <v>4021</v>
      </c>
      <c r="B23" s="53" t="s">
        <v>217</v>
      </c>
      <c r="C23" s="56">
        <f>'4.1 Comptes 2020 natures'!BG163</f>
        <v>7305835.8099999996</v>
      </c>
    </row>
    <row r="24" spans="1:3" x14ac:dyDescent="0.3">
      <c r="A24" s="52" t="s">
        <v>221</v>
      </c>
      <c r="B24" s="53" t="s">
        <v>225</v>
      </c>
      <c r="C24" s="56">
        <f>'6.1 Investissements'!BG182</f>
        <v>26605792.979999997</v>
      </c>
    </row>
    <row r="27" spans="1:3" x14ac:dyDescent="0.3">
      <c r="A27" s="7" t="s">
        <v>215</v>
      </c>
    </row>
    <row r="29" spans="1:3" x14ac:dyDescent="0.3">
      <c r="A29" s="51" t="s">
        <v>219</v>
      </c>
      <c r="B29" s="51" t="s">
        <v>204</v>
      </c>
      <c r="C29" s="51" t="s">
        <v>220</v>
      </c>
    </row>
    <row r="30" spans="1:3" x14ac:dyDescent="0.3">
      <c r="A30" s="52">
        <v>90</v>
      </c>
      <c r="B30" s="53" t="s">
        <v>222</v>
      </c>
      <c r="C30" s="56">
        <f>'4.1 Comptes 2020 natures'!BH153</f>
        <v>4836251.0600000005</v>
      </c>
    </row>
    <row r="31" spans="1:3" x14ac:dyDescent="0.3">
      <c r="A31" s="52">
        <v>900</v>
      </c>
      <c r="B31" s="53" t="s">
        <v>223</v>
      </c>
      <c r="C31" s="56">
        <f>'4.1 Comptes 2020 natures'!BH154</f>
        <v>3885782.0900000003</v>
      </c>
    </row>
    <row r="32" spans="1:3" x14ac:dyDescent="0.3">
      <c r="A32" s="52">
        <v>901</v>
      </c>
      <c r="B32" s="53" t="s">
        <v>224</v>
      </c>
      <c r="C32" s="56">
        <f>'4.1 Comptes 2020 natures'!BH155</f>
        <v>950468.97000000009</v>
      </c>
    </row>
    <row r="33" spans="1:3" x14ac:dyDescent="0.3">
      <c r="A33" s="52">
        <v>400</v>
      </c>
      <c r="B33" s="53" t="s">
        <v>138</v>
      </c>
      <c r="C33" s="56">
        <f>'4.1 Comptes 2020 natures'!BH77</f>
        <v>23132697.620000005</v>
      </c>
    </row>
    <row r="34" spans="1:3" x14ac:dyDescent="0.3">
      <c r="A34" s="52">
        <v>401</v>
      </c>
      <c r="B34" s="53" t="s">
        <v>139</v>
      </c>
      <c r="C34" s="56">
        <f>'4.1 Comptes 2020 natures'!BH78</f>
        <v>9911869.1000000015</v>
      </c>
    </row>
    <row r="35" spans="1:3" x14ac:dyDescent="0.3">
      <c r="A35" s="52">
        <v>4021</v>
      </c>
      <c r="B35" s="53" t="s">
        <v>217</v>
      </c>
      <c r="C35" s="56">
        <f>'4.1 Comptes 2020 natures'!BH163</f>
        <v>2036995.75</v>
      </c>
    </row>
    <row r="36" spans="1:3" x14ac:dyDescent="0.3">
      <c r="A36" s="52" t="s">
        <v>221</v>
      </c>
      <c r="B36" s="53" t="s">
        <v>225</v>
      </c>
      <c r="C36" s="56">
        <f>'6.1 Investissements'!BH182</f>
        <v>1202041.6600000011</v>
      </c>
    </row>
    <row r="39" spans="1:3" x14ac:dyDescent="0.3">
      <c r="A39" t="s">
        <v>216</v>
      </c>
    </row>
    <row r="41" spans="1:3" x14ac:dyDescent="0.3">
      <c r="A41" s="51" t="s">
        <v>219</v>
      </c>
      <c r="B41" s="51" t="s">
        <v>204</v>
      </c>
      <c r="C41" s="51" t="s">
        <v>220</v>
      </c>
    </row>
    <row r="42" spans="1:3" x14ac:dyDescent="0.3">
      <c r="A42" s="52">
        <v>90</v>
      </c>
      <c r="B42" s="53" t="s">
        <v>222</v>
      </c>
      <c r="C42" s="56">
        <f>'4.1 Comptes 2020 natures'!BI153</f>
        <v>2489798.14</v>
      </c>
    </row>
    <row r="43" spans="1:3" x14ac:dyDescent="0.3">
      <c r="A43" s="52">
        <v>900</v>
      </c>
      <c r="B43" s="53" t="s">
        <v>223</v>
      </c>
      <c r="C43" s="56">
        <f>'4.1 Comptes 2020 natures'!BI154</f>
        <v>429529.93000000005</v>
      </c>
    </row>
    <row r="44" spans="1:3" x14ac:dyDescent="0.3">
      <c r="A44" s="52">
        <v>901</v>
      </c>
      <c r="B44" s="53" t="s">
        <v>224</v>
      </c>
      <c r="C44" s="56">
        <f>'4.1 Comptes 2020 natures'!BI155</f>
        <v>2060268.21</v>
      </c>
    </row>
    <row r="45" spans="1:3" x14ac:dyDescent="0.3">
      <c r="A45" s="52">
        <v>400</v>
      </c>
      <c r="B45" s="53" t="s">
        <v>138</v>
      </c>
      <c r="C45" s="56">
        <f>'4.1 Comptes 2020 natures'!BI77</f>
        <v>59772060.560000002</v>
      </c>
    </row>
    <row r="46" spans="1:3" x14ac:dyDescent="0.3">
      <c r="A46" s="52">
        <v>401</v>
      </c>
      <c r="B46" s="53" t="s">
        <v>139</v>
      </c>
      <c r="C46" s="56">
        <f>'4.1 Comptes 2020 natures'!BI78</f>
        <v>8432300.040000001</v>
      </c>
    </row>
    <row r="47" spans="1:3" x14ac:dyDescent="0.3">
      <c r="A47" s="52">
        <v>4021</v>
      </c>
      <c r="B47" s="53" t="s">
        <v>217</v>
      </c>
      <c r="C47" s="56">
        <f>'4.1 Comptes 2020 natures'!BI163</f>
        <v>5395538.2700000005</v>
      </c>
    </row>
    <row r="48" spans="1:3" x14ac:dyDescent="0.3">
      <c r="A48" s="52" t="s">
        <v>221</v>
      </c>
      <c r="B48" s="53" t="s">
        <v>225</v>
      </c>
      <c r="C48" s="56">
        <f>'6.1 Investissements'!BI182</f>
        <v>8220941.2600000035</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0"/>
  <sheetViews>
    <sheetView workbookViewId="0">
      <selection activeCell="F155" sqref="F155"/>
    </sheetView>
  </sheetViews>
  <sheetFormatPr baseColWidth="10" defaultRowHeight="14.4" x14ac:dyDescent="0.3"/>
  <cols>
    <col min="1" max="1" width="9.33203125" customWidth="1"/>
    <col min="2" max="2" width="39.6640625" customWidth="1"/>
    <col min="3" max="3" width="27.88671875" customWidth="1"/>
    <col min="4" max="4" width="23" customWidth="1"/>
  </cols>
  <sheetData>
    <row r="1" spans="1:3" ht="25.8" x14ac:dyDescent="0.5">
      <c r="A1" s="42" t="s">
        <v>758</v>
      </c>
    </row>
    <row r="4" spans="1:3" ht="15" thickBot="1" x14ac:dyDescent="0.35">
      <c r="B4" t="s">
        <v>607</v>
      </c>
    </row>
    <row r="5" spans="1:3" ht="15" thickBot="1" x14ac:dyDescent="0.35">
      <c r="B5" s="174" t="s">
        <v>14</v>
      </c>
    </row>
    <row r="8" spans="1:3" x14ac:dyDescent="0.3">
      <c r="A8" s="51" t="s">
        <v>219</v>
      </c>
      <c r="B8" s="51" t="s">
        <v>204</v>
      </c>
      <c r="C8" s="51" t="s">
        <v>220</v>
      </c>
    </row>
    <row r="9" spans="1:3" x14ac:dyDescent="0.3">
      <c r="A9" s="52">
        <v>90</v>
      </c>
      <c r="B9" s="53" t="s">
        <v>222</v>
      </c>
      <c r="C9" s="56">
        <f>HLOOKUP($B$5,'4.1 Comptes 2020 natures'!$E$3:$BE$179,151,0)</f>
        <v>-32824.589999999997</v>
      </c>
    </row>
    <row r="10" spans="1:3" x14ac:dyDescent="0.3">
      <c r="A10" s="52">
        <v>900</v>
      </c>
      <c r="B10" s="53" t="s">
        <v>223</v>
      </c>
      <c r="C10" s="56">
        <f>HLOOKUP($B$5,'4.1 Comptes 2020 natures'!$E$3:$BE$179,152,0)</f>
        <v>-32824.589999999997</v>
      </c>
    </row>
    <row r="11" spans="1:3" x14ac:dyDescent="0.3">
      <c r="A11" s="52">
        <v>901</v>
      </c>
      <c r="B11" s="53" t="s">
        <v>224</v>
      </c>
      <c r="C11" s="56">
        <f>HLOOKUP($B$5,'4.1 Comptes 2020 natures'!$E$3:$BE$179,153,0)</f>
        <v>0</v>
      </c>
    </row>
    <row r="12" spans="1:3" x14ac:dyDescent="0.3">
      <c r="A12" s="52">
        <v>400</v>
      </c>
      <c r="B12" s="53" t="s">
        <v>138</v>
      </c>
      <c r="C12" s="56">
        <f>HLOOKUP($B$5,'4.1 Comptes 2020 natures'!$E$3:$BE$179,75,0)</f>
        <v>2118729.04</v>
      </c>
    </row>
    <row r="13" spans="1:3" x14ac:dyDescent="0.3">
      <c r="A13" s="52">
        <v>401</v>
      </c>
      <c r="B13" s="53" t="s">
        <v>139</v>
      </c>
      <c r="C13" s="56">
        <f>HLOOKUP($B$5,'4.1 Comptes 2020 natures'!$E$3:$BE$179,76,0)</f>
        <v>-87224.51</v>
      </c>
    </row>
    <row r="14" spans="1:3" x14ac:dyDescent="0.3">
      <c r="A14" s="52">
        <v>4021</v>
      </c>
      <c r="B14" s="53" t="s">
        <v>217</v>
      </c>
      <c r="C14" s="56">
        <f>HLOOKUP($B$5,'4.1 Comptes 2020 natures'!$E$3:$BE$179,163,0)</f>
        <v>0</v>
      </c>
    </row>
    <row r="15" spans="1:3" x14ac:dyDescent="0.3">
      <c r="A15" s="52" t="s">
        <v>221</v>
      </c>
      <c r="B15" s="53" t="s">
        <v>225</v>
      </c>
      <c r="C15" s="56">
        <f>HLOOKUP($B$5,'4.1 Comptes 2020 natures'!$E$3:$BE$179,177,0)</f>
        <v>0</v>
      </c>
    </row>
    <row r="17" spans="3:3" x14ac:dyDescent="0.3">
      <c r="C17" s="1"/>
    </row>
    <row r="18" spans="3:3" x14ac:dyDescent="0.3">
      <c r="C18" s="4"/>
    </row>
    <row r="19" spans="3:3" x14ac:dyDescent="0.3">
      <c r="C19" s="4"/>
    </row>
    <row r="20" spans="3:3" x14ac:dyDescent="0.3">
      <c r="C20" s="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2020 par habitant'!$E$3:$BE$3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5"/>
  <sheetViews>
    <sheetView workbookViewId="0">
      <selection activeCell="F155" sqref="F155"/>
    </sheetView>
  </sheetViews>
  <sheetFormatPr baseColWidth="10" defaultRowHeight="14.4" x14ac:dyDescent="0.3"/>
  <cols>
    <col min="1" max="1" width="22.6640625" customWidth="1"/>
    <col min="2" max="2" width="34.44140625" customWidth="1"/>
    <col min="3" max="3" width="23" customWidth="1"/>
  </cols>
  <sheetData>
    <row r="1" spans="1:3" ht="25.8" x14ac:dyDescent="0.5">
      <c r="A1" s="42" t="s">
        <v>200</v>
      </c>
    </row>
    <row r="4" spans="1:3" x14ac:dyDescent="0.3">
      <c r="A4" s="7" t="s">
        <v>201</v>
      </c>
    </row>
    <row r="5" spans="1:3" x14ac:dyDescent="0.3">
      <c r="A5" s="7" t="s">
        <v>202</v>
      </c>
    </row>
    <row r="7" spans="1:3" x14ac:dyDescent="0.3">
      <c r="A7" s="51" t="s">
        <v>203</v>
      </c>
      <c r="B7" s="51" t="s">
        <v>204</v>
      </c>
      <c r="C7" s="51" t="s">
        <v>205</v>
      </c>
    </row>
    <row r="8" spans="1:3" x14ac:dyDescent="0.3">
      <c r="A8" s="52" t="s">
        <v>212</v>
      </c>
      <c r="B8" s="53" t="s">
        <v>206</v>
      </c>
      <c r="C8" s="56">
        <f>'4.1 Comptes 2020 natures'!BF5+'4.1 Comptes 2020 natures'!BF15+'4.1 Comptes 2020 natures'!BF27+'4.1 Comptes 2020 natures'!BF39+'4.1 Comptes 2020 natures'!BF43+'4.1 Comptes 2020 natures'!BF53</f>
        <v>355766168.86000013</v>
      </c>
    </row>
    <row r="9" spans="1:3" x14ac:dyDescent="0.3">
      <c r="A9" s="52" t="s">
        <v>213</v>
      </c>
      <c r="B9" s="53" t="s">
        <v>207</v>
      </c>
      <c r="C9" s="56">
        <f>'4.1 Comptes 2020 natures'!BF76+'4.1 Comptes 2020 natures'!BF82+'4.1 Comptes 2020 natures'!BF88+'4.1 Comptes 2020 natures'!BF99+'4.1 Comptes 2020 natures'!BF117+'4.1 Comptes 2020 natures'!BF121+'4.1 Comptes 2020 natures'!BF128</f>
        <v>364767819.93000001</v>
      </c>
    </row>
    <row r="10" spans="1:3" x14ac:dyDescent="0.3">
      <c r="A10" s="53"/>
      <c r="B10" s="55" t="s">
        <v>208</v>
      </c>
      <c r="C10" s="62">
        <f>C9-C8</f>
        <v>9001651.0699998736</v>
      </c>
    </row>
    <row r="11" spans="1:3" x14ac:dyDescent="0.3">
      <c r="A11" s="53"/>
      <c r="B11" s="53"/>
      <c r="C11" s="53"/>
    </row>
    <row r="12" spans="1:3" x14ac:dyDescent="0.3">
      <c r="A12" s="53">
        <v>34</v>
      </c>
      <c r="B12" s="53" t="s">
        <v>101</v>
      </c>
      <c r="C12" s="56">
        <f>'4.1 Comptes 2020 natures'!BF31</f>
        <v>9277984.3499999978</v>
      </c>
    </row>
    <row r="13" spans="1:3" x14ac:dyDescent="0.3">
      <c r="A13" s="53">
        <v>44</v>
      </c>
      <c r="B13" s="53" t="s">
        <v>162</v>
      </c>
      <c r="C13" s="56">
        <f>'4.1 Comptes 2020 natures'!BF105</f>
        <v>13891621.57</v>
      </c>
    </row>
    <row r="14" spans="1:3" x14ac:dyDescent="0.3">
      <c r="A14" s="53"/>
      <c r="B14" s="55" t="s">
        <v>244</v>
      </c>
      <c r="C14" s="62">
        <f>C13-C12</f>
        <v>4613637.2200000025</v>
      </c>
    </row>
    <row r="15" spans="1:3" x14ac:dyDescent="0.3">
      <c r="A15" s="53"/>
      <c r="B15" s="53"/>
      <c r="C15" s="53"/>
    </row>
    <row r="16" spans="1:3" x14ac:dyDescent="0.3">
      <c r="A16" s="53"/>
      <c r="B16" s="55" t="s">
        <v>209</v>
      </c>
      <c r="C16" s="62">
        <f>C10+C14</f>
        <v>13615288.289999876</v>
      </c>
    </row>
    <row r="17" spans="1:3" x14ac:dyDescent="0.3">
      <c r="A17" s="53"/>
      <c r="B17" s="53"/>
      <c r="C17" s="53"/>
    </row>
    <row r="18" spans="1:3" x14ac:dyDescent="0.3">
      <c r="A18" s="53">
        <v>38</v>
      </c>
      <c r="B18" s="53" t="s">
        <v>121</v>
      </c>
      <c r="C18" s="56">
        <f>'4.1 Comptes 2020 natures'!BF56</f>
        <v>5292667.4400000004</v>
      </c>
    </row>
    <row r="19" spans="1:3" x14ac:dyDescent="0.3">
      <c r="A19" s="53">
        <v>48</v>
      </c>
      <c r="B19" s="53" t="s">
        <v>181</v>
      </c>
      <c r="C19" s="56">
        <f>'4.1 Comptes 2020 natures'!BF131</f>
        <v>2567175.7000000002</v>
      </c>
    </row>
    <row r="20" spans="1:3" x14ac:dyDescent="0.3">
      <c r="A20" s="53"/>
      <c r="B20" s="55" t="s">
        <v>210</v>
      </c>
      <c r="C20" s="62">
        <f>C19-C18</f>
        <v>-2725491.74</v>
      </c>
    </row>
    <row r="21" spans="1:3" x14ac:dyDescent="0.3">
      <c r="A21" s="53"/>
      <c r="B21" s="53"/>
      <c r="C21" s="53"/>
    </row>
    <row r="22" spans="1:3" x14ac:dyDescent="0.3">
      <c r="A22" s="53"/>
      <c r="B22" s="55" t="s">
        <v>211</v>
      </c>
      <c r="C22" s="62">
        <f>C16+C20</f>
        <v>10889796.549999876</v>
      </c>
    </row>
    <row r="25" spans="1:3" x14ac:dyDescent="0.3">
      <c r="A25" s="7" t="s">
        <v>214</v>
      </c>
    </row>
    <row r="26" spans="1:3" x14ac:dyDescent="0.3">
      <c r="A26" s="7" t="s">
        <v>202</v>
      </c>
    </row>
    <row r="28" spans="1:3" x14ac:dyDescent="0.3">
      <c r="A28" s="51" t="s">
        <v>203</v>
      </c>
      <c r="B28" s="51" t="s">
        <v>204</v>
      </c>
      <c r="C28" s="51" t="s">
        <v>205</v>
      </c>
    </row>
    <row r="29" spans="1:3" x14ac:dyDescent="0.3">
      <c r="A29" s="52" t="s">
        <v>212</v>
      </c>
      <c r="B29" s="53" t="s">
        <v>206</v>
      </c>
      <c r="C29" s="56">
        <f>'4.1 Comptes 2020 natures'!BG5+'4.1 Comptes 2020 natures'!BG15+'4.1 Comptes 2020 natures'!BG27+'4.1 Comptes 2020 natures'!BG39+'4.1 Comptes 2020 natures'!BG43+'4.1 Comptes 2020 natures'!BG53</f>
        <v>188244587.87</v>
      </c>
    </row>
    <row r="30" spans="1:3" x14ac:dyDescent="0.3">
      <c r="A30" s="52" t="s">
        <v>213</v>
      </c>
      <c r="B30" s="53" t="s">
        <v>207</v>
      </c>
      <c r="C30" s="56">
        <f>'4.1 Comptes 2020 natures'!BG76+'4.1 Comptes 2020 natures'!BG82+'4.1 Comptes 2020 natures'!BG88+'4.1 Comptes 2020 natures'!BG99+'4.1 Comptes 2020 natures'!BG117+'4.1 Comptes 2020 natures'!BG121+'4.1 Comptes 2020 natures'!BG128</f>
        <v>189855043.44999999</v>
      </c>
    </row>
    <row r="31" spans="1:3" x14ac:dyDescent="0.3">
      <c r="A31" s="53"/>
      <c r="B31" s="55" t="s">
        <v>208</v>
      </c>
      <c r="C31" s="62">
        <f>C30-C29</f>
        <v>1610455.5799999833</v>
      </c>
    </row>
    <row r="32" spans="1:3" x14ac:dyDescent="0.3">
      <c r="A32" s="53"/>
      <c r="B32" s="53"/>
      <c r="C32" s="56"/>
    </row>
    <row r="33" spans="1:3" x14ac:dyDescent="0.3">
      <c r="A33" s="53">
        <v>34</v>
      </c>
      <c r="B33" s="53" t="s">
        <v>101</v>
      </c>
      <c r="C33" s="56">
        <f>'4.1 Comptes 2020 natures'!BG31</f>
        <v>4729206.1399999997</v>
      </c>
    </row>
    <row r="34" spans="1:3" x14ac:dyDescent="0.3">
      <c r="A34" s="53">
        <v>44</v>
      </c>
      <c r="B34" s="53" t="s">
        <v>162</v>
      </c>
      <c r="C34" s="56">
        <f>'4.1 Comptes 2020 natures'!BG105</f>
        <v>6031841.7999999998</v>
      </c>
    </row>
    <row r="35" spans="1:3" x14ac:dyDescent="0.3">
      <c r="A35" s="53"/>
      <c r="B35" s="55" t="s">
        <v>244</v>
      </c>
      <c r="C35" s="62">
        <f>C34-C33</f>
        <v>1302635.6600000001</v>
      </c>
    </row>
    <row r="36" spans="1:3" x14ac:dyDescent="0.3">
      <c r="A36" s="53"/>
      <c r="B36" s="53"/>
      <c r="C36" s="56"/>
    </row>
    <row r="37" spans="1:3" x14ac:dyDescent="0.3">
      <c r="A37" s="53"/>
      <c r="B37" s="55" t="s">
        <v>209</v>
      </c>
      <c r="C37" s="62">
        <f>C31+C35</f>
        <v>2913091.2399999835</v>
      </c>
    </row>
    <row r="38" spans="1:3" x14ac:dyDescent="0.3">
      <c r="A38" s="53"/>
      <c r="B38" s="53"/>
      <c r="C38" s="56"/>
    </row>
    <row r="39" spans="1:3" x14ac:dyDescent="0.3">
      <c r="A39" s="53">
        <v>38</v>
      </c>
      <c r="B39" s="53" t="s">
        <v>121</v>
      </c>
      <c r="C39" s="56">
        <f>'4.1 Comptes 2020 natures'!BG56</f>
        <v>987812.67</v>
      </c>
    </row>
    <row r="40" spans="1:3" x14ac:dyDescent="0.3">
      <c r="A40" s="53">
        <v>48</v>
      </c>
      <c r="B40" s="53" t="s">
        <v>181</v>
      </c>
      <c r="C40" s="56">
        <f>'4.1 Comptes 2020 natures'!BG131</f>
        <v>1527131.03</v>
      </c>
    </row>
    <row r="41" spans="1:3" x14ac:dyDescent="0.3">
      <c r="A41" s="53"/>
      <c r="B41" s="55" t="s">
        <v>210</v>
      </c>
      <c r="C41" s="62">
        <f>C40-C39</f>
        <v>539318.36</v>
      </c>
    </row>
    <row r="42" spans="1:3" x14ac:dyDescent="0.3">
      <c r="A42" s="53"/>
      <c r="B42" s="53"/>
      <c r="C42" s="56"/>
    </row>
    <row r="43" spans="1:3" x14ac:dyDescent="0.3">
      <c r="A43" s="53"/>
      <c r="B43" s="55" t="s">
        <v>211</v>
      </c>
      <c r="C43" s="62">
        <f>C37+C41</f>
        <v>3452409.5999999833</v>
      </c>
    </row>
    <row r="46" spans="1:3" x14ac:dyDescent="0.3">
      <c r="A46" s="7" t="s">
        <v>215</v>
      </c>
    </row>
    <row r="47" spans="1:3" x14ac:dyDescent="0.3">
      <c r="A47" s="7" t="s">
        <v>202</v>
      </c>
    </row>
    <row r="49" spans="1:3" x14ac:dyDescent="0.3">
      <c r="A49" s="51" t="s">
        <v>203</v>
      </c>
      <c r="B49" s="51" t="s">
        <v>204</v>
      </c>
      <c r="C49" s="51" t="s">
        <v>205</v>
      </c>
    </row>
    <row r="50" spans="1:3" x14ac:dyDescent="0.3">
      <c r="A50" s="52" t="s">
        <v>212</v>
      </c>
      <c r="B50" s="53" t="s">
        <v>206</v>
      </c>
      <c r="C50" s="56">
        <f>'4.1 Comptes 2020 natures'!BH5+'4.1 Comptes 2020 natures'!BH15+'4.1 Comptes 2020 natures'!BH27+'4.1 Comptes 2020 natures'!BH39+'4.1 Comptes 2020 natures'!BH43+'4.1 Comptes 2020 natures'!BH53</f>
        <v>52327622.390000008</v>
      </c>
    </row>
    <row r="51" spans="1:3" x14ac:dyDescent="0.3">
      <c r="A51" s="52" t="s">
        <v>213</v>
      </c>
      <c r="B51" s="53" t="s">
        <v>207</v>
      </c>
      <c r="C51" s="56">
        <f>'4.1 Comptes 2020 natures'!BH76+'4.1 Comptes 2020 natures'!BH82+'4.1 Comptes 2020 natures'!BH88+'4.1 Comptes 2020 natures'!BH99+'4.1 Comptes 2020 natures'!BH117+'4.1 Comptes 2020 natures'!BH121+'4.1 Comptes 2020 natures'!BH128</f>
        <v>56992939.200000003</v>
      </c>
    </row>
    <row r="52" spans="1:3" x14ac:dyDescent="0.3">
      <c r="A52" s="53"/>
      <c r="B52" s="55" t="s">
        <v>208</v>
      </c>
      <c r="C52" s="62">
        <f>C51-C50</f>
        <v>4665316.8099999949</v>
      </c>
    </row>
    <row r="53" spans="1:3" x14ac:dyDescent="0.3">
      <c r="A53" s="53"/>
      <c r="B53" s="53"/>
      <c r="C53" s="56"/>
    </row>
    <row r="54" spans="1:3" x14ac:dyDescent="0.3">
      <c r="A54" s="53">
        <v>34</v>
      </c>
      <c r="B54" s="53" t="s">
        <v>101</v>
      </c>
      <c r="C54" s="56">
        <f>'4.1 Comptes 2020 natures'!BH31</f>
        <v>1127442.0800000003</v>
      </c>
    </row>
    <row r="55" spans="1:3" x14ac:dyDescent="0.3">
      <c r="A55" s="53">
        <v>44</v>
      </c>
      <c r="B55" s="53" t="s">
        <v>162</v>
      </c>
      <c r="C55" s="56">
        <f>'4.1 Comptes 2020 natures'!BH105</f>
        <v>1668859.72</v>
      </c>
    </row>
    <row r="56" spans="1:3" x14ac:dyDescent="0.3">
      <c r="A56" s="53"/>
      <c r="B56" s="55" t="s">
        <v>244</v>
      </c>
      <c r="C56" s="62">
        <f>C55-C54</f>
        <v>541417.63999999966</v>
      </c>
    </row>
    <row r="57" spans="1:3" x14ac:dyDescent="0.3">
      <c r="A57" s="53"/>
      <c r="B57" s="53"/>
      <c r="C57" s="56"/>
    </row>
    <row r="58" spans="1:3" x14ac:dyDescent="0.3">
      <c r="A58" s="53"/>
      <c r="B58" s="55" t="s">
        <v>209</v>
      </c>
      <c r="C58" s="62">
        <f>C52+C56</f>
        <v>5206734.4499999946</v>
      </c>
    </row>
    <row r="59" spans="1:3" x14ac:dyDescent="0.3">
      <c r="A59" s="53"/>
      <c r="B59" s="53"/>
      <c r="C59" s="56"/>
    </row>
    <row r="60" spans="1:3" x14ac:dyDescent="0.3">
      <c r="A60" s="53">
        <v>38</v>
      </c>
      <c r="B60" s="53" t="s">
        <v>121</v>
      </c>
      <c r="C60" s="56">
        <f>'4.1 Comptes 2020 natures'!BH56</f>
        <v>762430</v>
      </c>
    </row>
    <row r="61" spans="1:3" x14ac:dyDescent="0.3">
      <c r="A61" s="53">
        <v>48</v>
      </c>
      <c r="B61" s="53" t="s">
        <v>181</v>
      </c>
      <c r="C61" s="56">
        <f>'4.1 Comptes 2020 natures'!BH131</f>
        <v>375093.52</v>
      </c>
    </row>
    <row r="62" spans="1:3" x14ac:dyDescent="0.3">
      <c r="A62" s="53"/>
      <c r="B62" s="55" t="s">
        <v>210</v>
      </c>
      <c r="C62" s="62">
        <f>C61-C60</f>
        <v>-387336.48</v>
      </c>
    </row>
    <row r="63" spans="1:3" x14ac:dyDescent="0.3">
      <c r="A63" s="53"/>
      <c r="B63" s="53"/>
      <c r="C63" s="56"/>
    </row>
    <row r="64" spans="1:3" x14ac:dyDescent="0.3">
      <c r="A64" s="53"/>
      <c r="B64" s="55" t="s">
        <v>211</v>
      </c>
      <c r="C64" s="62">
        <f>C58+C62</f>
        <v>4819397.9699999951</v>
      </c>
    </row>
    <row r="67" spans="1:3" x14ac:dyDescent="0.3">
      <c r="A67" s="7" t="s">
        <v>216</v>
      </c>
    </row>
    <row r="68" spans="1:3" x14ac:dyDescent="0.3">
      <c r="A68" s="7" t="s">
        <v>202</v>
      </c>
    </row>
    <row r="70" spans="1:3" x14ac:dyDescent="0.3">
      <c r="A70" s="51" t="s">
        <v>203</v>
      </c>
      <c r="B70" s="51" t="s">
        <v>204</v>
      </c>
      <c r="C70" s="51" t="s">
        <v>205</v>
      </c>
    </row>
    <row r="71" spans="1:3" x14ac:dyDescent="0.3">
      <c r="A71" s="52" t="s">
        <v>212</v>
      </c>
      <c r="B71" s="53" t="s">
        <v>206</v>
      </c>
      <c r="C71" s="56">
        <f>'4.1 Comptes 2020 natures'!BI5+'4.1 Comptes 2020 natures'!BI15+'4.1 Comptes 2020 natures'!BI27+'4.1 Comptes 2020 natures'!BI39+'4.1 Comptes 2020 natures'!BI43+'4.1 Comptes 2020 natures'!BI53</f>
        <v>115193958.59999999</v>
      </c>
    </row>
    <row r="72" spans="1:3" x14ac:dyDescent="0.3">
      <c r="A72" s="52" t="s">
        <v>213</v>
      </c>
      <c r="B72" s="53" t="s">
        <v>207</v>
      </c>
      <c r="C72" s="56">
        <f>'4.1 Comptes 2020 natures'!BI76+'4.1 Comptes 2020 natures'!BI82+'4.1 Comptes 2020 natures'!BI88+'4.1 Comptes 2020 natures'!BI99+'4.1 Comptes 2020 natures'!BI117+'4.1 Comptes 2020 natures'!BI121+'4.1 Comptes 2020 natures'!BI128</f>
        <v>117919837.27999999</v>
      </c>
    </row>
    <row r="73" spans="1:3" x14ac:dyDescent="0.3">
      <c r="A73" s="53"/>
      <c r="B73" s="55" t="s">
        <v>208</v>
      </c>
      <c r="C73" s="62">
        <f>C72-C71</f>
        <v>2725878.6799999923</v>
      </c>
    </row>
    <row r="74" spans="1:3" x14ac:dyDescent="0.3">
      <c r="A74" s="53"/>
      <c r="B74" s="53"/>
      <c r="C74" s="56"/>
    </row>
    <row r="75" spans="1:3" x14ac:dyDescent="0.3">
      <c r="A75" s="53">
        <v>34</v>
      </c>
      <c r="B75" s="53" t="s">
        <v>101</v>
      </c>
      <c r="C75" s="56">
        <f>'4.1 Comptes 2020 natures'!BI31</f>
        <v>3421336.13</v>
      </c>
    </row>
    <row r="76" spans="1:3" x14ac:dyDescent="0.3">
      <c r="A76" s="53">
        <v>44</v>
      </c>
      <c r="B76" s="53" t="s">
        <v>162</v>
      </c>
      <c r="C76" s="56">
        <f>'4.1 Comptes 2020 natures'!BI105</f>
        <v>6190920.0499999998</v>
      </c>
    </row>
    <row r="77" spans="1:3" x14ac:dyDescent="0.3">
      <c r="A77" s="53"/>
      <c r="B77" s="55" t="s">
        <v>244</v>
      </c>
      <c r="C77" s="62">
        <f>C76-C75</f>
        <v>2769583.92</v>
      </c>
    </row>
    <row r="78" spans="1:3" x14ac:dyDescent="0.3">
      <c r="A78" s="53"/>
      <c r="B78" s="53"/>
      <c r="C78" s="56"/>
    </row>
    <row r="79" spans="1:3" x14ac:dyDescent="0.3">
      <c r="A79" s="53"/>
      <c r="B79" s="55" t="s">
        <v>209</v>
      </c>
      <c r="C79" s="62">
        <f>C73+C77</f>
        <v>5495462.5999999922</v>
      </c>
    </row>
    <row r="80" spans="1:3" x14ac:dyDescent="0.3">
      <c r="A80" s="53"/>
      <c r="B80" s="53"/>
      <c r="C80" s="56"/>
    </row>
    <row r="81" spans="1:3" x14ac:dyDescent="0.3">
      <c r="A81" s="53">
        <v>38</v>
      </c>
      <c r="B81" s="53" t="s">
        <v>121</v>
      </c>
      <c r="C81" s="56">
        <f>'4.1 Comptes 2020 natures'!BI56</f>
        <v>3542424.7700000005</v>
      </c>
    </row>
    <row r="82" spans="1:3" x14ac:dyDescent="0.3">
      <c r="A82" s="53">
        <v>48</v>
      </c>
      <c r="B82" s="53" t="s">
        <v>181</v>
      </c>
      <c r="C82" s="56">
        <f>'4.1 Comptes 2020 natures'!BI131</f>
        <v>664951.15</v>
      </c>
    </row>
    <row r="83" spans="1:3" x14ac:dyDescent="0.3">
      <c r="A83" s="53"/>
      <c r="B83" s="55" t="s">
        <v>210</v>
      </c>
      <c r="C83" s="62">
        <f>C82-C81</f>
        <v>-2877473.6200000006</v>
      </c>
    </row>
    <row r="84" spans="1:3" x14ac:dyDescent="0.3">
      <c r="A84" s="53"/>
      <c r="B84" s="53"/>
      <c r="C84" s="56"/>
    </row>
    <row r="85" spans="1:3" x14ac:dyDescent="0.3">
      <c r="A85" s="53"/>
      <c r="B85" s="55" t="s">
        <v>211</v>
      </c>
      <c r="C85" s="62">
        <f>C79+C83</f>
        <v>2617988.9799999916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F155" sqref="F155"/>
    </sheetView>
  </sheetViews>
  <sheetFormatPr baseColWidth="10" defaultRowHeight="14.4" x14ac:dyDescent="0.3"/>
  <cols>
    <col min="1" max="1" width="21.88671875" customWidth="1"/>
    <col min="2" max="2" width="40.44140625" customWidth="1"/>
    <col min="3" max="3" width="22.88671875" customWidth="1"/>
  </cols>
  <sheetData>
    <row r="1" spans="1:3" ht="25.8" x14ac:dyDescent="0.5">
      <c r="A1" s="42" t="s">
        <v>200</v>
      </c>
    </row>
    <row r="4" spans="1:3" ht="15" thickBot="1" x14ac:dyDescent="0.35">
      <c r="B4" t="s">
        <v>607</v>
      </c>
    </row>
    <row r="5" spans="1:3" ht="15" thickBot="1" x14ac:dyDescent="0.35">
      <c r="B5" s="174" t="s">
        <v>14</v>
      </c>
    </row>
    <row r="7" spans="1:3" x14ac:dyDescent="0.3">
      <c r="A7" s="51" t="s">
        <v>203</v>
      </c>
      <c r="B7" s="51" t="s">
        <v>204</v>
      </c>
      <c r="C7" s="51" t="s">
        <v>205</v>
      </c>
    </row>
    <row r="8" spans="1:3" x14ac:dyDescent="0.3">
      <c r="A8" s="52" t="s">
        <v>212</v>
      </c>
      <c r="B8" s="53" t="s">
        <v>206</v>
      </c>
      <c r="C8" s="56">
        <f>HLOOKUP($B$5,'4.1 Comptes 2020 natures'!$E$3:$BE$183,181,0)</f>
        <v>0</v>
      </c>
    </row>
    <row r="9" spans="1:3" x14ac:dyDescent="0.3">
      <c r="A9" s="52" t="s">
        <v>213</v>
      </c>
      <c r="B9" s="53" t="s">
        <v>207</v>
      </c>
      <c r="C9" s="56" t="e">
        <f>HLOOKUP($B$5,'4.1 Comptes 2020 natures'!$E$3:$BE$183,182,0)</f>
        <v>#REF!</v>
      </c>
    </row>
    <row r="10" spans="1:3" x14ac:dyDescent="0.3">
      <c r="A10" s="53"/>
      <c r="B10" s="55" t="s">
        <v>208</v>
      </c>
      <c r="C10" s="62" t="e">
        <f>C9-C8</f>
        <v>#REF!</v>
      </c>
    </row>
    <row r="11" spans="1:3" x14ac:dyDescent="0.3">
      <c r="A11" s="53"/>
      <c r="B11" s="53"/>
      <c r="C11" s="53"/>
    </row>
    <row r="12" spans="1:3" x14ac:dyDescent="0.3">
      <c r="A12" s="53">
        <v>34</v>
      </c>
      <c r="B12" s="53" t="s">
        <v>101</v>
      </c>
      <c r="C12" s="56">
        <f>HLOOKUP($B$5,'4.1 Comptes 2020 natures'!$E$3:$BE$183,29,0)</f>
        <v>190129.1</v>
      </c>
    </row>
    <row r="13" spans="1:3" x14ac:dyDescent="0.3">
      <c r="A13" s="53">
        <v>44</v>
      </c>
      <c r="B13" s="53" t="s">
        <v>162</v>
      </c>
      <c r="C13" s="56">
        <f>HLOOKUP($B$5,'4.1 Comptes 2020 natures'!$E$3:$BE$183,103,0)</f>
        <v>589775.14999999991</v>
      </c>
    </row>
    <row r="14" spans="1:3" x14ac:dyDescent="0.3">
      <c r="A14" s="53"/>
      <c r="B14" s="55" t="s">
        <v>244</v>
      </c>
      <c r="C14" s="62">
        <f>C13-C12</f>
        <v>399646.04999999993</v>
      </c>
    </row>
    <row r="15" spans="1:3" x14ac:dyDescent="0.3">
      <c r="A15" s="53"/>
      <c r="B15" s="53"/>
      <c r="C15" s="53"/>
    </row>
    <row r="16" spans="1:3" x14ac:dyDescent="0.3">
      <c r="A16" s="53"/>
      <c r="B16" s="55" t="s">
        <v>209</v>
      </c>
      <c r="C16" s="62" t="e">
        <f>C10+C14</f>
        <v>#REF!</v>
      </c>
    </row>
    <row r="17" spans="1:3" x14ac:dyDescent="0.3">
      <c r="A17" s="53"/>
      <c r="B17" s="53"/>
      <c r="C17" s="53"/>
    </row>
    <row r="18" spans="1:3" x14ac:dyDescent="0.3">
      <c r="A18" s="53">
        <v>38</v>
      </c>
      <c r="B18" s="53" t="s">
        <v>121</v>
      </c>
      <c r="C18" s="56">
        <f>HLOOKUP($B$5,'4.1 Comptes 2020 natures'!$E$3:$BE$183,54,0)</f>
        <v>208871.4</v>
      </c>
    </row>
    <row r="19" spans="1:3" x14ac:dyDescent="0.3">
      <c r="A19" s="53">
        <v>48</v>
      </c>
      <c r="B19" s="53" t="s">
        <v>181</v>
      </c>
      <c r="C19" s="56">
        <f>HLOOKUP($B$5,'4.1 Comptes 2020 natures'!$E$3:$BE$183,129,0)</f>
        <v>0</v>
      </c>
    </row>
    <row r="20" spans="1:3" x14ac:dyDescent="0.3">
      <c r="A20" s="53"/>
      <c r="B20" s="55" t="s">
        <v>210</v>
      </c>
      <c r="C20" s="62">
        <f>C19-C18</f>
        <v>-208871.4</v>
      </c>
    </row>
    <row r="21" spans="1:3" x14ac:dyDescent="0.3">
      <c r="A21" s="53"/>
      <c r="B21" s="53"/>
      <c r="C21" s="53"/>
    </row>
    <row r="22" spans="1:3" x14ac:dyDescent="0.3">
      <c r="A22" s="53"/>
      <c r="B22" s="55" t="s">
        <v>211</v>
      </c>
      <c r="C22" s="62" t="e">
        <f>C16+C20</f>
        <v>#REF!</v>
      </c>
    </row>
    <row r="25" spans="1:3" x14ac:dyDescent="0.3">
      <c r="C25" s="101"/>
    </row>
    <row r="26" spans="1:3" x14ac:dyDescent="0.3">
      <c r="C26" s="4"/>
    </row>
    <row r="27" spans="1:3" x14ac:dyDescent="0.3">
      <c r="C27" s="10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2020 natures'!$E$3:$BE$3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27"/>
  <sheetViews>
    <sheetView workbookViewId="0">
      <selection activeCell="F155" sqref="F155"/>
    </sheetView>
  </sheetViews>
  <sheetFormatPr baseColWidth="10" defaultRowHeight="14.4" x14ac:dyDescent="0.3"/>
  <cols>
    <col min="1" max="3" width="4.6640625" customWidth="1"/>
    <col min="4" max="4" width="9" customWidth="1"/>
    <col min="5" max="5" width="63.5546875" customWidth="1"/>
    <col min="6" max="59" width="16.33203125" customWidth="1"/>
    <col min="60" max="62" width="17.88671875" customWidth="1"/>
  </cols>
  <sheetData>
    <row r="1" spans="1:62" ht="25.8" x14ac:dyDescent="0.5">
      <c r="A1" s="42" t="s">
        <v>245</v>
      </c>
      <c r="B1" s="7"/>
      <c r="C1" s="7"/>
      <c r="D1" s="7"/>
      <c r="E1" s="78"/>
    </row>
    <row r="2" spans="1:62" ht="18" x14ac:dyDescent="0.35">
      <c r="A2" s="201" t="s">
        <v>766</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f>SUM(F2:BF2)</f>
        <v>91</v>
      </c>
      <c r="BH2" s="57">
        <f>SUM(F2:X2)</f>
        <v>91</v>
      </c>
      <c r="BI2" s="57">
        <f>SUM(Y2:AK2)</f>
        <v>0</v>
      </c>
      <c r="BJ2" s="57">
        <f>SUM(AL2:BF2)</f>
        <v>0</v>
      </c>
    </row>
    <row r="3" spans="1:62" x14ac:dyDescent="0.3">
      <c r="F3" s="43" t="s">
        <v>56</v>
      </c>
      <c r="G3" s="43" t="s">
        <v>18</v>
      </c>
      <c r="H3" s="43" t="s">
        <v>57</v>
      </c>
      <c r="I3" s="43" t="s">
        <v>53</v>
      </c>
      <c r="J3" s="43" t="s">
        <v>33</v>
      </c>
      <c r="K3" s="43" t="s">
        <v>10</v>
      </c>
      <c r="L3" s="43" t="s">
        <v>15</v>
      </c>
      <c r="M3" s="43" t="s">
        <v>28</v>
      </c>
      <c r="N3" s="43" t="s">
        <v>42</v>
      </c>
      <c r="O3" s="43" t="s">
        <v>23</v>
      </c>
      <c r="P3" s="43" t="s">
        <v>22</v>
      </c>
      <c r="Q3" s="43" t="s">
        <v>13</v>
      </c>
      <c r="R3" s="43" t="s">
        <v>17</v>
      </c>
      <c r="S3" s="43"/>
      <c r="T3" s="43"/>
      <c r="U3" s="43"/>
      <c r="V3" s="43"/>
      <c r="W3" s="43"/>
      <c r="X3" s="43"/>
      <c r="Y3" s="44"/>
      <c r="Z3" s="44"/>
      <c r="AA3" s="44"/>
      <c r="AB3" s="44"/>
      <c r="AC3" s="44"/>
      <c r="AD3" s="44"/>
      <c r="AE3" s="44"/>
      <c r="AF3" s="44"/>
      <c r="AG3" s="44"/>
      <c r="AH3" s="44"/>
      <c r="AI3" s="44"/>
      <c r="AJ3" s="44"/>
      <c r="AK3" s="44"/>
      <c r="AL3" s="45"/>
      <c r="AM3" s="45"/>
      <c r="AN3" s="45"/>
      <c r="AO3" s="45"/>
      <c r="AP3" s="45"/>
      <c r="AQ3" s="45"/>
      <c r="AR3" s="45"/>
      <c r="AS3" s="45"/>
      <c r="AT3" s="45"/>
      <c r="AU3" s="45"/>
      <c r="AV3" s="45"/>
      <c r="AW3" s="45"/>
      <c r="AX3" s="45"/>
      <c r="AY3" s="45"/>
      <c r="AZ3" s="45"/>
      <c r="BA3" s="45"/>
      <c r="BB3" s="45"/>
      <c r="BC3" s="45"/>
      <c r="BD3" s="45"/>
      <c r="BE3" s="45"/>
      <c r="BF3" s="45"/>
      <c r="BG3" s="47" t="s">
        <v>65</v>
      </c>
      <c r="BH3" s="48" t="s">
        <v>28</v>
      </c>
      <c r="BI3" s="50" t="s">
        <v>64</v>
      </c>
      <c r="BJ3" s="46" t="s">
        <v>16</v>
      </c>
    </row>
    <row r="4" spans="1:62" ht="21" x14ac:dyDescent="0.4">
      <c r="A4" s="73">
        <v>1</v>
      </c>
      <c r="B4" s="73"/>
      <c r="C4" s="73"/>
      <c r="D4" s="73"/>
      <c r="E4" s="73" t="s">
        <v>246</v>
      </c>
      <c r="F4" s="87">
        <f>F6+F14+F24+F30+F40+F47+F53+F61+F68+F79+F85+F96+F107</f>
        <v>0</v>
      </c>
      <c r="G4" s="87">
        <f t="shared" ref="G4:BF4" si="0">G6+G14+G24+G30+G40+G47+G53+G61+G68+G79+G85+G96+G107</f>
        <v>0</v>
      </c>
      <c r="H4" s="87">
        <f t="shared" si="0"/>
        <v>0</v>
      </c>
      <c r="I4" s="87">
        <f t="shared" si="0"/>
        <v>0</v>
      </c>
      <c r="J4" s="87">
        <f t="shared" si="0"/>
        <v>0</v>
      </c>
      <c r="K4" s="87">
        <f t="shared" si="0"/>
        <v>0</v>
      </c>
      <c r="L4" s="87">
        <f t="shared" si="0"/>
        <v>0</v>
      </c>
      <c r="M4" s="87">
        <f t="shared" si="0"/>
        <v>0</v>
      </c>
      <c r="N4" s="87">
        <f t="shared" si="0"/>
        <v>0</v>
      </c>
      <c r="O4" s="87">
        <f t="shared" si="0"/>
        <v>0</v>
      </c>
      <c r="P4" s="87">
        <f t="shared" si="0"/>
        <v>0</v>
      </c>
      <c r="Q4" s="87">
        <f t="shared" si="0"/>
        <v>0</v>
      </c>
      <c r="R4" s="87">
        <f t="shared" si="0"/>
        <v>0</v>
      </c>
      <c r="S4" s="87">
        <f t="shared" si="0"/>
        <v>0</v>
      </c>
      <c r="T4" s="87">
        <f t="shared" si="0"/>
        <v>0</v>
      </c>
      <c r="U4" s="87">
        <f t="shared" si="0"/>
        <v>0</v>
      </c>
      <c r="V4" s="87">
        <f t="shared" si="0"/>
        <v>0</v>
      </c>
      <c r="W4" s="87">
        <f t="shared" si="0"/>
        <v>0</v>
      </c>
      <c r="X4" s="87">
        <f t="shared" si="0"/>
        <v>0</v>
      </c>
      <c r="Y4" s="87">
        <f t="shared" si="0"/>
        <v>0</v>
      </c>
      <c r="Z4" s="87">
        <f t="shared" si="0"/>
        <v>0</v>
      </c>
      <c r="AA4" s="87">
        <f t="shared" si="0"/>
        <v>0</v>
      </c>
      <c r="AB4" s="87">
        <f t="shared" si="0"/>
        <v>0</v>
      </c>
      <c r="AC4" s="87">
        <f t="shared" si="0"/>
        <v>0</v>
      </c>
      <c r="AD4" s="87">
        <f t="shared" si="0"/>
        <v>0</v>
      </c>
      <c r="AE4" s="87">
        <f t="shared" si="0"/>
        <v>0</v>
      </c>
      <c r="AF4" s="87">
        <f t="shared" si="0"/>
        <v>0</v>
      </c>
      <c r="AG4" s="87">
        <f t="shared" si="0"/>
        <v>0</v>
      </c>
      <c r="AH4" s="87">
        <f t="shared" si="0"/>
        <v>0</v>
      </c>
      <c r="AI4" s="87">
        <f t="shared" si="0"/>
        <v>0</v>
      </c>
      <c r="AJ4" s="87">
        <f t="shared" si="0"/>
        <v>0</v>
      </c>
      <c r="AK4" s="87">
        <f t="shared" si="0"/>
        <v>0</v>
      </c>
      <c r="AL4" s="87">
        <f t="shared" si="0"/>
        <v>0</v>
      </c>
      <c r="AM4" s="87">
        <f t="shared" si="0"/>
        <v>0</v>
      </c>
      <c r="AN4" s="87">
        <f t="shared" si="0"/>
        <v>0</v>
      </c>
      <c r="AO4" s="87">
        <f t="shared" si="0"/>
        <v>0</v>
      </c>
      <c r="AP4" s="87">
        <f t="shared" si="0"/>
        <v>0</v>
      </c>
      <c r="AQ4" s="87">
        <f t="shared" si="0"/>
        <v>0</v>
      </c>
      <c r="AR4" s="87">
        <f t="shared" si="0"/>
        <v>0</v>
      </c>
      <c r="AS4" s="87">
        <f t="shared" si="0"/>
        <v>0</v>
      </c>
      <c r="AT4" s="87">
        <f t="shared" si="0"/>
        <v>0</v>
      </c>
      <c r="AU4" s="87">
        <f t="shared" si="0"/>
        <v>0</v>
      </c>
      <c r="AV4" s="87">
        <f t="shared" si="0"/>
        <v>0</v>
      </c>
      <c r="AW4" s="87">
        <f t="shared" si="0"/>
        <v>0</v>
      </c>
      <c r="AX4" s="87">
        <f t="shared" si="0"/>
        <v>0</v>
      </c>
      <c r="AY4" s="87">
        <f t="shared" si="0"/>
        <v>0</v>
      </c>
      <c r="AZ4" s="87">
        <f t="shared" si="0"/>
        <v>0</v>
      </c>
      <c r="BA4" s="87">
        <f t="shared" si="0"/>
        <v>0</v>
      </c>
      <c r="BB4" s="87">
        <f t="shared" si="0"/>
        <v>0</v>
      </c>
      <c r="BC4" s="87">
        <f t="shared" si="0"/>
        <v>0</v>
      </c>
      <c r="BD4" s="87">
        <f t="shared" si="0"/>
        <v>0</v>
      </c>
      <c r="BE4" s="87">
        <f t="shared" si="0"/>
        <v>0</v>
      </c>
      <c r="BF4" s="87">
        <f t="shared" si="0"/>
        <v>0</v>
      </c>
      <c r="BG4" s="87">
        <f>SUM(F4:BF4)</f>
        <v>0</v>
      </c>
      <c r="BH4" s="87">
        <f>SUM(F4:X4)</f>
        <v>0</v>
      </c>
      <c r="BI4" s="87">
        <f>SUM(Y4:AK4)</f>
        <v>0</v>
      </c>
      <c r="BJ4" s="87">
        <f>SUM(AL4:BF4)</f>
        <v>0</v>
      </c>
    </row>
    <row r="5" spans="1:62" x14ac:dyDescent="0.3">
      <c r="A5" s="78"/>
      <c r="B5" s="74">
        <v>10</v>
      </c>
      <c r="C5" s="74"/>
      <c r="D5" s="74"/>
      <c r="E5" s="74" t="s">
        <v>247</v>
      </c>
      <c r="F5" s="75">
        <f>F6+F14+F24+F30+F40+F47+F53+F61</f>
        <v>0</v>
      </c>
      <c r="G5" s="75">
        <f t="shared" ref="G5:BF5" si="1">G6+G14+G24+G30+G40+G47+G53+G61</f>
        <v>0</v>
      </c>
      <c r="H5" s="75">
        <f t="shared" si="1"/>
        <v>0</v>
      </c>
      <c r="I5" s="75">
        <f t="shared" si="1"/>
        <v>0</v>
      </c>
      <c r="J5" s="75">
        <f t="shared" si="1"/>
        <v>0</v>
      </c>
      <c r="K5" s="75">
        <f t="shared" si="1"/>
        <v>0</v>
      </c>
      <c r="L5" s="75">
        <f t="shared" si="1"/>
        <v>0</v>
      </c>
      <c r="M5" s="75">
        <f t="shared" si="1"/>
        <v>0</v>
      </c>
      <c r="N5" s="75">
        <f t="shared" si="1"/>
        <v>0</v>
      </c>
      <c r="O5" s="75">
        <f t="shared" si="1"/>
        <v>0</v>
      </c>
      <c r="P5" s="75">
        <f t="shared" si="1"/>
        <v>0</v>
      </c>
      <c r="Q5" s="75">
        <f t="shared" si="1"/>
        <v>0</v>
      </c>
      <c r="R5" s="75">
        <f t="shared" si="1"/>
        <v>0</v>
      </c>
      <c r="S5" s="75">
        <f t="shared" si="1"/>
        <v>0</v>
      </c>
      <c r="T5" s="75">
        <f t="shared" si="1"/>
        <v>0</v>
      </c>
      <c r="U5" s="75">
        <f t="shared" si="1"/>
        <v>0</v>
      </c>
      <c r="V5" s="75">
        <f t="shared" si="1"/>
        <v>0</v>
      </c>
      <c r="W5" s="75">
        <f t="shared" si="1"/>
        <v>0</v>
      </c>
      <c r="X5" s="75">
        <f t="shared" si="1"/>
        <v>0</v>
      </c>
      <c r="Y5" s="75">
        <f t="shared" si="1"/>
        <v>0</v>
      </c>
      <c r="Z5" s="75">
        <f t="shared" si="1"/>
        <v>0</v>
      </c>
      <c r="AA5" s="75">
        <f t="shared" si="1"/>
        <v>0</v>
      </c>
      <c r="AB5" s="75">
        <f t="shared" si="1"/>
        <v>0</v>
      </c>
      <c r="AC5" s="75">
        <f t="shared" si="1"/>
        <v>0</v>
      </c>
      <c r="AD5" s="75">
        <f t="shared" si="1"/>
        <v>0</v>
      </c>
      <c r="AE5" s="75">
        <f t="shared" si="1"/>
        <v>0</v>
      </c>
      <c r="AF5" s="75">
        <f t="shared" si="1"/>
        <v>0</v>
      </c>
      <c r="AG5" s="75">
        <f t="shared" si="1"/>
        <v>0</v>
      </c>
      <c r="AH5" s="75">
        <f t="shared" si="1"/>
        <v>0</v>
      </c>
      <c r="AI5" s="75">
        <f t="shared" si="1"/>
        <v>0</v>
      </c>
      <c r="AJ5" s="75">
        <f t="shared" si="1"/>
        <v>0</v>
      </c>
      <c r="AK5" s="75">
        <f t="shared" si="1"/>
        <v>0</v>
      </c>
      <c r="AL5" s="75">
        <f t="shared" si="1"/>
        <v>0</v>
      </c>
      <c r="AM5" s="75">
        <f t="shared" si="1"/>
        <v>0</v>
      </c>
      <c r="AN5" s="75">
        <f t="shared" si="1"/>
        <v>0</v>
      </c>
      <c r="AO5" s="75">
        <f t="shared" si="1"/>
        <v>0</v>
      </c>
      <c r="AP5" s="75">
        <f t="shared" si="1"/>
        <v>0</v>
      </c>
      <c r="AQ5" s="75">
        <f t="shared" si="1"/>
        <v>0</v>
      </c>
      <c r="AR5" s="75">
        <f t="shared" si="1"/>
        <v>0</v>
      </c>
      <c r="AS5" s="75">
        <f t="shared" si="1"/>
        <v>0</v>
      </c>
      <c r="AT5" s="75">
        <f t="shared" si="1"/>
        <v>0</v>
      </c>
      <c r="AU5" s="75">
        <f t="shared" si="1"/>
        <v>0</v>
      </c>
      <c r="AV5" s="75">
        <f t="shared" si="1"/>
        <v>0</v>
      </c>
      <c r="AW5" s="75">
        <f t="shared" si="1"/>
        <v>0</v>
      </c>
      <c r="AX5" s="75">
        <f t="shared" si="1"/>
        <v>0</v>
      </c>
      <c r="AY5" s="75">
        <f t="shared" si="1"/>
        <v>0</v>
      </c>
      <c r="AZ5" s="75">
        <f t="shared" si="1"/>
        <v>0</v>
      </c>
      <c r="BA5" s="75">
        <f t="shared" si="1"/>
        <v>0</v>
      </c>
      <c r="BB5" s="75">
        <f t="shared" si="1"/>
        <v>0</v>
      </c>
      <c r="BC5" s="75">
        <f t="shared" si="1"/>
        <v>0</v>
      </c>
      <c r="BD5" s="75">
        <f t="shared" si="1"/>
        <v>0</v>
      </c>
      <c r="BE5" s="75">
        <f t="shared" si="1"/>
        <v>0</v>
      </c>
      <c r="BF5" s="75">
        <f t="shared" si="1"/>
        <v>0</v>
      </c>
      <c r="BG5" s="75">
        <f>SUM(F5:BF5)</f>
        <v>0</v>
      </c>
      <c r="BH5" s="75">
        <f t="shared" ref="BH5:BH68" si="2">SUM(F5:X5)</f>
        <v>0</v>
      </c>
      <c r="BI5" s="75">
        <f t="shared" ref="BI5:BI68" si="3">SUM(Y5:AK5)</f>
        <v>0</v>
      </c>
      <c r="BJ5" s="75">
        <f t="shared" ref="BJ5:BJ68" si="4">SUM(AL5:BF5)</f>
        <v>0</v>
      </c>
    </row>
    <row r="6" spans="1:62" x14ac:dyDescent="0.3">
      <c r="A6" s="79"/>
      <c r="B6" s="79"/>
      <c r="C6" s="69">
        <v>100</v>
      </c>
      <c r="D6" s="69"/>
      <c r="E6" s="69" t="s">
        <v>248</v>
      </c>
      <c r="F6" s="70">
        <f>F7+F8+F9+F10+F11+F12</f>
        <v>0</v>
      </c>
      <c r="G6" s="70">
        <f t="shared" ref="G6:BF6" si="5">G7+G8+G9+G10+G11+G12</f>
        <v>0</v>
      </c>
      <c r="H6" s="70">
        <f t="shared" si="5"/>
        <v>0</v>
      </c>
      <c r="I6" s="70">
        <f t="shared" si="5"/>
        <v>0</v>
      </c>
      <c r="J6" s="70">
        <f t="shared" si="5"/>
        <v>0</v>
      </c>
      <c r="K6" s="70">
        <f t="shared" si="5"/>
        <v>0</v>
      </c>
      <c r="L6" s="70">
        <f t="shared" si="5"/>
        <v>0</v>
      </c>
      <c r="M6" s="70">
        <f t="shared" si="5"/>
        <v>0</v>
      </c>
      <c r="N6" s="70">
        <f t="shared" si="5"/>
        <v>0</v>
      </c>
      <c r="O6" s="70">
        <f t="shared" si="5"/>
        <v>0</v>
      </c>
      <c r="P6" s="70">
        <f t="shared" si="5"/>
        <v>0</v>
      </c>
      <c r="Q6" s="70">
        <f t="shared" si="5"/>
        <v>0</v>
      </c>
      <c r="R6" s="70">
        <f t="shared" si="5"/>
        <v>0</v>
      </c>
      <c r="S6" s="70">
        <f t="shared" si="5"/>
        <v>0</v>
      </c>
      <c r="T6" s="70">
        <f t="shared" si="5"/>
        <v>0</v>
      </c>
      <c r="U6" s="70">
        <f t="shared" si="5"/>
        <v>0</v>
      </c>
      <c r="V6" s="70">
        <f t="shared" si="5"/>
        <v>0</v>
      </c>
      <c r="W6" s="70">
        <f t="shared" si="5"/>
        <v>0</v>
      </c>
      <c r="X6" s="70">
        <f t="shared" si="5"/>
        <v>0</v>
      </c>
      <c r="Y6" s="70">
        <f t="shared" si="5"/>
        <v>0</v>
      </c>
      <c r="Z6" s="70">
        <f t="shared" si="5"/>
        <v>0</v>
      </c>
      <c r="AA6" s="70">
        <f t="shared" si="5"/>
        <v>0</v>
      </c>
      <c r="AB6" s="70">
        <f t="shared" si="5"/>
        <v>0</v>
      </c>
      <c r="AC6" s="70">
        <f t="shared" si="5"/>
        <v>0</v>
      </c>
      <c r="AD6" s="70">
        <f t="shared" si="5"/>
        <v>0</v>
      </c>
      <c r="AE6" s="70">
        <f t="shared" si="5"/>
        <v>0</v>
      </c>
      <c r="AF6" s="70">
        <f t="shared" si="5"/>
        <v>0</v>
      </c>
      <c r="AG6" s="70">
        <f t="shared" si="5"/>
        <v>0</v>
      </c>
      <c r="AH6" s="70">
        <f t="shared" si="5"/>
        <v>0</v>
      </c>
      <c r="AI6" s="70">
        <f t="shared" si="5"/>
        <v>0</v>
      </c>
      <c r="AJ6" s="70">
        <f t="shared" si="5"/>
        <v>0</v>
      </c>
      <c r="AK6" s="70">
        <f t="shared" si="5"/>
        <v>0</v>
      </c>
      <c r="AL6" s="70">
        <f t="shared" si="5"/>
        <v>0</v>
      </c>
      <c r="AM6" s="70">
        <f t="shared" si="5"/>
        <v>0</v>
      </c>
      <c r="AN6" s="70">
        <f t="shared" si="5"/>
        <v>0</v>
      </c>
      <c r="AO6" s="70">
        <f t="shared" si="5"/>
        <v>0</v>
      </c>
      <c r="AP6" s="70">
        <f t="shared" si="5"/>
        <v>0</v>
      </c>
      <c r="AQ6" s="70">
        <f t="shared" si="5"/>
        <v>0</v>
      </c>
      <c r="AR6" s="70">
        <f t="shared" si="5"/>
        <v>0</v>
      </c>
      <c r="AS6" s="70">
        <f t="shared" si="5"/>
        <v>0</v>
      </c>
      <c r="AT6" s="70">
        <f t="shared" si="5"/>
        <v>0</v>
      </c>
      <c r="AU6" s="70">
        <f t="shared" si="5"/>
        <v>0</v>
      </c>
      <c r="AV6" s="70">
        <f t="shared" si="5"/>
        <v>0</v>
      </c>
      <c r="AW6" s="70">
        <f t="shared" si="5"/>
        <v>0</v>
      </c>
      <c r="AX6" s="70">
        <f t="shared" si="5"/>
        <v>0</v>
      </c>
      <c r="AY6" s="70">
        <f t="shared" si="5"/>
        <v>0</v>
      </c>
      <c r="AZ6" s="70">
        <f t="shared" si="5"/>
        <v>0</v>
      </c>
      <c r="BA6" s="70">
        <f t="shared" si="5"/>
        <v>0</v>
      </c>
      <c r="BB6" s="70">
        <f t="shared" si="5"/>
        <v>0</v>
      </c>
      <c r="BC6" s="70">
        <f t="shared" si="5"/>
        <v>0</v>
      </c>
      <c r="BD6" s="70">
        <f t="shared" si="5"/>
        <v>0</v>
      </c>
      <c r="BE6" s="70">
        <f t="shared" si="5"/>
        <v>0</v>
      </c>
      <c r="BF6" s="70">
        <f t="shared" si="5"/>
        <v>0</v>
      </c>
      <c r="BG6" s="70">
        <f t="shared" ref="BG6:BG69" si="6">SUM(F6:BF6)</f>
        <v>0</v>
      </c>
      <c r="BH6" s="70">
        <f t="shared" si="2"/>
        <v>0</v>
      </c>
      <c r="BI6" s="70">
        <f t="shared" si="3"/>
        <v>0</v>
      </c>
      <c r="BJ6" s="70">
        <f t="shared" si="4"/>
        <v>0</v>
      </c>
    </row>
    <row r="7" spans="1:62" x14ac:dyDescent="0.3">
      <c r="D7">
        <v>1000</v>
      </c>
      <c r="E7" t="s">
        <v>322</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80">
        <f t="shared" si="6"/>
        <v>0</v>
      </c>
      <c r="BH7" s="80">
        <f t="shared" si="2"/>
        <v>0</v>
      </c>
      <c r="BI7" s="80">
        <f t="shared" si="3"/>
        <v>0</v>
      </c>
      <c r="BJ7" s="80">
        <f t="shared" si="4"/>
        <v>0</v>
      </c>
    </row>
    <row r="8" spans="1:62" x14ac:dyDescent="0.3">
      <c r="D8">
        <v>1001</v>
      </c>
      <c r="E8" t="s">
        <v>323</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80">
        <f t="shared" si="6"/>
        <v>0</v>
      </c>
      <c r="BH8" s="80">
        <f t="shared" si="2"/>
        <v>0</v>
      </c>
      <c r="BI8" s="80">
        <f t="shared" si="3"/>
        <v>0</v>
      </c>
      <c r="BJ8" s="80">
        <f t="shared" si="4"/>
        <v>0</v>
      </c>
    </row>
    <row r="9" spans="1:62" x14ac:dyDescent="0.3">
      <c r="D9">
        <v>1002</v>
      </c>
      <c r="E9" t="s">
        <v>331</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80">
        <f t="shared" si="6"/>
        <v>0</v>
      </c>
      <c r="BH9" s="80">
        <f t="shared" si="2"/>
        <v>0</v>
      </c>
      <c r="BI9" s="80">
        <f t="shared" si="3"/>
        <v>0</v>
      </c>
      <c r="BJ9" s="80">
        <f t="shared" si="4"/>
        <v>0</v>
      </c>
    </row>
    <row r="10" spans="1:62" x14ac:dyDescent="0.3">
      <c r="D10">
        <v>1003</v>
      </c>
      <c r="E10" t="s">
        <v>324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80">
        <f t="shared" si="6"/>
        <v>0</v>
      </c>
      <c r="BH10" s="80">
        <f t="shared" si="2"/>
        <v>0</v>
      </c>
      <c r="BI10" s="80">
        <f t="shared" si="3"/>
        <v>0</v>
      </c>
      <c r="BJ10" s="80">
        <f t="shared" si="4"/>
        <v>0</v>
      </c>
    </row>
    <row r="11" spans="1:62" x14ac:dyDescent="0.3">
      <c r="D11">
        <v>1004</v>
      </c>
      <c r="E11" t="s">
        <v>325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80">
        <f t="shared" si="6"/>
        <v>0</v>
      </c>
      <c r="BH11" s="80">
        <f t="shared" si="2"/>
        <v>0</v>
      </c>
      <c r="BI11" s="80">
        <f t="shared" si="3"/>
        <v>0</v>
      </c>
      <c r="BJ11" s="80">
        <f t="shared" si="4"/>
        <v>0</v>
      </c>
    </row>
    <row r="12" spans="1:62" x14ac:dyDescent="0.3">
      <c r="D12">
        <v>1009</v>
      </c>
      <c r="E12" t="s">
        <v>326</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80">
        <f t="shared" si="6"/>
        <v>0</v>
      </c>
      <c r="BH12" s="80">
        <f t="shared" si="2"/>
        <v>0</v>
      </c>
      <c r="BI12" s="80">
        <f t="shared" si="3"/>
        <v>0</v>
      </c>
      <c r="BJ12" s="80">
        <f t="shared" si="4"/>
        <v>0</v>
      </c>
    </row>
    <row r="13" spans="1:62" x14ac:dyDescent="0.3">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3">
      <c r="A14" s="79"/>
      <c r="B14" s="79"/>
      <c r="C14" s="69">
        <v>101</v>
      </c>
      <c r="D14" s="69"/>
      <c r="E14" s="69" t="s">
        <v>249</v>
      </c>
      <c r="F14" s="70">
        <f>F15+F16+F17+F18+F19+F20+F21+F22</f>
        <v>0</v>
      </c>
      <c r="G14" s="70">
        <f t="shared" ref="G14:BF14" si="7">G15+G16+G17+G18+G19+G20+G21+G22</f>
        <v>0</v>
      </c>
      <c r="H14" s="70">
        <f t="shared" si="7"/>
        <v>0</v>
      </c>
      <c r="I14" s="70">
        <f t="shared" si="7"/>
        <v>0</v>
      </c>
      <c r="J14" s="70">
        <f t="shared" si="7"/>
        <v>0</v>
      </c>
      <c r="K14" s="70">
        <f t="shared" si="7"/>
        <v>0</v>
      </c>
      <c r="L14" s="70">
        <f t="shared" si="7"/>
        <v>0</v>
      </c>
      <c r="M14" s="70">
        <f t="shared" si="7"/>
        <v>0</v>
      </c>
      <c r="N14" s="70">
        <f t="shared" si="7"/>
        <v>0</v>
      </c>
      <c r="O14" s="70">
        <f t="shared" si="7"/>
        <v>0</v>
      </c>
      <c r="P14" s="70">
        <f t="shared" si="7"/>
        <v>0</v>
      </c>
      <c r="Q14" s="70">
        <f t="shared" si="7"/>
        <v>0</v>
      </c>
      <c r="R14" s="70">
        <f t="shared" si="7"/>
        <v>0</v>
      </c>
      <c r="S14" s="70">
        <f t="shared" si="7"/>
        <v>0</v>
      </c>
      <c r="T14" s="70">
        <f t="shared" si="7"/>
        <v>0</v>
      </c>
      <c r="U14" s="70">
        <f t="shared" si="7"/>
        <v>0</v>
      </c>
      <c r="V14" s="70">
        <f t="shared" si="7"/>
        <v>0</v>
      </c>
      <c r="W14" s="70">
        <f t="shared" si="7"/>
        <v>0</v>
      </c>
      <c r="X14" s="70">
        <f t="shared" si="7"/>
        <v>0</v>
      </c>
      <c r="Y14" s="70">
        <f t="shared" si="7"/>
        <v>0</v>
      </c>
      <c r="Z14" s="70">
        <f t="shared" si="7"/>
        <v>0</v>
      </c>
      <c r="AA14" s="70">
        <f t="shared" si="7"/>
        <v>0</v>
      </c>
      <c r="AB14" s="70">
        <f t="shared" si="7"/>
        <v>0</v>
      </c>
      <c r="AC14" s="70">
        <f t="shared" si="7"/>
        <v>0</v>
      </c>
      <c r="AD14" s="70">
        <f t="shared" si="7"/>
        <v>0</v>
      </c>
      <c r="AE14" s="70">
        <f t="shared" si="7"/>
        <v>0</v>
      </c>
      <c r="AF14" s="70">
        <f t="shared" si="7"/>
        <v>0</v>
      </c>
      <c r="AG14" s="70">
        <f t="shared" si="7"/>
        <v>0</v>
      </c>
      <c r="AH14" s="70">
        <f t="shared" si="7"/>
        <v>0</v>
      </c>
      <c r="AI14" s="70">
        <f t="shared" si="7"/>
        <v>0</v>
      </c>
      <c r="AJ14" s="70">
        <f t="shared" si="7"/>
        <v>0</v>
      </c>
      <c r="AK14" s="70">
        <f t="shared" si="7"/>
        <v>0</v>
      </c>
      <c r="AL14" s="70">
        <f t="shared" si="7"/>
        <v>0</v>
      </c>
      <c r="AM14" s="70">
        <f t="shared" si="7"/>
        <v>0</v>
      </c>
      <c r="AN14" s="70">
        <f t="shared" si="7"/>
        <v>0</v>
      </c>
      <c r="AO14" s="70">
        <f t="shared" si="7"/>
        <v>0</v>
      </c>
      <c r="AP14" s="70">
        <f t="shared" si="7"/>
        <v>0</v>
      </c>
      <c r="AQ14" s="70">
        <f t="shared" si="7"/>
        <v>0</v>
      </c>
      <c r="AR14" s="70">
        <f t="shared" si="7"/>
        <v>0</v>
      </c>
      <c r="AS14" s="70">
        <f t="shared" si="7"/>
        <v>0</v>
      </c>
      <c r="AT14" s="70">
        <f t="shared" si="7"/>
        <v>0</v>
      </c>
      <c r="AU14" s="70">
        <f t="shared" si="7"/>
        <v>0</v>
      </c>
      <c r="AV14" s="70">
        <f t="shared" si="7"/>
        <v>0</v>
      </c>
      <c r="AW14" s="70">
        <f t="shared" si="7"/>
        <v>0</v>
      </c>
      <c r="AX14" s="70">
        <f t="shared" si="7"/>
        <v>0</v>
      </c>
      <c r="AY14" s="70">
        <f t="shared" si="7"/>
        <v>0</v>
      </c>
      <c r="AZ14" s="70">
        <f t="shared" si="7"/>
        <v>0</v>
      </c>
      <c r="BA14" s="70">
        <f t="shared" si="7"/>
        <v>0</v>
      </c>
      <c r="BB14" s="70">
        <f t="shared" si="7"/>
        <v>0</v>
      </c>
      <c r="BC14" s="70">
        <f t="shared" si="7"/>
        <v>0</v>
      </c>
      <c r="BD14" s="70">
        <f t="shared" si="7"/>
        <v>0</v>
      </c>
      <c r="BE14" s="70">
        <f t="shared" si="7"/>
        <v>0</v>
      </c>
      <c r="BF14" s="70">
        <f t="shared" si="7"/>
        <v>0</v>
      </c>
      <c r="BG14" s="70">
        <f t="shared" si="6"/>
        <v>0</v>
      </c>
      <c r="BH14" s="70">
        <f t="shared" si="2"/>
        <v>0</v>
      </c>
      <c r="BI14" s="70">
        <f t="shared" si="3"/>
        <v>0</v>
      </c>
      <c r="BJ14" s="70">
        <f t="shared" si="4"/>
        <v>0</v>
      </c>
    </row>
    <row r="15" spans="1:62" x14ac:dyDescent="0.3">
      <c r="D15">
        <v>1010</v>
      </c>
      <c r="E15" t="s">
        <v>327</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80">
        <f t="shared" si="6"/>
        <v>0</v>
      </c>
      <c r="BH15" s="80">
        <f t="shared" si="2"/>
        <v>0</v>
      </c>
      <c r="BI15" s="80">
        <f t="shared" si="3"/>
        <v>0</v>
      </c>
      <c r="BJ15" s="80">
        <f t="shared" si="4"/>
        <v>0</v>
      </c>
    </row>
    <row r="16" spans="1:62" x14ac:dyDescent="0.3">
      <c r="D16">
        <v>1011</v>
      </c>
      <c r="E16" t="s">
        <v>408</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80">
        <f t="shared" si="6"/>
        <v>0</v>
      </c>
      <c r="BH16" s="80">
        <f t="shared" si="2"/>
        <v>0</v>
      </c>
      <c r="BI16" s="80">
        <f t="shared" si="3"/>
        <v>0</v>
      </c>
      <c r="BJ16" s="80">
        <f t="shared" si="4"/>
        <v>0</v>
      </c>
    </row>
    <row r="17" spans="3:62" x14ac:dyDescent="0.3">
      <c r="D17">
        <v>1012</v>
      </c>
      <c r="E17" t="s">
        <v>328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80">
        <f t="shared" si="6"/>
        <v>0</v>
      </c>
      <c r="BH17" s="80">
        <f t="shared" si="2"/>
        <v>0</v>
      </c>
      <c r="BI17" s="80">
        <f t="shared" si="3"/>
        <v>0</v>
      </c>
      <c r="BJ17" s="80">
        <f t="shared" si="4"/>
        <v>0</v>
      </c>
    </row>
    <row r="18" spans="3:62" x14ac:dyDescent="0.3">
      <c r="D18">
        <v>1013</v>
      </c>
      <c r="E18" t="s">
        <v>329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80">
        <f t="shared" si="6"/>
        <v>0</v>
      </c>
      <c r="BH18" s="80">
        <f t="shared" si="2"/>
        <v>0</v>
      </c>
      <c r="BI18" s="80">
        <f t="shared" si="3"/>
        <v>0</v>
      </c>
      <c r="BJ18" s="80">
        <f t="shared" si="4"/>
        <v>0</v>
      </c>
    </row>
    <row r="19" spans="3:62" x14ac:dyDescent="0.3">
      <c r="D19">
        <v>1014</v>
      </c>
      <c r="E19" t="s">
        <v>330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80">
        <f t="shared" si="6"/>
        <v>0</v>
      </c>
      <c r="BH19" s="80">
        <f t="shared" si="2"/>
        <v>0</v>
      </c>
      <c r="BI19" s="80">
        <f t="shared" si="3"/>
        <v>0</v>
      </c>
      <c r="BJ19" s="80">
        <f t="shared" si="4"/>
        <v>0</v>
      </c>
    </row>
    <row r="20" spans="3:62" x14ac:dyDescent="0.3">
      <c r="D20">
        <v>1015</v>
      </c>
      <c r="E20" t="s">
        <v>332</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80">
        <f t="shared" si="6"/>
        <v>0</v>
      </c>
      <c r="BH20" s="80">
        <f t="shared" si="2"/>
        <v>0</v>
      </c>
      <c r="BI20" s="80">
        <f t="shared" si="3"/>
        <v>0</v>
      </c>
      <c r="BJ20" s="80">
        <f t="shared" si="4"/>
        <v>0</v>
      </c>
    </row>
    <row r="21" spans="3:62" x14ac:dyDescent="0.3">
      <c r="D21">
        <v>1016</v>
      </c>
      <c r="E21" t="s">
        <v>333</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80">
        <f t="shared" si="6"/>
        <v>0</v>
      </c>
      <c r="BH21" s="80">
        <f t="shared" si="2"/>
        <v>0</v>
      </c>
      <c r="BI21" s="80">
        <f t="shared" si="3"/>
        <v>0</v>
      </c>
      <c r="BJ21" s="80">
        <f t="shared" si="4"/>
        <v>0</v>
      </c>
    </row>
    <row r="22" spans="3:62" x14ac:dyDescent="0.3">
      <c r="D22">
        <v>1019</v>
      </c>
      <c r="E22" t="s">
        <v>334</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80">
        <f t="shared" si="6"/>
        <v>0</v>
      </c>
      <c r="BH22" s="80">
        <f t="shared" si="2"/>
        <v>0</v>
      </c>
      <c r="BI22" s="80">
        <f t="shared" si="3"/>
        <v>0</v>
      </c>
      <c r="BJ22" s="80">
        <f t="shared" si="4"/>
        <v>0</v>
      </c>
    </row>
    <row r="23" spans="3:62" x14ac:dyDescent="0.3">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c r="BJ23" s="80"/>
    </row>
    <row r="24" spans="3:62" x14ac:dyDescent="0.3">
      <c r="C24" s="69">
        <v>102</v>
      </c>
      <c r="D24" s="69"/>
      <c r="E24" s="69" t="s">
        <v>250</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0</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0</v>
      </c>
      <c r="BH24" s="70">
        <f t="shared" si="2"/>
        <v>0</v>
      </c>
      <c r="BI24" s="70">
        <f t="shared" si="3"/>
        <v>0</v>
      </c>
      <c r="BJ24" s="70">
        <f t="shared" si="4"/>
        <v>0</v>
      </c>
    </row>
    <row r="25" spans="3:62" x14ac:dyDescent="0.3">
      <c r="D25">
        <v>1020</v>
      </c>
      <c r="E25" t="s">
        <v>335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80">
        <f t="shared" si="6"/>
        <v>0</v>
      </c>
      <c r="BH25" s="80">
        <f t="shared" si="2"/>
        <v>0</v>
      </c>
      <c r="BI25" s="80">
        <f t="shared" si="3"/>
        <v>0</v>
      </c>
      <c r="BJ25" s="80">
        <f t="shared" si="4"/>
        <v>0</v>
      </c>
    </row>
    <row r="26" spans="3:62" x14ac:dyDescent="0.3">
      <c r="D26">
        <v>1022</v>
      </c>
      <c r="E26" t="s">
        <v>336</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80">
        <f t="shared" si="6"/>
        <v>0</v>
      </c>
      <c r="BH26" s="80">
        <f t="shared" si="2"/>
        <v>0</v>
      </c>
      <c r="BI26" s="80">
        <f t="shared" si="3"/>
        <v>0</v>
      </c>
      <c r="BJ26" s="80">
        <f t="shared" si="4"/>
        <v>0</v>
      </c>
    </row>
    <row r="27" spans="3:62" x14ac:dyDescent="0.3">
      <c r="D27">
        <v>1023</v>
      </c>
      <c r="E27" t="s">
        <v>337</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80">
        <f t="shared" si="6"/>
        <v>0</v>
      </c>
      <c r="BH27" s="80">
        <f t="shared" si="2"/>
        <v>0</v>
      </c>
      <c r="BI27" s="80">
        <f t="shared" si="3"/>
        <v>0</v>
      </c>
      <c r="BJ27" s="80">
        <f t="shared" si="4"/>
        <v>0</v>
      </c>
    </row>
    <row r="28" spans="3:62" x14ac:dyDescent="0.3">
      <c r="D28">
        <v>1029</v>
      </c>
      <c r="E28" t="s">
        <v>338</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80">
        <f t="shared" si="6"/>
        <v>0</v>
      </c>
      <c r="BH28" s="80">
        <f t="shared" si="2"/>
        <v>0</v>
      </c>
      <c r="BI28" s="80">
        <f t="shared" si="3"/>
        <v>0</v>
      </c>
      <c r="BJ28" s="80">
        <f t="shared" si="4"/>
        <v>0</v>
      </c>
    </row>
    <row r="29" spans="3:62" x14ac:dyDescent="0.3">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3">
      <c r="C30" s="69">
        <v>104</v>
      </c>
      <c r="D30" s="69"/>
      <c r="E30" s="69" t="s">
        <v>251</v>
      </c>
      <c r="F30" s="70">
        <f>F31+F32+F33+F34+F35+F36+F37+F38</f>
        <v>0</v>
      </c>
      <c r="G30" s="70">
        <f t="shared" ref="G30:BF30" si="9">G31+G32+G33+G34+G35+G36+G37+G38</f>
        <v>0</v>
      </c>
      <c r="H30" s="70">
        <f t="shared" si="9"/>
        <v>0</v>
      </c>
      <c r="I30" s="70">
        <f t="shared" si="9"/>
        <v>0</v>
      </c>
      <c r="J30" s="70">
        <f t="shared" si="9"/>
        <v>0</v>
      </c>
      <c r="K30" s="70">
        <f t="shared" si="9"/>
        <v>0</v>
      </c>
      <c r="L30" s="70">
        <f t="shared" si="9"/>
        <v>0</v>
      </c>
      <c r="M30" s="70">
        <f t="shared" si="9"/>
        <v>0</v>
      </c>
      <c r="N30" s="70">
        <f t="shared" si="9"/>
        <v>0</v>
      </c>
      <c r="O30" s="70">
        <f t="shared" si="9"/>
        <v>0</v>
      </c>
      <c r="P30" s="70">
        <f t="shared" si="9"/>
        <v>0</v>
      </c>
      <c r="Q30" s="70">
        <f t="shared" si="9"/>
        <v>0</v>
      </c>
      <c r="R30" s="70">
        <f t="shared" si="9"/>
        <v>0</v>
      </c>
      <c r="S30" s="70">
        <f t="shared" si="9"/>
        <v>0</v>
      </c>
      <c r="T30" s="70">
        <f t="shared" si="9"/>
        <v>0</v>
      </c>
      <c r="U30" s="70">
        <f t="shared" si="9"/>
        <v>0</v>
      </c>
      <c r="V30" s="70">
        <f t="shared" si="9"/>
        <v>0</v>
      </c>
      <c r="W30" s="70">
        <f t="shared" si="9"/>
        <v>0</v>
      </c>
      <c r="X30" s="70">
        <f t="shared" si="9"/>
        <v>0</v>
      </c>
      <c r="Y30" s="70">
        <f t="shared" si="9"/>
        <v>0</v>
      </c>
      <c r="Z30" s="70">
        <f t="shared" si="9"/>
        <v>0</v>
      </c>
      <c r="AA30" s="70">
        <f t="shared" si="9"/>
        <v>0</v>
      </c>
      <c r="AB30" s="70">
        <f t="shared" si="9"/>
        <v>0</v>
      </c>
      <c r="AC30" s="70">
        <f t="shared" si="9"/>
        <v>0</v>
      </c>
      <c r="AD30" s="70">
        <f t="shared" si="9"/>
        <v>0</v>
      </c>
      <c r="AE30" s="70">
        <f t="shared" si="9"/>
        <v>0</v>
      </c>
      <c r="AF30" s="70">
        <f t="shared" si="9"/>
        <v>0</v>
      </c>
      <c r="AG30" s="70">
        <f t="shared" si="9"/>
        <v>0</v>
      </c>
      <c r="AH30" s="70">
        <f t="shared" si="9"/>
        <v>0</v>
      </c>
      <c r="AI30" s="70">
        <f t="shared" si="9"/>
        <v>0</v>
      </c>
      <c r="AJ30" s="70">
        <f t="shared" si="9"/>
        <v>0</v>
      </c>
      <c r="AK30" s="70">
        <f t="shared" si="9"/>
        <v>0</v>
      </c>
      <c r="AL30" s="70">
        <f t="shared" si="9"/>
        <v>0</v>
      </c>
      <c r="AM30" s="70">
        <f t="shared" si="9"/>
        <v>0</v>
      </c>
      <c r="AN30" s="70">
        <f t="shared" si="9"/>
        <v>0</v>
      </c>
      <c r="AO30" s="70">
        <f t="shared" si="9"/>
        <v>0</v>
      </c>
      <c r="AP30" s="70">
        <f t="shared" si="9"/>
        <v>0</v>
      </c>
      <c r="AQ30" s="70">
        <f t="shared" si="9"/>
        <v>0</v>
      </c>
      <c r="AR30" s="70">
        <f t="shared" si="9"/>
        <v>0</v>
      </c>
      <c r="AS30" s="70">
        <f t="shared" si="9"/>
        <v>0</v>
      </c>
      <c r="AT30" s="70">
        <f t="shared" si="9"/>
        <v>0</v>
      </c>
      <c r="AU30" s="70">
        <f t="shared" si="9"/>
        <v>0</v>
      </c>
      <c r="AV30" s="70">
        <f t="shared" si="9"/>
        <v>0</v>
      </c>
      <c r="AW30" s="70">
        <f t="shared" si="9"/>
        <v>0</v>
      </c>
      <c r="AX30" s="70">
        <f t="shared" si="9"/>
        <v>0</v>
      </c>
      <c r="AY30" s="70">
        <f t="shared" si="9"/>
        <v>0</v>
      </c>
      <c r="AZ30" s="70">
        <f t="shared" si="9"/>
        <v>0</v>
      </c>
      <c r="BA30" s="70">
        <f t="shared" si="9"/>
        <v>0</v>
      </c>
      <c r="BB30" s="70">
        <f t="shared" si="9"/>
        <v>0</v>
      </c>
      <c r="BC30" s="70">
        <f t="shared" si="9"/>
        <v>0</v>
      </c>
      <c r="BD30" s="70">
        <f t="shared" si="9"/>
        <v>0</v>
      </c>
      <c r="BE30" s="70">
        <f t="shared" si="9"/>
        <v>0</v>
      </c>
      <c r="BF30" s="70">
        <f t="shared" si="9"/>
        <v>0</v>
      </c>
      <c r="BG30" s="70">
        <f t="shared" si="6"/>
        <v>0</v>
      </c>
      <c r="BH30" s="70">
        <f t="shared" si="2"/>
        <v>0</v>
      </c>
      <c r="BI30" s="70">
        <f t="shared" si="3"/>
        <v>0</v>
      </c>
      <c r="BJ30" s="70">
        <f t="shared" si="4"/>
        <v>0</v>
      </c>
    </row>
    <row r="31" spans="3:62" x14ac:dyDescent="0.3">
      <c r="D31">
        <v>1040</v>
      </c>
      <c r="E31" t="s">
        <v>61</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80">
        <f t="shared" si="6"/>
        <v>0</v>
      </c>
      <c r="BH31" s="80">
        <f t="shared" si="2"/>
        <v>0</v>
      </c>
      <c r="BI31" s="80">
        <f t="shared" si="3"/>
        <v>0</v>
      </c>
      <c r="BJ31" s="80">
        <f t="shared" si="4"/>
        <v>0</v>
      </c>
    </row>
    <row r="32" spans="3:62" x14ac:dyDescent="0.3">
      <c r="D32">
        <v>1041</v>
      </c>
      <c r="E32" t="s">
        <v>339</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80">
        <f t="shared" si="6"/>
        <v>0</v>
      </c>
      <c r="BH32" s="80">
        <f t="shared" si="2"/>
        <v>0</v>
      </c>
      <c r="BI32" s="80">
        <f t="shared" si="3"/>
        <v>0</v>
      </c>
      <c r="BJ32" s="80">
        <f t="shared" si="4"/>
        <v>0</v>
      </c>
    </row>
    <row r="33" spans="3:62" x14ac:dyDescent="0.3">
      <c r="D33">
        <v>1042</v>
      </c>
      <c r="E33" t="s">
        <v>340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80">
        <f t="shared" si="6"/>
        <v>0</v>
      </c>
      <c r="BH33" s="80">
        <f t="shared" si="2"/>
        <v>0</v>
      </c>
      <c r="BI33" s="80">
        <f t="shared" si="3"/>
        <v>0</v>
      </c>
      <c r="BJ33" s="80">
        <f t="shared" si="4"/>
        <v>0</v>
      </c>
    </row>
    <row r="34" spans="3:62" x14ac:dyDescent="0.3">
      <c r="D34">
        <v>1043</v>
      </c>
      <c r="E34" t="s">
        <v>341</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80">
        <f t="shared" si="6"/>
        <v>0</v>
      </c>
      <c r="BH34" s="80">
        <f t="shared" si="2"/>
        <v>0</v>
      </c>
      <c r="BI34" s="80">
        <f t="shared" si="3"/>
        <v>0</v>
      </c>
      <c r="BJ34" s="80">
        <f t="shared" si="4"/>
        <v>0</v>
      </c>
    </row>
    <row r="35" spans="3:62" x14ac:dyDescent="0.3">
      <c r="D35">
        <v>1044</v>
      </c>
      <c r="E35" t="s">
        <v>342</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80">
        <f t="shared" si="6"/>
        <v>0</v>
      </c>
      <c r="BH35" s="80">
        <f t="shared" si="2"/>
        <v>0</v>
      </c>
      <c r="BI35" s="80">
        <f t="shared" si="3"/>
        <v>0</v>
      </c>
      <c r="BJ35" s="80">
        <f t="shared" si="4"/>
        <v>0</v>
      </c>
    </row>
    <row r="36" spans="3:62" x14ac:dyDescent="0.3">
      <c r="D36">
        <v>1045</v>
      </c>
      <c r="E36" t="s">
        <v>343</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80">
        <f t="shared" si="6"/>
        <v>0</v>
      </c>
      <c r="BH36" s="80">
        <f t="shared" si="2"/>
        <v>0</v>
      </c>
      <c r="BI36" s="80">
        <f t="shared" si="3"/>
        <v>0</v>
      </c>
      <c r="BJ36" s="80">
        <f t="shared" si="4"/>
        <v>0</v>
      </c>
    </row>
    <row r="37" spans="3:62" x14ac:dyDescent="0.3">
      <c r="D37">
        <v>1046</v>
      </c>
      <c r="E37" t="s">
        <v>344</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80">
        <f t="shared" si="6"/>
        <v>0</v>
      </c>
      <c r="BH37" s="80">
        <f t="shared" si="2"/>
        <v>0</v>
      </c>
      <c r="BI37" s="80">
        <f t="shared" si="3"/>
        <v>0</v>
      </c>
      <c r="BJ37" s="80">
        <f t="shared" si="4"/>
        <v>0</v>
      </c>
    </row>
    <row r="38" spans="3:62" x14ac:dyDescent="0.3">
      <c r="D38">
        <v>1049</v>
      </c>
      <c r="E38" t="s">
        <v>345</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80">
        <f t="shared" si="6"/>
        <v>0</v>
      </c>
      <c r="BH38" s="80">
        <f t="shared" si="2"/>
        <v>0</v>
      </c>
      <c r="BI38" s="80">
        <f t="shared" si="3"/>
        <v>0</v>
      </c>
      <c r="BJ38" s="80">
        <f t="shared" si="4"/>
        <v>0</v>
      </c>
    </row>
    <row r="39" spans="3:62" x14ac:dyDescent="0.3">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3">
      <c r="C40" s="69">
        <v>106</v>
      </c>
      <c r="D40" s="69"/>
      <c r="E40" s="69" t="s">
        <v>252</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0</v>
      </c>
      <c r="N40" s="70">
        <f t="shared" si="10"/>
        <v>0</v>
      </c>
      <c r="O40" s="70">
        <f t="shared" si="10"/>
        <v>0</v>
      </c>
      <c r="P40" s="70">
        <f t="shared" si="10"/>
        <v>0</v>
      </c>
      <c r="Q40" s="70">
        <f t="shared" si="10"/>
        <v>0</v>
      </c>
      <c r="R40" s="70">
        <f t="shared" si="10"/>
        <v>0</v>
      </c>
      <c r="S40" s="70">
        <f t="shared" si="10"/>
        <v>0</v>
      </c>
      <c r="T40" s="70">
        <f t="shared" si="10"/>
        <v>0</v>
      </c>
      <c r="U40" s="70">
        <f t="shared" si="10"/>
        <v>0</v>
      </c>
      <c r="V40" s="70">
        <f t="shared" si="10"/>
        <v>0</v>
      </c>
      <c r="W40" s="70">
        <f t="shared" si="10"/>
        <v>0</v>
      </c>
      <c r="X40" s="70">
        <f t="shared" si="10"/>
        <v>0</v>
      </c>
      <c r="Y40" s="70">
        <f t="shared" si="10"/>
        <v>0</v>
      </c>
      <c r="Z40" s="70">
        <f t="shared" si="10"/>
        <v>0</v>
      </c>
      <c r="AA40" s="70">
        <f t="shared" si="10"/>
        <v>0</v>
      </c>
      <c r="AB40" s="70">
        <f t="shared" si="10"/>
        <v>0</v>
      </c>
      <c r="AC40" s="70">
        <f t="shared" si="10"/>
        <v>0</v>
      </c>
      <c r="AD40" s="70">
        <f t="shared" si="10"/>
        <v>0</v>
      </c>
      <c r="AE40" s="70">
        <f t="shared" si="10"/>
        <v>0</v>
      </c>
      <c r="AF40" s="70">
        <f t="shared" si="10"/>
        <v>0</v>
      </c>
      <c r="AG40" s="70">
        <f t="shared" si="10"/>
        <v>0</v>
      </c>
      <c r="AH40" s="70">
        <f t="shared" si="10"/>
        <v>0</v>
      </c>
      <c r="AI40" s="70">
        <f t="shared" si="10"/>
        <v>0</v>
      </c>
      <c r="AJ40" s="70">
        <f t="shared" si="10"/>
        <v>0</v>
      </c>
      <c r="AK40" s="70">
        <f t="shared" si="10"/>
        <v>0</v>
      </c>
      <c r="AL40" s="70">
        <f t="shared" si="10"/>
        <v>0</v>
      </c>
      <c r="AM40" s="70">
        <f t="shared" si="10"/>
        <v>0</v>
      </c>
      <c r="AN40" s="70">
        <f t="shared" si="10"/>
        <v>0</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0</v>
      </c>
      <c r="BD40" s="70">
        <f t="shared" si="10"/>
        <v>0</v>
      </c>
      <c r="BE40" s="70">
        <f t="shared" si="10"/>
        <v>0</v>
      </c>
      <c r="BF40" s="70">
        <f t="shared" si="10"/>
        <v>0</v>
      </c>
      <c r="BG40" s="70">
        <f t="shared" si="6"/>
        <v>0</v>
      </c>
      <c r="BH40" s="70">
        <f t="shared" si="2"/>
        <v>0</v>
      </c>
      <c r="BI40" s="70">
        <f t="shared" si="3"/>
        <v>0</v>
      </c>
      <c r="BJ40" s="70">
        <f t="shared" si="4"/>
        <v>0</v>
      </c>
    </row>
    <row r="41" spans="3:62" x14ac:dyDescent="0.3">
      <c r="D41">
        <v>1060</v>
      </c>
      <c r="E41" t="s">
        <v>346</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80">
        <f t="shared" si="6"/>
        <v>0</v>
      </c>
      <c r="BH41" s="80">
        <f t="shared" si="2"/>
        <v>0</v>
      </c>
      <c r="BI41" s="80">
        <f t="shared" si="3"/>
        <v>0</v>
      </c>
      <c r="BJ41" s="80">
        <f t="shared" si="4"/>
        <v>0</v>
      </c>
    </row>
    <row r="42" spans="3:62" x14ac:dyDescent="0.3">
      <c r="D42">
        <v>1061</v>
      </c>
      <c r="E42" t="s">
        <v>347</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80">
        <f t="shared" si="6"/>
        <v>0</v>
      </c>
      <c r="BH42" s="80">
        <f t="shared" si="2"/>
        <v>0</v>
      </c>
      <c r="BI42" s="80">
        <f t="shared" si="3"/>
        <v>0</v>
      </c>
      <c r="BJ42" s="80">
        <f t="shared" si="4"/>
        <v>0</v>
      </c>
    </row>
    <row r="43" spans="3:62" x14ac:dyDescent="0.3">
      <c r="D43">
        <v>1062</v>
      </c>
      <c r="E43" t="s">
        <v>348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80">
        <f t="shared" si="6"/>
        <v>0</v>
      </c>
      <c r="BH43" s="80">
        <f t="shared" si="2"/>
        <v>0</v>
      </c>
      <c r="BI43" s="80">
        <f t="shared" si="3"/>
        <v>0</v>
      </c>
      <c r="BJ43" s="80">
        <f t="shared" si="4"/>
        <v>0</v>
      </c>
    </row>
    <row r="44" spans="3:62" x14ac:dyDescent="0.3">
      <c r="D44">
        <v>1063</v>
      </c>
      <c r="E44" t="s">
        <v>349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80">
        <f t="shared" si="6"/>
        <v>0</v>
      </c>
      <c r="BH44" s="80">
        <f t="shared" si="2"/>
        <v>0</v>
      </c>
      <c r="BI44" s="80">
        <f t="shared" si="3"/>
        <v>0</v>
      </c>
      <c r="BJ44" s="80">
        <f t="shared" si="4"/>
        <v>0</v>
      </c>
    </row>
    <row r="45" spans="3:62" x14ac:dyDescent="0.3">
      <c r="D45">
        <v>1068</v>
      </c>
      <c r="E45" t="s">
        <v>350</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80">
        <f t="shared" si="6"/>
        <v>0</v>
      </c>
      <c r="BH45" s="80">
        <f t="shared" si="2"/>
        <v>0</v>
      </c>
      <c r="BI45" s="80">
        <f t="shared" si="3"/>
        <v>0</v>
      </c>
      <c r="BJ45" s="80">
        <f t="shared" si="4"/>
        <v>0</v>
      </c>
    </row>
    <row r="46" spans="3:62" x14ac:dyDescent="0.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3">
      <c r="C47" s="69">
        <v>107</v>
      </c>
      <c r="D47" s="69"/>
      <c r="E47" s="69" t="s">
        <v>355</v>
      </c>
      <c r="F47" s="70">
        <f>F48+F49+F50+F51</f>
        <v>0</v>
      </c>
      <c r="G47" s="70">
        <f t="shared" ref="G47:BF47" si="11">G48+G49+G50+G51</f>
        <v>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0</v>
      </c>
      <c r="Q47" s="70">
        <f t="shared" si="11"/>
        <v>0</v>
      </c>
      <c r="R47" s="70">
        <f t="shared" si="11"/>
        <v>0</v>
      </c>
      <c r="S47" s="70">
        <f t="shared" si="11"/>
        <v>0</v>
      </c>
      <c r="T47" s="70">
        <f t="shared" si="11"/>
        <v>0</v>
      </c>
      <c r="U47" s="70">
        <f t="shared" si="11"/>
        <v>0</v>
      </c>
      <c r="V47" s="70">
        <f t="shared" si="11"/>
        <v>0</v>
      </c>
      <c r="W47" s="70">
        <f t="shared" si="11"/>
        <v>0</v>
      </c>
      <c r="X47" s="70">
        <f t="shared" si="11"/>
        <v>0</v>
      </c>
      <c r="Y47" s="70">
        <f t="shared" si="11"/>
        <v>0</v>
      </c>
      <c r="Z47" s="70">
        <f t="shared" si="11"/>
        <v>0</v>
      </c>
      <c r="AA47" s="70">
        <f t="shared" si="11"/>
        <v>0</v>
      </c>
      <c r="AB47" s="70">
        <f t="shared" si="11"/>
        <v>0</v>
      </c>
      <c r="AC47" s="70">
        <f t="shared" si="11"/>
        <v>0</v>
      </c>
      <c r="AD47" s="70">
        <f t="shared" si="11"/>
        <v>0</v>
      </c>
      <c r="AE47" s="70">
        <f t="shared" si="11"/>
        <v>0</v>
      </c>
      <c r="AF47" s="70">
        <f t="shared" si="11"/>
        <v>0</v>
      </c>
      <c r="AG47" s="70">
        <f t="shared" si="11"/>
        <v>0</v>
      </c>
      <c r="AH47" s="70">
        <f t="shared" si="11"/>
        <v>0</v>
      </c>
      <c r="AI47" s="70">
        <f t="shared" si="11"/>
        <v>0</v>
      </c>
      <c r="AJ47" s="70">
        <f t="shared" si="11"/>
        <v>0</v>
      </c>
      <c r="AK47" s="70">
        <f t="shared" si="11"/>
        <v>0</v>
      </c>
      <c r="AL47" s="70">
        <f t="shared" si="11"/>
        <v>0</v>
      </c>
      <c r="AM47" s="70">
        <f t="shared" si="11"/>
        <v>0</v>
      </c>
      <c r="AN47" s="70">
        <f t="shared" si="11"/>
        <v>0</v>
      </c>
      <c r="AO47" s="70">
        <f t="shared" si="11"/>
        <v>0</v>
      </c>
      <c r="AP47" s="70">
        <f t="shared" si="11"/>
        <v>0</v>
      </c>
      <c r="AQ47" s="70">
        <f t="shared" si="11"/>
        <v>0</v>
      </c>
      <c r="AR47" s="70">
        <f t="shared" si="11"/>
        <v>0</v>
      </c>
      <c r="AS47" s="70">
        <f t="shared" si="11"/>
        <v>0</v>
      </c>
      <c r="AT47" s="70">
        <f t="shared" si="11"/>
        <v>0</v>
      </c>
      <c r="AU47" s="70">
        <f t="shared" si="11"/>
        <v>0</v>
      </c>
      <c r="AV47" s="70">
        <f t="shared" si="11"/>
        <v>0</v>
      </c>
      <c r="AW47" s="70">
        <f t="shared" si="11"/>
        <v>0</v>
      </c>
      <c r="AX47" s="70">
        <f t="shared" si="11"/>
        <v>0</v>
      </c>
      <c r="AY47" s="70">
        <f t="shared" si="11"/>
        <v>0</v>
      </c>
      <c r="AZ47" s="70">
        <f t="shared" si="11"/>
        <v>0</v>
      </c>
      <c r="BA47" s="70">
        <f t="shared" si="11"/>
        <v>0</v>
      </c>
      <c r="BB47" s="70">
        <f t="shared" si="11"/>
        <v>0</v>
      </c>
      <c r="BC47" s="70">
        <f t="shared" si="11"/>
        <v>0</v>
      </c>
      <c r="BD47" s="70">
        <f t="shared" si="11"/>
        <v>0</v>
      </c>
      <c r="BE47" s="70">
        <f t="shared" si="11"/>
        <v>0</v>
      </c>
      <c r="BF47" s="70">
        <f t="shared" si="11"/>
        <v>0</v>
      </c>
      <c r="BG47" s="70">
        <f t="shared" si="6"/>
        <v>0</v>
      </c>
      <c r="BH47" s="70">
        <f t="shared" si="2"/>
        <v>0</v>
      </c>
      <c r="BI47" s="70">
        <f t="shared" si="3"/>
        <v>0</v>
      </c>
      <c r="BJ47" s="70">
        <f t="shared" si="4"/>
        <v>0</v>
      </c>
    </row>
    <row r="48" spans="3:62" x14ac:dyDescent="0.3">
      <c r="D48">
        <v>1070</v>
      </c>
      <c r="E48" t="s">
        <v>351</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80">
        <f t="shared" si="6"/>
        <v>0</v>
      </c>
      <c r="BH48" s="80">
        <f t="shared" si="2"/>
        <v>0</v>
      </c>
      <c r="BI48" s="80">
        <f t="shared" si="3"/>
        <v>0</v>
      </c>
      <c r="BJ48" s="80">
        <f t="shared" si="4"/>
        <v>0</v>
      </c>
    </row>
    <row r="49" spans="3:62" x14ac:dyDescent="0.3">
      <c r="D49">
        <v>1071</v>
      </c>
      <c r="E49" t="s">
        <v>352</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80">
        <f t="shared" si="6"/>
        <v>0</v>
      </c>
      <c r="BH49" s="80">
        <f t="shared" si="2"/>
        <v>0</v>
      </c>
      <c r="BI49" s="80">
        <f t="shared" si="3"/>
        <v>0</v>
      </c>
      <c r="BJ49" s="80">
        <f t="shared" si="4"/>
        <v>0</v>
      </c>
    </row>
    <row r="50" spans="3:62" x14ac:dyDescent="0.3">
      <c r="D50">
        <v>1072</v>
      </c>
      <c r="E50" t="s">
        <v>353</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80">
        <f t="shared" si="6"/>
        <v>0</v>
      </c>
      <c r="BH50" s="80">
        <f t="shared" si="2"/>
        <v>0</v>
      </c>
      <c r="BI50" s="80">
        <f t="shared" si="3"/>
        <v>0</v>
      </c>
      <c r="BJ50" s="80">
        <f t="shared" si="4"/>
        <v>0</v>
      </c>
    </row>
    <row r="51" spans="3:62" x14ac:dyDescent="0.3">
      <c r="D51">
        <v>1079</v>
      </c>
      <c r="E51" t="s">
        <v>354</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80">
        <f t="shared" si="6"/>
        <v>0</v>
      </c>
      <c r="BH51" s="80">
        <f t="shared" si="2"/>
        <v>0</v>
      </c>
      <c r="BI51" s="80">
        <f t="shared" si="3"/>
        <v>0</v>
      </c>
      <c r="BJ51" s="80">
        <f t="shared" si="4"/>
        <v>0</v>
      </c>
    </row>
    <row r="52" spans="3:62" x14ac:dyDescent="0.3">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3">
      <c r="C53" s="69">
        <v>108</v>
      </c>
      <c r="D53" s="69"/>
      <c r="E53" s="69" t="s">
        <v>253</v>
      </c>
      <c r="F53" s="70">
        <f>F54+F55+F56+F57+F58+F59</f>
        <v>0</v>
      </c>
      <c r="G53" s="70">
        <f t="shared" ref="G53:BF53" si="12">G54+G55+G56+G57+G58+G59</f>
        <v>0</v>
      </c>
      <c r="H53" s="70">
        <f t="shared" si="12"/>
        <v>0</v>
      </c>
      <c r="I53" s="70">
        <f t="shared" si="12"/>
        <v>0</v>
      </c>
      <c r="J53" s="70">
        <f t="shared" si="12"/>
        <v>0</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0</v>
      </c>
      <c r="AA53" s="70">
        <f t="shared" si="12"/>
        <v>0</v>
      </c>
      <c r="AB53" s="70">
        <f t="shared" si="12"/>
        <v>0</v>
      </c>
      <c r="AC53" s="70">
        <f t="shared" si="12"/>
        <v>0</v>
      </c>
      <c r="AD53" s="70">
        <f t="shared" si="12"/>
        <v>0</v>
      </c>
      <c r="AE53" s="70">
        <f t="shared" si="12"/>
        <v>0</v>
      </c>
      <c r="AF53" s="70">
        <f t="shared" si="12"/>
        <v>0</v>
      </c>
      <c r="AG53" s="70">
        <f t="shared" si="12"/>
        <v>0</v>
      </c>
      <c r="AH53" s="70">
        <f t="shared" si="12"/>
        <v>0</v>
      </c>
      <c r="AI53" s="70">
        <f t="shared" si="12"/>
        <v>0</v>
      </c>
      <c r="AJ53" s="70">
        <f t="shared" si="12"/>
        <v>0</v>
      </c>
      <c r="AK53" s="70">
        <f t="shared" si="12"/>
        <v>0</v>
      </c>
      <c r="AL53" s="70">
        <f t="shared" si="12"/>
        <v>0</v>
      </c>
      <c r="AM53" s="70">
        <f t="shared" si="12"/>
        <v>0</v>
      </c>
      <c r="AN53" s="70">
        <f t="shared" si="12"/>
        <v>0</v>
      </c>
      <c r="AO53" s="70">
        <f t="shared" si="12"/>
        <v>0</v>
      </c>
      <c r="AP53" s="70">
        <f t="shared" si="12"/>
        <v>0</v>
      </c>
      <c r="AQ53" s="70">
        <f t="shared" si="12"/>
        <v>0</v>
      </c>
      <c r="AR53" s="70">
        <f t="shared" si="12"/>
        <v>0</v>
      </c>
      <c r="AS53" s="70">
        <f t="shared" si="12"/>
        <v>0</v>
      </c>
      <c r="AT53" s="70">
        <f t="shared" si="12"/>
        <v>0</v>
      </c>
      <c r="AU53" s="70">
        <f t="shared" si="12"/>
        <v>0</v>
      </c>
      <c r="AV53" s="70">
        <f t="shared" si="12"/>
        <v>0</v>
      </c>
      <c r="AW53" s="70">
        <f t="shared" si="12"/>
        <v>0</v>
      </c>
      <c r="AX53" s="70">
        <f t="shared" si="12"/>
        <v>0</v>
      </c>
      <c r="AY53" s="70">
        <f t="shared" si="12"/>
        <v>0</v>
      </c>
      <c r="AZ53" s="70">
        <f t="shared" si="12"/>
        <v>0</v>
      </c>
      <c r="BA53" s="70">
        <f t="shared" si="12"/>
        <v>0</v>
      </c>
      <c r="BB53" s="70">
        <f t="shared" si="12"/>
        <v>0</v>
      </c>
      <c r="BC53" s="70">
        <f t="shared" si="12"/>
        <v>0</v>
      </c>
      <c r="BD53" s="70">
        <f t="shared" si="12"/>
        <v>0</v>
      </c>
      <c r="BE53" s="70">
        <f t="shared" si="12"/>
        <v>0</v>
      </c>
      <c r="BF53" s="70">
        <f t="shared" si="12"/>
        <v>0</v>
      </c>
      <c r="BG53" s="70">
        <f t="shared" si="6"/>
        <v>0</v>
      </c>
      <c r="BH53" s="70">
        <f t="shared" si="2"/>
        <v>0</v>
      </c>
      <c r="BI53" s="70">
        <f t="shared" si="3"/>
        <v>0</v>
      </c>
      <c r="BJ53" s="70">
        <f t="shared" si="4"/>
        <v>0</v>
      </c>
    </row>
    <row r="54" spans="3:62" x14ac:dyDescent="0.3">
      <c r="D54">
        <v>1080</v>
      </c>
      <c r="E54" t="s">
        <v>356</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80">
        <f t="shared" si="6"/>
        <v>0</v>
      </c>
      <c r="BH54" s="80">
        <f t="shared" si="2"/>
        <v>0</v>
      </c>
      <c r="BI54" s="80">
        <f t="shared" si="3"/>
        <v>0</v>
      </c>
      <c r="BJ54" s="80">
        <f t="shared" si="4"/>
        <v>0</v>
      </c>
    </row>
    <row r="55" spans="3:62" x14ac:dyDescent="0.3">
      <c r="D55">
        <v>1084</v>
      </c>
      <c r="E55" t="s">
        <v>357</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80">
        <f t="shared" si="6"/>
        <v>0</v>
      </c>
      <c r="BH55" s="80">
        <f t="shared" si="2"/>
        <v>0</v>
      </c>
      <c r="BI55" s="80">
        <f t="shared" si="3"/>
        <v>0</v>
      </c>
      <c r="BJ55" s="80">
        <f t="shared" si="4"/>
        <v>0</v>
      </c>
    </row>
    <row r="56" spans="3:62" x14ac:dyDescent="0.3">
      <c r="D56">
        <v>1086</v>
      </c>
      <c r="E56" t="s">
        <v>358</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80">
        <f t="shared" si="6"/>
        <v>0</v>
      </c>
      <c r="BH56" s="80">
        <f t="shared" si="2"/>
        <v>0</v>
      </c>
      <c r="BI56" s="80">
        <f t="shared" si="3"/>
        <v>0</v>
      </c>
      <c r="BJ56" s="80">
        <f t="shared" si="4"/>
        <v>0</v>
      </c>
    </row>
    <row r="57" spans="3:62" x14ac:dyDescent="0.3">
      <c r="D57">
        <v>1087</v>
      </c>
      <c r="E57" t="s">
        <v>359</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80">
        <f t="shared" si="6"/>
        <v>0</v>
      </c>
      <c r="BH57" s="80">
        <f t="shared" si="2"/>
        <v>0</v>
      </c>
      <c r="BI57" s="80">
        <f t="shared" si="3"/>
        <v>0</v>
      </c>
      <c r="BJ57" s="80">
        <f t="shared" si="4"/>
        <v>0</v>
      </c>
    </row>
    <row r="58" spans="3:62" x14ac:dyDescent="0.3">
      <c r="D58">
        <v>1088</v>
      </c>
      <c r="E58" t="s">
        <v>360</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80">
        <f t="shared" si="6"/>
        <v>0</v>
      </c>
      <c r="BH58" s="80">
        <f t="shared" si="2"/>
        <v>0</v>
      </c>
      <c r="BI58" s="80">
        <f t="shared" si="3"/>
        <v>0</v>
      </c>
      <c r="BJ58" s="80">
        <f t="shared" si="4"/>
        <v>0</v>
      </c>
    </row>
    <row r="59" spans="3:62" x14ac:dyDescent="0.3">
      <c r="D59">
        <v>1089</v>
      </c>
      <c r="E59" t="s">
        <v>361</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80">
        <f t="shared" si="6"/>
        <v>0</v>
      </c>
      <c r="BH59" s="80">
        <f t="shared" si="2"/>
        <v>0</v>
      </c>
      <c r="BI59" s="80">
        <f t="shared" si="3"/>
        <v>0</v>
      </c>
      <c r="BJ59" s="80">
        <f t="shared" si="4"/>
        <v>0</v>
      </c>
    </row>
    <row r="60" spans="3:62" x14ac:dyDescent="0.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3">
      <c r="C61" s="69">
        <v>109</v>
      </c>
      <c r="D61" s="69"/>
      <c r="E61" s="69" t="s">
        <v>362</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3">
      <c r="D62">
        <v>1090</v>
      </c>
      <c r="E62" t="s">
        <v>362</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80">
        <f t="shared" si="6"/>
        <v>0</v>
      </c>
      <c r="BH62" s="80">
        <f t="shared" si="2"/>
        <v>0</v>
      </c>
      <c r="BI62" s="80">
        <f t="shared" si="3"/>
        <v>0</v>
      </c>
      <c r="BJ62" s="80">
        <f t="shared" si="4"/>
        <v>0</v>
      </c>
    </row>
    <row r="63" spans="3:62" x14ac:dyDescent="0.3">
      <c r="D63">
        <v>1091</v>
      </c>
      <c r="E63" t="s">
        <v>363</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80">
        <f t="shared" si="6"/>
        <v>0</v>
      </c>
      <c r="BH63" s="80">
        <f t="shared" si="2"/>
        <v>0</v>
      </c>
      <c r="BI63" s="80">
        <f t="shared" si="3"/>
        <v>0</v>
      </c>
      <c r="BJ63" s="80">
        <f t="shared" si="4"/>
        <v>0</v>
      </c>
    </row>
    <row r="64" spans="3:62" x14ac:dyDescent="0.3">
      <c r="D64">
        <v>1092</v>
      </c>
      <c r="E64" t="s">
        <v>364</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80">
        <f t="shared" si="6"/>
        <v>0</v>
      </c>
      <c r="BH64" s="80">
        <f t="shared" si="2"/>
        <v>0</v>
      </c>
      <c r="BI64" s="80">
        <f t="shared" si="3"/>
        <v>0</v>
      </c>
      <c r="BJ64" s="80">
        <f t="shared" si="4"/>
        <v>0</v>
      </c>
    </row>
    <row r="65" spans="2:63" x14ac:dyDescent="0.3">
      <c r="D65">
        <v>1093</v>
      </c>
      <c r="E65" t="s">
        <v>365</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80">
        <f t="shared" si="6"/>
        <v>0</v>
      </c>
      <c r="BH65" s="80">
        <f t="shared" si="2"/>
        <v>0</v>
      </c>
      <c r="BI65" s="80">
        <f t="shared" si="3"/>
        <v>0</v>
      </c>
      <c r="BJ65" s="80">
        <f t="shared" si="4"/>
        <v>0</v>
      </c>
    </row>
    <row r="66" spans="2:63" x14ac:dyDescent="0.3">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3">
      <c r="B67" s="76">
        <v>14</v>
      </c>
      <c r="C67" s="76"/>
      <c r="D67" s="76"/>
      <c r="E67" s="76" t="s">
        <v>254</v>
      </c>
      <c r="F67" s="77">
        <f>F68+F79+F85+F96+F107</f>
        <v>0</v>
      </c>
      <c r="G67" s="77">
        <f t="shared" ref="G67:BF67" si="14">G68+G79+G85+G96+G107</f>
        <v>0</v>
      </c>
      <c r="H67" s="77">
        <f t="shared" si="14"/>
        <v>0</v>
      </c>
      <c r="I67" s="77">
        <f t="shared" si="14"/>
        <v>0</v>
      </c>
      <c r="J67" s="77">
        <f t="shared" si="14"/>
        <v>0</v>
      </c>
      <c r="K67" s="77">
        <f t="shared" si="14"/>
        <v>0</v>
      </c>
      <c r="L67" s="77">
        <f t="shared" si="14"/>
        <v>0</v>
      </c>
      <c r="M67" s="77">
        <f t="shared" si="14"/>
        <v>0</v>
      </c>
      <c r="N67" s="77">
        <f t="shared" si="14"/>
        <v>0</v>
      </c>
      <c r="O67" s="77">
        <f t="shared" si="14"/>
        <v>0</v>
      </c>
      <c r="P67" s="77">
        <f t="shared" si="14"/>
        <v>0</v>
      </c>
      <c r="Q67" s="77">
        <f t="shared" si="14"/>
        <v>0</v>
      </c>
      <c r="R67" s="77">
        <f t="shared" si="14"/>
        <v>0</v>
      </c>
      <c r="S67" s="77">
        <f t="shared" si="14"/>
        <v>0</v>
      </c>
      <c r="T67" s="77">
        <f t="shared" si="14"/>
        <v>0</v>
      </c>
      <c r="U67" s="77">
        <f t="shared" si="14"/>
        <v>0</v>
      </c>
      <c r="V67" s="77">
        <f t="shared" si="14"/>
        <v>0</v>
      </c>
      <c r="W67" s="77">
        <f t="shared" si="14"/>
        <v>0</v>
      </c>
      <c r="X67" s="77">
        <f t="shared" si="14"/>
        <v>0</v>
      </c>
      <c r="Y67" s="77">
        <f t="shared" si="14"/>
        <v>0</v>
      </c>
      <c r="Z67" s="77">
        <f t="shared" si="14"/>
        <v>0</v>
      </c>
      <c r="AA67" s="77">
        <f t="shared" si="14"/>
        <v>0</v>
      </c>
      <c r="AB67" s="77">
        <f t="shared" si="14"/>
        <v>0</v>
      </c>
      <c r="AC67" s="77">
        <f t="shared" si="14"/>
        <v>0</v>
      </c>
      <c r="AD67" s="77">
        <f t="shared" si="14"/>
        <v>0</v>
      </c>
      <c r="AE67" s="77">
        <f t="shared" si="14"/>
        <v>0</v>
      </c>
      <c r="AF67" s="77">
        <f t="shared" si="14"/>
        <v>0</v>
      </c>
      <c r="AG67" s="77">
        <f t="shared" si="14"/>
        <v>0</v>
      </c>
      <c r="AH67" s="77">
        <f t="shared" si="14"/>
        <v>0</v>
      </c>
      <c r="AI67" s="77">
        <f t="shared" si="14"/>
        <v>0</v>
      </c>
      <c r="AJ67" s="77">
        <f t="shared" si="14"/>
        <v>0</v>
      </c>
      <c r="AK67" s="77">
        <f t="shared" si="14"/>
        <v>0</v>
      </c>
      <c r="AL67" s="77">
        <f t="shared" si="14"/>
        <v>0</v>
      </c>
      <c r="AM67" s="77">
        <f t="shared" si="14"/>
        <v>0</v>
      </c>
      <c r="AN67" s="77">
        <f t="shared" si="14"/>
        <v>0</v>
      </c>
      <c r="AO67" s="77">
        <f t="shared" si="14"/>
        <v>0</v>
      </c>
      <c r="AP67" s="77">
        <f t="shared" si="14"/>
        <v>0</v>
      </c>
      <c r="AQ67" s="77">
        <f t="shared" si="14"/>
        <v>0</v>
      </c>
      <c r="AR67" s="77">
        <f t="shared" si="14"/>
        <v>0</v>
      </c>
      <c r="AS67" s="77">
        <f t="shared" si="14"/>
        <v>0</v>
      </c>
      <c r="AT67" s="77">
        <f t="shared" si="14"/>
        <v>0</v>
      </c>
      <c r="AU67" s="77">
        <f t="shared" si="14"/>
        <v>0</v>
      </c>
      <c r="AV67" s="77">
        <f t="shared" si="14"/>
        <v>0</v>
      </c>
      <c r="AW67" s="77">
        <f t="shared" si="14"/>
        <v>0</v>
      </c>
      <c r="AX67" s="77">
        <f t="shared" si="14"/>
        <v>0</v>
      </c>
      <c r="AY67" s="77">
        <f t="shared" si="14"/>
        <v>0</v>
      </c>
      <c r="AZ67" s="77">
        <f t="shared" si="14"/>
        <v>0</v>
      </c>
      <c r="BA67" s="77">
        <f t="shared" si="14"/>
        <v>0</v>
      </c>
      <c r="BB67" s="77">
        <f t="shared" si="14"/>
        <v>0</v>
      </c>
      <c r="BC67" s="77">
        <f t="shared" si="14"/>
        <v>0</v>
      </c>
      <c r="BD67" s="77">
        <f t="shared" si="14"/>
        <v>0</v>
      </c>
      <c r="BE67" s="77">
        <f t="shared" si="14"/>
        <v>0</v>
      </c>
      <c r="BF67" s="77">
        <f t="shared" si="14"/>
        <v>0</v>
      </c>
      <c r="BG67" s="77">
        <f t="shared" si="6"/>
        <v>0</v>
      </c>
      <c r="BH67" s="77">
        <f t="shared" si="2"/>
        <v>0</v>
      </c>
      <c r="BI67" s="77">
        <f t="shared" si="3"/>
        <v>0</v>
      </c>
      <c r="BJ67" s="77">
        <f t="shared" si="4"/>
        <v>0</v>
      </c>
      <c r="BK67" s="41"/>
    </row>
    <row r="68" spans="2:63" x14ac:dyDescent="0.3">
      <c r="C68" s="69">
        <v>140</v>
      </c>
      <c r="D68" s="69"/>
      <c r="E68" s="69" t="s">
        <v>256</v>
      </c>
      <c r="F68" s="70">
        <f>F69+F70+F71+F72+F73+F74+F75+F76+F77</f>
        <v>0</v>
      </c>
      <c r="G68" s="70">
        <f t="shared" ref="G68:BF68" si="15">G69+G70+G71+G72+G73+G74+G75+G76+G77</f>
        <v>0</v>
      </c>
      <c r="H68" s="70">
        <f t="shared" si="15"/>
        <v>0</v>
      </c>
      <c r="I68" s="70">
        <f t="shared" si="15"/>
        <v>0</v>
      </c>
      <c r="J68" s="70">
        <f t="shared" si="15"/>
        <v>0</v>
      </c>
      <c r="K68" s="70">
        <f t="shared" si="15"/>
        <v>0</v>
      </c>
      <c r="L68" s="70">
        <f t="shared" si="15"/>
        <v>0</v>
      </c>
      <c r="M68" s="70">
        <f t="shared" si="15"/>
        <v>0</v>
      </c>
      <c r="N68" s="70">
        <f t="shared" si="15"/>
        <v>0</v>
      </c>
      <c r="O68" s="70">
        <f t="shared" si="15"/>
        <v>0</v>
      </c>
      <c r="P68" s="70">
        <f t="shared" si="15"/>
        <v>0</v>
      </c>
      <c r="Q68" s="70">
        <f t="shared" si="15"/>
        <v>0</v>
      </c>
      <c r="R68" s="70">
        <f t="shared" si="15"/>
        <v>0</v>
      </c>
      <c r="S68" s="70">
        <f t="shared" si="15"/>
        <v>0</v>
      </c>
      <c r="T68" s="70">
        <f t="shared" si="15"/>
        <v>0</v>
      </c>
      <c r="U68" s="70">
        <f t="shared" si="15"/>
        <v>0</v>
      </c>
      <c r="V68" s="70">
        <f t="shared" si="15"/>
        <v>0</v>
      </c>
      <c r="W68" s="70">
        <f t="shared" si="15"/>
        <v>0</v>
      </c>
      <c r="X68" s="70">
        <f t="shared" si="15"/>
        <v>0</v>
      </c>
      <c r="Y68" s="70">
        <f t="shared" si="15"/>
        <v>0</v>
      </c>
      <c r="Z68" s="70">
        <f t="shared" si="15"/>
        <v>0</v>
      </c>
      <c r="AA68" s="70">
        <f t="shared" si="15"/>
        <v>0</v>
      </c>
      <c r="AB68" s="70">
        <f t="shared" si="15"/>
        <v>0</v>
      </c>
      <c r="AC68" s="70">
        <f t="shared" si="15"/>
        <v>0</v>
      </c>
      <c r="AD68" s="70">
        <f t="shared" si="15"/>
        <v>0</v>
      </c>
      <c r="AE68" s="70">
        <f t="shared" si="15"/>
        <v>0</v>
      </c>
      <c r="AF68" s="70">
        <f t="shared" si="15"/>
        <v>0</v>
      </c>
      <c r="AG68" s="70">
        <f t="shared" si="15"/>
        <v>0</v>
      </c>
      <c r="AH68" s="70">
        <f t="shared" si="15"/>
        <v>0</v>
      </c>
      <c r="AI68" s="70">
        <f t="shared" si="15"/>
        <v>0</v>
      </c>
      <c r="AJ68" s="70">
        <f t="shared" si="15"/>
        <v>0</v>
      </c>
      <c r="AK68" s="70">
        <f t="shared" si="15"/>
        <v>0</v>
      </c>
      <c r="AL68" s="70">
        <f t="shared" si="15"/>
        <v>0</v>
      </c>
      <c r="AM68" s="70">
        <f t="shared" si="15"/>
        <v>0</v>
      </c>
      <c r="AN68" s="70">
        <f t="shared" si="15"/>
        <v>0</v>
      </c>
      <c r="AO68" s="70">
        <f t="shared" si="15"/>
        <v>0</v>
      </c>
      <c r="AP68" s="70">
        <f t="shared" si="15"/>
        <v>0</v>
      </c>
      <c r="AQ68" s="70">
        <f t="shared" si="15"/>
        <v>0</v>
      </c>
      <c r="AR68" s="70">
        <f t="shared" si="15"/>
        <v>0</v>
      </c>
      <c r="AS68" s="70">
        <f t="shared" si="15"/>
        <v>0</v>
      </c>
      <c r="AT68" s="70">
        <f t="shared" si="15"/>
        <v>0</v>
      </c>
      <c r="AU68" s="70">
        <f t="shared" si="15"/>
        <v>0</v>
      </c>
      <c r="AV68" s="70">
        <f t="shared" si="15"/>
        <v>0</v>
      </c>
      <c r="AW68" s="70">
        <f t="shared" si="15"/>
        <v>0</v>
      </c>
      <c r="AX68" s="70">
        <f t="shared" si="15"/>
        <v>0</v>
      </c>
      <c r="AY68" s="70">
        <f t="shared" si="15"/>
        <v>0</v>
      </c>
      <c r="AZ68" s="70">
        <f t="shared" si="15"/>
        <v>0</v>
      </c>
      <c r="BA68" s="70">
        <f t="shared" si="15"/>
        <v>0</v>
      </c>
      <c r="BB68" s="70">
        <f t="shared" si="15"/>
        <v>0</v>
      </c>
      <c r="BC68" s="70">
        <f t="shared" si="15"/>
        <v>0</v>
      </c>
      <c r="BD68" s="70">
        <f t="shared" si="15"/>
        <v>0</v>
      </c>
      <c r="BE68" s="70">
        <f t="shared" si="15"/>
        <v>0</v>
      </c>
      <c r="BF68" s="70">
        <f t="shared" si="15"/>
        <v>0</v>
      </c>
      <c r="BG68" s="70">
        <f t="shared" si="6"/>
        <v>0</v>
      </c>
      <c r="BH68" s="70">
        <f t="shared" si="2"/>
        <v>0</v>
      </c>
      <c r="BI68" s="70">
        <f t="shared" si="3"/>
        <v>0</v>
      </c>
      <c r="BJ68" s="70">
        <f t="shared" si="4"/>
        <v>0</v>
      </c>
    </row>
    <row r="69" spans="2:63" x14ac:dyDescent="0.3">
      <c r="D69">
        <v>1400</v>
      </c>
      <c r="E69" t="s">
        <v>366</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80">
        <f t="shared" si="6"/>
        <v>0</v>
      </c>
      <c r="BH69" s="80">
        <f t="shared" ref="BH69:BH134" si="16">SUM(F69:X69)</f>
        <v>0</v>
      </c>
      <c r="BI69" s="80">
        <f t="shared" ref="BI69:BI134" si="17">SUM(Y69:AK69)</f>
        <v>0</v>
      </c>
      <c r="BJ69" s="80">
        <f t="shared" ref="BJ69:BJ134" si="18">SUM(AL69:BF69)</f>
        <v>0</v>
      </c>
    </row>
    <row r="70" spans="2:63" x14ac:dyDescent="0.3">
      <c r="D70">
        <v>1401</v>
      </c>
      <c r="E70" t="s">
        <v>367</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80">
        <f t="shared" ref="BG70:BG135" si="19">SUM(F70:BF70)</f>
        <v>0</v>
      </c>
      <c r="BH70" s="80">
        <f t="shared" si="16"/>
        <v>0</v>
      </c>
      <c r="BI70" s="80">
        <f t="shared" si="17"/>
        <v>0</v>
      </c>
      <c r="BJ70" s="80">
        <f t="shared" si="18"/>
        <v>0</v>
      </c>
    </row>
    <row r="71" spans="2:63" x14ac:dyDescent="0.3">
      <c r="D71">
        <v>1402</v>
      </c>
      <c r="E71" t="s">
        <v>368</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80">
        <f t="shared" si="19"/>
        <v>0</v>
      </c>
      <c r="BH71" s="80">
        <f t="shared" si="16"/>
        <v>0</v>
      </c>
      <c r="BI71" s="80">
        <f t="shared" si="17"/>
        <v>0</v>
      </c>
      <c r="BJ71" s="80">
        <f t="shared" si="18"/>
        <v>0</v>
      </c>
    </row>
    <row r="72" spans="2:63" x14ac:dyDescent="0.3">
      <c r="D72">
        <v>1403</v>
      </c>
      <c r="E72" t="s">
        <v>369</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80">
        <f t="shared" si="19"/>
        <v>0</v>
      </c>
      <c r="BH72" s="80">
        <f t="shared" si="16"/>
        <v>0</v>
      </c>
      <c r="BI72" s="80">
        <f t="shared" si="17"/>
        <v>0</v>
      </c>
      <c r="BJ72" s="80">
        <f t="shared" si="18"/>
        <v>0</v>
      </c>
    </row>
    <row r="73" spans="2:63" x14ac:dyDescent="0.3">
      <c r="D73">
        <v>1404</v>
      </c>
      <c r="E73" t="s">
        <v>370</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80">
        <f t="shared" si="19"/>
        <v>0</v>
      </c>
      <c r="BH73" s="80">
        <f t="shared" si="16"/>
        <v>0</v>
      </c>
      <c r="BI73" s="80">
        <f t="shared" si="17"/>
        <v>0</v>
      </c>
      <c r="BJ73" s="80">
        <f t="shared" si="18"/>
        <v>0</v>
      </c>
    </row>
    <row r="74" spans="2:63" x14ac:dyDescent="0.3">
      <c r="D74">
        <v>1405</v>
      </c>
      <c r="E74" t="s">
        <v>371</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80">
        <f t="shared" si="19"/>
        <v>0</v>
      </c>
      <c r="BH74" s="80">
        <f t="shared" si="16"/>
        <v>0</v>
      </c>
      <c r="BI74" s="80">
        <f t="shared" si="17"/>
        <v>0</v>
      </c>
      <c r="BJ74" s="80">
        <f t="shared" si="18"/>
        <v>0</v>
      </c>
    </row>
    <row r="75" spans="2:63" x14ac:dyDescent="0.3">
      <c r="D75">
        <v>1406</v>
      </c>
      <c r="E75" t="s">
        <v>372</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80">
        <f t="shared" si="19"/>
        <v>0</v>
      </c>
      <c r="BH75" s="80">
        <f t="shared" si="16"/>
        <v>0</v>
      </c>
      <c r="BI75" s="80">
        <f t="shared" si="17"/>
        <v>0</v>
      </c>
      <c r="BJ75" s="80">
        <f t="shared" si="18"/>
        <v>0</v>
      </c>
    </row>
    <row r="76" spans="2:63" x14ac:dyDescent="0.3">
      <c r="D76">
        <v>1407</v>
      </c>
      <c r="E76" t="s">
        <v>373</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80">
        <f t="shared" si="19"/>
        <v>0</v>
      </c>
      <c r="BH76" s="80">
        <f t="shared" si="16"/>
        <v>0</v>
      </c>
      <c r="BI76" s="80">
        <f t="shared" si="17"/>
        <v>0</v>
      </c>
      <c r="BJ76" s="80">
        <f t="shared" si="18"/>
        <v>0</v>
      </c>
    </row>
    <row r="77" spans="2:63" x14ac:dyDescent="0.3">
      <c r="D77">
        <v>1409</v>
      </c>
      <c r="E77" t="s">
        <v>374</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80">
        <f t="shared" si="19"/>
        <v>0</v>
      </c>
      <c r="BH77" s="80">
        <f t="shared" si="16"/>
        <v>0</v>
      </c>
      <c r="BI77" s="80">
        <f t="shared" si="17"/>
        <v>0</v>
      </c>
      <c r="BJ77" s="80">
        <f t="shared" si="18"/>
        <v>0</v>
      </c>
    </row>
    <row r="78" spans="2:63" x14ac:dyDescent="0.3">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3">
      <c r="C79" s="69">
        <v>142</v>
      </c>
      <c r="D79" s="69"/>
      <c r="E79" s="69" t="s">
        <v>594</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BF79" si="21">Q80+Q81+Q82+Q83</f>
        <v>0</v>
      </c>
      <c r="R79" s="70">
        <f t="shared" si="21"/>
        <v>0</v>
      </c>
      <c r="S79" s="70">
        <f t="shared" si="21"/>
        <v>0</v>
      </c>
      <c r="T79" s="70">
        <f t="shared" si="21"/>
        <v>0</v>
      </c>
      <c r="U79" s="70">
        <f t="shared" si="21"/>
        <v>0</v>
      </c>
      <c r="V79" s="70">
        <f t="shared" si="21"/>
        <v>0</v>
      </c>
      <c r="W79" s="70">
        <f t="shared" si="21"/>
        <v>0</v>
      </c>
      <c r="X79" s="70">
        <f t="shared" si="21"/>
        <v>0</v>
      </c>
      <c r="Y79" s="70">
        <f t="shared" si="21"/>
        <v>0</v>
      </c>
      <c r="Z79" s="70">
        <f t="shared" si="21"/>
        <v>0</v>
      </c>
      <c r="AA79" s="70">
        <f t="shared" si="21"/>
        <v>0</v>
      </c>
      <c r="AB79" s="70">
        <f t="shared" si="21"/>
        <v>0</v>
      </c>
      <c r="AC79" s="70">
        <f t="shared" si="21"/>
        <v>0</v>
      </c>
      <c r="AD79" s="70">
        <f t="shared" si="21"/>
        <v>0</v>
      </c>
      <c r="AE79" s="70">
        <f t="shared" si="21"/>
        <v>0</v>
      </c>
      <c r="AF79" s="70">
        <f t="shared" si="21"/>
        <v>0</v>
      </c>
      <c r="AG79" s="70">
        <f t="shared" si="21"/>
        <v>0</v>
      </c>
      <c r="AH79" s="70">
        <f t="shared" si="21"/>
        <v>0</v>
      </c>
      <c r="AI79" s="70">
        <f t="shared" si="21"/>
        <v>0</v>
      </c>
      <c r="AJ79" s="70">
        <f t="shared" si="21"/>
        <v>0</v>
      </c>
      <c r="AK79" s="70">
        <f t="shared" si="21"/>
        <v>0</v>
      </c>
      <c r="AL79" s="70">
        <f t="shared" si="21"/>
        <v>0</v>
      </c>
      <c r="AM79" s="70">
        <f t="shared" si="21"/>
        <v>0</v>
      </c>
      <c r="AN79" s="70">
        <f t="shared" si="21"/>
        <v>0</v>
      </c>
      <c r="AO79" s="70">
        <f t="shared" si="21"/>
        <v>0</v>
      </c>
      <c r="AP79" s="70">
        <f t="shared" si="21"/>
        <v>0</v>
      </c>
      <c r="AQ79" s="70">
        <f t="shared" si="21"/>
        <v>0</v>
      </c>
      <c r="AR79" s="70">
        <f t="shared" si="21"/>
        <v>0</v>
      </c>
      <c r="AS79" s="70">
        <f t="shared" si="21"/>
        <v>0</v>
      </c>
      <c r="AT79" s="70">
        <f t="shared" si="21"/>
        <v>0</v>
      </c>
      <c r="AU79" s="70">
        <f t="shared" si="21"/>
        <v>0</v>
      </c>
      <c r="AV79" s="70">
        <f t="shared" si="21"/>
        <v>0</v>
      </c>
      <c r="AW79" s="70">
        <f t="shared" si="21"/>
        <v>0</v>
      </c>
      <c r="AX79" s="70">
        <f t="shared" si="21"/>
        <v>0</v>
      </c>
      <c r="AY79" s="70">
        <f t="shared" si="21"/>
        <v>0</v>
      </c>
      <c r="AZ79" s="70">
        <f t="shared" si="21"/>
        <v>0</v>
      </c>
      <c r="BA79" s="70">
        <f t="shared" si="21"/>
        <v>0</v>
      </c>
      <c r="BB79" s="70">
        <f t="shared" si="21"/>
        <v>0</v>
      </c>
      <c r="BC79" s="70">
        <f t="shared" si="21"/>
        <v>0</v>
      </c>
      <c r="BD79" s="70">
        <f t="shared" si="21"/>
        <v>0</v>
      </c>
      <c r="BE79" s="70">
        <f t="shared" si="21"/>
        <v>0</v>
      </c>
      <c r="BF79" s="70">
        <f t="shared" si="21"/>
        <v>0</v>
      </c>
      <c r="BG79" s="70">
        <f t="shared" si="19"/>
        <v>0</v>
      </c>
      <c r="BH79" s="70">
        <f t="shared" si="16"/>
        <v>0</v>
      </c>
      <c r="BI79" s="70">
        <f t="shared" si="17"/>
        <v>0</v>
      </c>
      <c r="BJ79" s="70">
        <f t="shared" si="18"/>
        <v>0</v>
      </c>
    </row>
    <row r="80" spans="2:63" x14ac:dyDescent="0.3">
      <c r="D80" s="79">
        <v>1420</v>
      </c>
      <c r="E80" s="79" t="s">
        <v>375</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80">
        <f t="shared" si="19"/>
        <v>0</v>
      </c>
      <c r="BH80" s="80">
        <f t="shared" si="16"/>
        <v>0</v>
      </c>
      <c r="BI80" s="80">
        <f t="shared" si="17"/>
        <v>0</v>
      </c>
      <c r="BJ80" s="80">
        <f t="shared" si="18"/>
        <v>0</v>
      </c>
    </row>
    <row r="81" spans="3:62" x14ac:dyDescent="0.3">
      <c r="D81" s="79">
        <v>1421</v>
      </c>
      <c r="E81" s="79" t="s">
        <v>376</v>
      </c>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80">
        <f t="shared" si="19"/>
        <v>0</v>
      </c>
      <c r="BH81" s="80">
        <f t="shared" si="16"/>
        <v>0</v>
      </c>
      <c r="BI81" s="80">
        <f t="shared" si="17"/>
        <v>0</v>
      </c>
      <c r="BJ81" s="80">
        <f t="shared" si="18"/>
        <v>0</v>
      </c>
    </row>
    <row r="82" spans="3:62" x14ac:dyDescent="0.3">
      <c r="D82" s="79">
        <v>1427</v>
      </c>
      <c r="E82" s="79" t="s">
        <v>593</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80">
        <f t="shared" si="19"/>
        <v>0</v>
      </c>
      <c r="BH82" s="80">
        <f t="shared" si="16"/>
        <v>0</v>
      </c>
      <c r="BI82" s="80">
        <f t="shared" si="17"/>
        <v>0</v>
      </c>
      <c r="BJ82" s="80">
        <f t="shared" si="18"/>
        <v>0</v>
      </c>
    </row>
    <row r="83" spans="3:62" x14ac:dyDescent="0.3">
      <c r="D83" s="79">
        <v>1429</v>
      </c>
      <c r="E83" s="79" t="s">
        <v>476</v>
      </c>
      <c r="F83" s="4"/>
      <c r="G83" s="4"/>
      <c r="H83" s="4"/>
      <c r="I83" s="196"/>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80">
        <f t="shared" si="19"/>
        <v>0</v>
      </c>
      <c r="BH83" s="80">
        <f t="shared" si="16"/>
        <v>0</v>
      </c>
      <c r="BI83" s="80">
        <f t="shared" si="17"/>
        <v>0</v>
      </c>
      <c r="BJ83" s="80">
        <f t="shared" si="18"/>
        <v>0</v>
      </c>
    </row>
    <row r="84" spans="3:62" x14ac:dyDescent="0.3">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3">
      <c r="C85" s="69">
        <v>144</v>
      </c>
      <c r="D85" s="69"/>
      <c r="E85" s="69" t="s">
        <v>257</v>
      </c>
      <c r="F85" s="70">
        <f>F86+F87+F88+F89+F90+F91+F92+F93+F94</f>
        <v>0</v>
      </c>
      <c r="G85" s="70">
        <f t="shared" ref="G85:BF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si="22"/>
        <v>0</v>
      </c>
      <c r="T85" s="70">
        <f t="shared" si="22"/>
        <v>0</v>
      </c>
      <c r="U85" s="70">
        <f t="shared" si="22"/>
        <v>0</v>
      </c>
      <c r="V85" s="70">
        <f t="shared" si="22"/>
        <v>0</v>
      </c>
      <c r="W85" s="70">
        <f t="shared" si="22"/>
        <v>0</v>
      </c>
      <c r="X85" s="70">
        <f t="shared" si="22"/>
        <v>0</v>
      </c>
      <c r="Y85" s="70">
        <f t="shared" si="22"/>
        <v>0</v>
      </c>
      <c r="Z85" s="70">
        <f t="shared" si="22"/>
        <v>0</v>
      </c>
      <c r="AA85" s="70">
        <f t="shared" si="22"/>
        <v>0</v>
      </c>
      <c r="AB85" s="70">
        <f t="shared" si="22"/>
        <v>0</v>
      </c>
      <c r="AC85" s="70">
        <f t="shared" si="22"/>
        <v>0</v>
      </c>
      <c r="AD85" s="70">
        <f t="shared" si="22"/>
        <v>0</v>
      </c>
      <c r="AE85" s="70">
        <f t="shared" si="22"/>
        <v>0</v>
      </c>
      <c r="AF85" s="70">
        <f t="shared" si="22"/>
        <v>0</v>
      </c>
      <c r="AG85" s="70">
        <f t="shared" si="22"/>
        <v>0</v>
      </c>
      <c r="AH85" s="70">
        <f t="shared" si="22"/>
        <v>0</v>
      </c>
      <c r="AI85" s="70">
        <f t="shared" si="22"/>
        <v>0</v>
      </c>
      <c r="AJ85" s="70">
        <f t="shared" si="22"/>
        <v>0</v>
      </c>
      <c r="AK85" s="70">
        <f t="shared" si="22"/>
        <v>0</v>
      </c>
      <c r="AL85" s="70">
        <f t="shared" si="22"/>
        <v>0</v>
      </c>
      <c r="AM85" s="70">
        <f t="shared" si="22"/>
        <v>0</v>
      </c>
      <c r="AN85" s="70">
        <f t="shared" si="22"/>
        <v>0</v>
      </c>
      <c r="AO85" s="70">
        <f t="shared" si="22"/>
        <v>0</v>
      </c>
      <c r="AP85" s="70">
        <f t="shared" si="22"/>
        <v>0</v>
      </c>
      <c r="AQ85" s="70">
        <f t="shared" si="22"/>
        <v>0</v>
      </c>
      <c r="AR85" s="70">
        <f t="shared" si="22"/>
        <v>0</v>
      </c>
      <c r="AS85" s="70">
        <f t="shared" si="22"/>
        <v>0</v>
      </c>
      <c r="AT85" s="70">
        <f t="shared" si="22"/>
        <v>0</v>
      </c>
      <c r="AU85" s="70">
        <f t="shared" si="22"/>
        <v>0</v>
      </c>
      <c r="AV85" s="70">
        <f t="shared" si="22"/>
        <v>0</v>
      </c>
      <c r="AW85" s="70">
        <f t="shared" si="22"/>
        <v>0</v>
      </c>
      <c r="AX85" s="70">
        <f t="shared" si="22"/>
        <v>0</v>
      </c>
      <c r="AY85" s="70">
        <f t="shared" si="22"/>
        <v>0</v>
      </c>
      <c r="AZ85" s="70">
        <f t="shared" si="22"/>
        <v>0</v>
      </c>
      <c r="BA85" s="70">
        <f t="shared" si="22"/>
        <v>0</v>
      </c>
      <c r="BB85" s="70">
        <f t="shared" si="22"/>
        <v>0</v>
      </c>
      <c r="BC85" s="70">
        <f t="shared" si="22"/>
        <v>0</v>
      </c>
      <c r="BD85" s="70">
        <f t="shared" si="22"/>
        <v>0</v>
      </c>
      <c r="BE85" s="70">
        <f t="shared" si="22"/>
        <v>0</v>
      </c>
      <c r="BF85" s="70">
        <f t="shared" si="22"/>
        <v>0</v>
      </c>
      <c r="BG85" s="70">
        <f t="shared" si="19"/>
        <v>0</v>
      </c>
      <c r="BH85" s="70">
        <f t="shared" si="16"/>
        <v>0</v>
      </c>
      <c r="BI85" s="70">
        <f t="shared" si="17"/>
        <v>0</v>
      </c>
      <c r="BJ85" s="70">
        <f t="shared" si="18"/>
        <v>0</v>
      </c>
    </row>
    <row r="86" spans="3:62" x14ac:dyDescent="0.3">
      <c r="D86">
        <v>1440</v>
      </c>
      <c r="E86" t="s">
        <v>377</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80">
        <f t="shared" si="19"/>
        <v>0</v>
      </c>
      <c r="BH86" s="80">
        <f t="shared" si="16"/>
        <v>0</v>
      </c>
      <c r="BI86" s="80">
        <f t="shared" si="17"/>
        <v>0</v>
      </c>
      <c r="BJ86" s="80">
        <f t="shared" si="18"/>
        <v>0</v>
      </c>
    </row>
    <row r="87" spans="3:62" x14ac:dyDescent="0.3">
      <c r="D87">
        <v>1441</v>
      </c>
      <c r="E87" t="s">
        <v>379</v>
      </c>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80">
        <f t="shared" si="19"/>
        <v>0</v>
      </c>
      <c r="BH87" s="80">
        <f t="shared" si="16"/>
        <v>0</v>
      </c>
      <c r="BI87" s="80">
        <f t="shared" si="17"/>
        <v>0</v>
      </c>
      <c r="BJ87" s="80">
        <f t="shared" si="18"/>
        <v>0</v>
      </c>
    </row>
    <row r="88" spans="3:62" x14ac:dyDescent="0.3">
      <c r="D88">
        <v>1442</v>
      </c>
      <c r="E88" t="s">
        <v>378</v>
      </c>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80">
        <f t="shared" si="19"/>
        <v>0</v>
      </c>
      <c r="BH88" s="80">
        <f t="shared" si="16"/>
        <v>0</v>
      </c>
      <c r="BI88" s="80">
        <f t="shared" si="17"/>
        <v>0</v>
      </c>
      <c r="BJ88" s="80">
        <f t="shared" si="18"/>
        <v>0</v>
      </c>
    </row>
    <row r="89" spans="3:62" x14ac:dyDescent="0.3">
      <c r="D89">
        <v>1443</v>
      </c>
      <c r="E89" t="s">
        <v>380</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80">
        <f t="shared" si="19"/>
        <v>0</v>
      </c>
      <c r="BH89" s="80">
        <f t="shared" si="16"/>
        <v>0</v>
      </c>
      <c r="BI89" s="80">
        <f t="shared" si="17"/>
        <v>0</v>
      </c>
      <c r="BJ89" s="80">
        <f t="shared" si="18"/>
        <v>0</v>
      </c>
    </row>
    <row r="90" spans="3:62" x14ac:dyDescent="0.3">
      <c r="D90">
        <v>1444</v>
      </c>
      <c r="E90" t="s">
        <v>381</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80">
        <f t="shared" si="19"/>
        <v>0</v>
      </c>
      <c r="BH90" s="80">
        <f t="shared" si="16"/>
        <v>0</v>
      </c>
      <c r="BI90" s="80">
        <f t="shared" si="17"/>
        <v>0</v>
      </c>
      <c r="BJ90" s="80">
        <f t="shared" si="18"/>
        <v>0</v>
      </c>
    </row>
    <row r="91" spans="3:62" x14ac:dyDescent="0.3">
      <c r="D91">
        <v>1445</v>
      </c>
      <c r="E91" t="s">
        <v>382</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80">
        <f t="shared" si="19"/>
        <v>0</v>
      </c>
      <c r="BH91" s="80">
        <f t="shared" si="16"/>
        <v>0</v>
      </c>
      <c r="BI91" s="80">
        <f t="shared" si="17"/>
        <v>0</v>
      </c>
      <c r="BJ91" s="80">
        <f t="shared" si="18"/>
        <v>0</v>
      </c>
    </row>
    <row r="92" spans="3:62" x14ac:dyDescent="0.3">
      <c r="D92">
        <v>1446</v>
      </c>
      <c r="E92" t="s">
        <v>383</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80">
        <f t="shared" si="19"/>
        <v>0</v>
      </c>
      <c r="BH92" s="80">
        <f t="shared" si="16"/>
        <v>0</v>
      </c>
      <c r="BI92" s="80">
        <f t="shared" si="17"/>
        <v>0</v>
      </c>
      <c r="BJ92" s="80">
        <f t="shared" si="18"/>
        <v>0</v>
      </c>
    </row>
    <row r="93" spans="3:62" x14ac:dyDescent="0.3">
      <c r="D93">
        <v>1447</v>
      </c>
      <c r="E93" t="s">
        <v>384</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80">
        <f t="shared" si="19"/>
        <v>0</v>
      </c>
      <c r="BH93" s="80">
        <f t="shared" si="16"/>
        <v>0</v>
      </c>
      <c r="BI93" s="80">
        <f t="shared" si="17"/>
        <v>0</v>
      </c>
      <c r="BJ93" s="80">
        <f t="shared" si="18"/>
        <v>0</v>
      </c>
    </row>
    <row r="94" spans="3:62" x14ac:dyDescent="0.3">
      <c r="D94">
        <v>1448</v>
      </c>
      <c r="E94" t="s">
        <v>385</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80">
        <f t="shared" si="19"/>
        <v>0</v>
      </c>
      <c r="BH94" s="80">
        <f t="shared" si="16"/>
        <v>0</v>
      </c>
      <c r="BI94" s="80">
        <f t="shared" si="17"/>
        <v>0</v>
      </c>
      <c r="BJ94" s="80">
        <f t="shared" si="18"/>
        <v>0</v>
      </c>
    </row>
    <row r="95" spans="3:62" x14ac:dyDescent="0.3">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3">
      <c r="C96" s="69">
        <v>145</v>
      </c>
      <c r="D96" s="69"/>
      <c r="E96" s="69" t="s">
        <v>388</v>
      </c>
      <c r="F96" s="70">
        <f>F97+F98+F99+F100+F101+F102+F103+F104+F105</f>
        <v>0</v>
      </c>
      <c r="G96" s="70">
        <f t="shared" ref="G96:BF96" si="23">G97+G98+G99+G100+G101+G102+G103+G104+G105</f>
        <v>0</v>
      </c>
      <c r="H96" s="70">
        <f t="shared" si="23"/>
        <v>0</v>
      </c>
      <c r="I96" s="70">
        <f t="shared" si="23"/>
        <v>0</v>
      </c>
      <c r="J96" s="70">
        <f t="shared" si="23"/>
        <v>0</v>
      </c>
      <c r="K96" s="70">
        <f t="shared" si="23"/>
        <v>0</v>
      </c>
      <c r="L96" s="70">
        <f t="shared" si="23"/>
        <v>0</v>
      </c>
      <c r="M96" s="70">
        <f t="shared" si="23"/>
        <v>0</v>
      </c>
      <c r="N96" s="70">
        <f t="shared" si="23"/>
        <v>0</v>
      </c>
      <c r="O96" s="70">
        <f t="shared" si="23"/>
        <v>0</v>
      </c>
      <c r="P96" s="70">
        <f t="shared" si="23"/>
        <v>0</v>
      </c>
      <c r="Q96" s="70">
        <f t="shared" si="23"/>
        <v>0</v>
      </c>
      <c r="R96" s="70">
        <f t="shared" si="23"/>
        <v>0</v>
      </c>
      <c r="S96" s="70">
        <f t="shared" si="23"/>
        <v>0</v>
      </c>
      <c r="T96" s="70">
        <f t="shared" si="23"/>
        <v>0</v>
      </c>
      <c r="U96" s="70">
        <f t="shared" si="23"/>
        <v>0</v>
      </c>
      <c r="V96" s="70">
        <f t="shared" si="23"/>
        <v>0</v>
      </c>
      <c r="W96" s="70">
        <f t="shared" si="23"/>
        <v>0</v>
      </c>
      <c r="X96" s="70">
        <f t="shared" si="23"/>
        <v>0</v>
      </c>
      <c r="Y96" s="70">
        <f t="shared" si="23"/>
        <v>0</v>
      </c>
      <c r="Z96" s="70">
        <f t="shared" si="23"/>
        <v>0</v>
      </c>
      <c r="AA96" s="70">
        <f t="shared" si="23"/>
        <v>0</v>
      </c>
      <c r="AB96" s="70">
        <f t="shared" si="23"/>
        <v>0</v>
      </c>
      <c r="AC96" s="70">
        <f t="shared" si="23"/>
        <v>0</v>
      </c>
      <c r="AD96" s="70">
        <f t="shared" si="23"/>
        <v>0</v>
      </c>
      <c r="AE96" s="70">
        <f t="shared" si="23"/>
        <v>0</v>
      </c>
      <c r="AF96" s="70">
        <f t="shared" si="23"/>
        <v>0</v>
      </c>
      <c r="AG96" s="70">
        <f t="shared" si="23"/>
        <v>0</v>
      </c>
      <c r="AH96" s="70">
        <f t="shared" si="23"/>
        <v>0</v>
      </c>
      <c r="AI96" s="70">
        <f t="shared" si="23"/>
        <v>0</v>
      </c>
      <c r="AJ96" s="70">
        <f t="shared" si="23"/>
        <v>0</v>
      </c>
      <c r="AK96" s="70">
        <f t="shared" si="23"/>
        <v>0</v>
      </c>
      <c r="AL96" s="70">
        <f t="shared" si="23"/>
        <v>0</v>
      </c>
      <c r="AM96" s="70">
        <f t="shared" si="23"/>
        <v>0</v>
      </c>
      <c r="AN96" s="70">
        <f t="shared" si="23"/>
        <v>0</v>
      </c>
      <c r="AO96" s="70">
        <f t="shared" si="23"/>
        <v>0</v>
      </c>
      <c r="AP96" s="70">
        <f t="shared" si="23"/>
        <v>0</v>
      </c>
      <c r="AQ96" s="70">
        <f t="shared" si="23"/>
        <v>0</v>
      </c>
      <c r="AR96" s="70">
        <f t="shared" si="23"/>
        <v>0</v>
      </c>
      <c r="AS96" s="70">
        <f t="shared" si="23"/>
        <v>0</v>
      </c>
      <c r="AT96" s="70">
        <f t="shared" si="23"/>
        <v>0</v>
      </c>
      <c r="AU96" s="70">
        <f t="shared" si="23"/>
        <v>0</v>
      </c>
      <c r="AV96" s="70">
        <f t="shared" si="23"/>
        <v>0</v>
      </c>
      <c r="AW96" s="70">
        <f t="shared" si="23"/>
        <v>0</v>
      </c>
      <c r="AX96" s="70">
        <f t="shared" si="23"/>
        <v>0</v>
      </c>
      <c r="AY96" s="70">
        <f t="shared" si="23"/>
        <v>0</v>
      </c>
      <c r="AZ96" s="70">
        <f t="shared" si="23"/>
        <v>0</v>
      </c>
      <c r="BA96" s="70">
        <f t="shared" si="23"/>
        <v>0</v>
      </c>
      <c r="BB96" s="70">
        <f t="shared" si="23"/>
        <v>0</v>
      </c>
      <c r="BC96" s="70">
        <f t="shared" si="23"/>
        <v>0</v>
      </c>
      <c r="BD96" s="70">
        <f t="shared" si="23"/>
        <v>0</v>
      </c>
      <c r="BE96" s="70">
        <f t="shared" si="23"/>
        <v>0</v>
      </c>
      <c r="BF96" s="70">
        <f t="shared" si="23"/>
        <v>0</v>
      </c>
      <c r="BG96" s="70">
        <f t="shared" si="19"/>
        <v>0</v>
      </c>
      <c r="BH96" s="70">
        <f t="shared" si="16"/>
        <v>0</v>
      </c>
      <c r="BI96" s="70">
        <f t="shared" si="17"/>
        <v>0</v>
      </c>
      <c r="BJ96" s="70">
        <f t="shared" si="18"/>
        <v>0</v>
      </c>
    </row>
    <row r="97" spans="3:62" x14ac:dyDescent="0.3">
      <c r="D97">
        <v>1450</v>
      </c>
      <c r="E97" t="s">
        <v>387</v>
      </c>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80">
        <f t="shared" si="19"/>
        <v>0</v>
      </c>
      <c r="BH97" s="80">
        <f t="shared" si="16"/>
        <v>0</v>
      </c>
      <c r="BI97" s="80">
        <f t="shared" si="17"/>
        <v>0</v>
      </c>
      <c r="BJ97" s="80">
        <f t="shared" si="18"/>
        <v>0</v>
      </c>
    </row>
    <row r="98" spans="3:62" x14ac:dyDescent="0.3">
      <c r="D98">
        <v>1451</v>
      </c>
      <c r="E98" t="s">
        <v>386</v>
      </c>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80">
        <f t="shared" si="19"/>
        <v>0</v>
      </c>
      <c r="BH98" s="80">
        <f t="shared" si="16"/>
        <v>0</v>
      </c>
      <c r="BI98" s="80">
        <f t="shared" si="17"/>
        <v>0</v>
      </c>
      <c r="BJ98" s="80">
        <f t="shared" si="18"/>
        <v>0</v>
      </c>
    </row>
    <row r="99" spans="3:62" x14ac:dyDescent="0.3">
      <c r="D99">
        <v>1452</v>
      </c>
      <c r="E99" t="s">
        <v>389</v>
      </c>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80">
        <f t="shared" si="19"/>
        <v>0</v>
      </c>
      <c r="BH99" s="80">
        <f t="shared" si="16"/>
        <v>0</v>
      </c>
      <c r="BI99" s="80">
        <f t="shared" si="17"/>
        <v>0</v>
      </c>
      <c r="BJ99" s="80">
        <f t="shared" si="18"/>
        <v>0</v>
      </c>
    </row>
    <row r="100" spans="3:62" x14ac:dyDescent="0.3">
      <c r="D100">
        <v>1453</v>
      </c>
      <c r="E100" t="s">
        <v>390</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80">
        <f t="shared" si="19"/>
        <v>0</v>
      </c>
      <c r="BH100" s="80">
        <f t="shared" si="16"/>
        <v>0</v>
      </c>
      <c r="BI100" s="80">
        <f t="shared" si="17"/>
        <v>0</v>
      </c>
      <c r="BJ100" s="80">
        <f t="shared" si="18"/>
        <v>0</v>
      </c>
    </row>
    <row r="101" spans="3:62" x14ac:dyDescent="0.3">
      <c r="D101">
        <v>1454</v>
      </c>
      <c r="E101" t="s">
        <v>391</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80">
        <f t="shared" si="19"/>
        <v>0</v>
      </c>
      <c r="BH101" s="80">
        <f t="shared" si="16"/>
        <v>0</v>
      </c>
      <c r="BI101" s="80">
        <f t="shared" si="17"/>
        <v>0</v>
      </c>
      <c r="BJ101" s="80">
        <f t="shared" si="18"/>
        <v>0</v>
      </c>
    </row>
    <row r="102" spans="3:62" x14ac:dyDescent="0.3">
      <c r="D102">
        <v>1455</v>
      </c>
      <c r="E102" t="s">
        <v>392</v>
      </c>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80">
        <f t="shared" si="19"/>
        <v>0</v>
      </c>
      <c r="BH102" s="80">
        <f t="shared" si="16"/>
        <v>0</v>
      </c>
      <c r="BI102" s="80">
        <f t="shared" si="17"/>
        <v>0</v>
      </c>
      <c r="BJ102" s="80">
        <f t="shared" si="18"/>
        <v>0</v>
      </c>
    </row>
    <row r="103" spans="3:62" x14ac:dyDescent="0.3">
      <c r="D103">
        <v>1456</v>
      </c>
      <c r="E103" t="s">
        <v>393</v>
      </c>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80">
        <f t="shared" si="19"/>
        <v>0</v>
      </c>
      <c r="BH103" s="80">
        <f t="shared" si="16"/>
        <v>0</v>
      </c>
      <c r="BI103" s="80">
        <f t="shared" si="17"/>
        <v>0</v>
      </c>
      <c r="BJ103" s="80">
        <f t="shared" si="18"/>
        <v>0</v>
      </c>
    </row>
    <row r="104" spans="3:62" x14ac:dyDescent="0.3">
      <c r="D104">
        <v>1457</v>
      </c>
      <c r="E104" t="s">
        <v>394</v>
      </c>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80">
        <f t="shared" si="19"/>
        <v>0</v>
      </c>
      <c r="BH104" s="80">
        <f t="shared" si="16"/>
        <v>0</v>
      </c>
      <c r="BI104" s="80">
        <f t="shared" si="17"/>
        <v>0</v>
      </c>
      <c r="BJ104" s="80">
        <f t="shared" si="18"/>
        <v>0</v>
      </c>
    </row>
    <row r="105" spans="3:62" x14ac:dyDescent="0.3">
      <c r="D105">
        <v>1458</v>
      </c>
      <c r="E105" t="s">
        <v>395</v>
      </c>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80">
        <f t="shared" si="19"/>
        <v>0</v>
      </c>
      <c r="BH105" s="80">
        <f t="shared" si="16"/>
        <v>0</v>
      </c>
      <c r="BI105" s="80">
        <f t="shared" si="17"/>
        <v>0</v>
      </c>
      <c r="BJ105" s="80">
        <f t="shared" si="18"/>
        <v>0</v>
      </c>
    </row>
    <row r="106" spans="3:62" x14ac:dyDescent="0.3">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3">
      <c r="C107" s="69">
        <v>146</v>
      </c>
      <c r="D107" s="69"/>
      <c r="E107" s="69" t="s">
        <v>406</v>
      </c>
      <c r="F107" s="70">
        <f>F108+F109+F110+F111+F112+F113+F114+F115+F116+F117</f>
        <v>0</v>
      </c>
      <c r="G107" s="70">
        <f t="shared" ref="G107:B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f t="shared" si="24"/>
        <v>0</v>
      </c>
      <c r="AC107" s="70">
        <f t="shared" si="24"/>
        <v>0</v>
      </c>
      <c r="AD107" s="70">
        <f t="shared" si="24"/>
        <v>0</v>
      </c>
      <c r="AE107" s="70">
        <f t="shared" si="24"/>
        <v>0</v>
      </c>
      <c r="AF107" s="70">
        <f t="shared" si="24"/>
        <v>0</v>
      </c>
      <c r="AG107" s="70">
        <f t="shared" si="24"/>
        <v>0</v>
      </c>
      <c r="AH107" s="70">
        <f t="shared" si="24"/>
        <v>0</v>
      </c>
      <c r="AI107" s="70">
        <f t="shared" si="24"/>
        <v>0</v>
      </c>
      <c r="AJ107" s="70">
        <f t="shared" si="24"/>
        <v>0</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0</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0</v>
      </c>
      <c r="BF107" s="70">
        <f t="shared" si="24"/>
        <v>0</v>
      </c>
      <c r="BG107" s="70">
        <f t="shared" si="19"/>
        <v>0</v>
      </c>
      <c r="BH107" s="70">
        <f t="shared" si="16"/>
        <v>0</v>
      </c>
      <c r="BI107" s="70">
        <f t="shared" si="17"/>
        <v>0</v>
      </c>
      <c r="BJ107" s="70">
        <f t="shared" si="18"/>
        <v>0</v>
      </c>
    </row>
    <row r="108" spans="3:62" x14ac:dyDescent="0.3">
      <c r="D108">
        <v>1460</v>
      </c>
      <c r="E108" t="s">
        <v>403</v>
      </c>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80">
        <f t="shared" si="19"/>
        <v>0</v>
      </c>
      <c r="BH108" s="80">
        <f t="shared" si="16"/>
        <v>0</v>
      </c>
      <c r="BI108" s="80">
        <f t="shared" si="17"/>
        <v>0</v>
      </c>
      <c r="BJ108" s="80">
        <f t="shared" si="18"/>
        <v>0</v>
      </c>
    </row>
    <row r="109" spans="3:62" x14ac:dyDescent="0.3">
      <c r="D109">
        <v>1461</v>
      </c>
      <c r="E109" t="s">
        <v>404</v>
      </c>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80">
        <f t="shared" si="19"/>
        <v>0</v>
      </c>
      <c r="BH109" s="80">
        <f t="shared" si="16"/>
        <v>0</v>
      </c>
      <c r="BI109" s="80">
        <f t="shared" si="17"/>
        <v>0</v>
      </c>
      <c r="BJ109" s="80">
        <f t="shared" si="18"/>
        <v>0</v>
      </c>
    </row>
    <row r="110" spans="3:62" x14ac:dyDescent="0.3">
      <c r="D110">
        <v>1462</v>
      </c>
      <c r="E110" t="s">
        <v>396</v>
      </c>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80">
        <f t="shared" si="19"/>
        <v>0</v>
      </c>
      <c r="BH110" s="80">
        <f t="shared" si="16"/>
        <v>0</v>
      </c>
      <c r="BI110" s="80">
        <f t="shared" si="17"/>
        <v>0</v>
      </c>
      <c r="BJ110" s="80">
        <f t="shared" si="18"/>
        <v>0</v>
      </c>
    </row>
    <row r="111" spans="3:62" x14ac:dyDescent="0.3">
      <c r="D111">
        <v>1463</v>
      </c>
      <c r="E111" t="s">
        <v>397</v>
      </c>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80">
        <f t="shared" si="19"/>
        <v>0</v>
      </c>
      <c r="BH111" s="80">
        <f t="shared" si="16"/>
        <v>0</v>
      </c>
      <c r="BI111" s="80">
        <f t="shared" si="17"/>
        <v>0</v>
      </c>
      <c r="BJ111" s="80">
        <f t="shared" si="18"/>
        <v>0</v>
      </c>
    </row>
    <row r="112" spans="3:62" x14ac:dyDescent="0.3">
      <c r="D112">
        <v>1464</v>
      </c>
      <c r="E112" t="s">
        <v>398</v>
      </c>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80">
        <f t="shared" si="19"/>
        <v>0</v>
      </c>
      <c r="BH112" s="80">
        <f t="shared" si="16"/>
        <v>0</v>
      </c>
      <c r="BI112" s="80">
        <f t="shared" si="17"/>
        <v>0</v>
      </c>
      <c r="BJ112" s="80">
        <f t="shared" si="18"/>
        <v>0</v>
      </c>
    </row>
    <row r="113" spans="1:62" x14ac:dyDescent="0.3">
      <c r="D113">
        <v>1465</v>
      </c>
      <c r="E113" t="s">
        <v>399</v>
      </c>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80">
        <f t="shared" si="19"/>
        <v>0</v>
      </c>
      <c r="BH113" s="80">
        <f t="shared" si="16"/>
        <v>0</v>
      </c>
      <c r="BI113" s="80">
        <f t="shared" si="17"/>
        <v>0</v>
      </c>
      <c r="BJ113" s="80">
        <f t="shared" si="18"/>
        <v>0</v>
      </c>
    </row>
    <row r="114" spans="1:62" x14ac:dyDescent="0.3">
      <c r="D114">
        <v>1466</v>
      </c>
      <c r="E114" t="s">
        <v>405</v>
      </c>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80">
        <f t="shared" si="19"/>
        <v>0</v>
      </c>
      <c r="BH114" s="80">
        <f t="shared" si="16"/>
        <v>0</v>
      </c>
      <c r="BI114" s="80">
        <f t="shared" si="17"/>
        <v>0</v>
      </c>
      <c r="BJ114" s="80">
        <f t="shared" si="18"/>
        <v>0</v>
      </c>
    </row>
    <row r="115" spans="1:62" x14ac:dyDescent="0.3">
      <c r="D115">
        <v>1467</v>
      </c>
      <c r="E115" t="s">
        <v>400</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80">
        <f t="shared" si="19"/>
        <v>0</v>
      </c>
      <c r="BH115" s="80">
        <f t="shared" si="16"/>
        <v>0</v>
      </c>
      <c r="BI115" s="80">
        <f t="shared" si="17"/>
        <v>0</v>
      </c>
      <c r="BJ115" s="80">
        <f t="shared" si="18"/>
        <v>0</v>
      </c>
    </row>
    <row r="116" spans="1:62" x14ac:dyDescent="0.3">
      <c r="D116">
        <v>1468</v>
      </c>
      <c r="E116" t="s">
        <v>401</v>
      </c>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80">
        <f t="shared" si="19"/>
        <v>0</v>
      </c>
      <c r="BH116" s="80">
        <f t="shared" si="16"/>
        <v>0</v>
      </c>
      <c r="BI116" s="80">
        <f t="shared" si="17"/>
        <v>0</v>
      </c>
      <c r="BJ116" s="80">
        <f t="shared" si="18"/>
        <v>0</v>
      </c>
    </row>
    <row r="117" spans="1:62" x14ac:dyDescent="0.3">
      <c r="D117">
        <v>1469</v>
      </c>
      <c r="E117" t="s">
        <v>402</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80">
        <f t="shared" si="19"/>
        <v>0</v>
      </c>
      <c r="BH117" s="80">
        <f t="shared" si="16"/>
        <v>0</v>
      </c>
      <c r="BI117" s="80">
        <f t="shared" si="17"/>
        <v>0</v>
      </c>
      <c r="BJ117" s="80">
        <f t="shared" si="18"/>
        <v>0</v>
      </c>
    </row>
    <row r="118" spans="1:62" x14ac:dyDescent="0.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4">
      <c r="A120" s="81">
        <v>2</v>
      </c>
      <c r="B120" s="81"/>
      <c r="C120" s="81"/>
      <c r="D120" s="81"/>
      <c r="E120" s="81" t="s">
        <v>258</v>
      </c>
      <c r="F120" s="88">
        <f>F122+F132+F142+F152+F164+F172+F183+F190+F193+F197+F200+F203+F206+F209+F212+F215</f>
        <v>0</v>
      </c>
      <c r="G120" s="88">
        <f t="shared" ref="G120:BF120" si="25">G122+G132+G142+G152+G164+G172+G183+G190+G193+G197+G200+G203+G206+G209+G212+G215</f>
        <v>0</v>
      </c>
      <c r="H120" s="88">
        <f t="shared" si="25"/>
        <v>0</v>
      </c>
      <c r="I120" s="88">
        <f t="shared" si="25"/>
        <v>0</v>
      </c>
      <c r="J120" s="88">
        <f t="shared" si="25"/>
        <v>0</v>
      </c>
      <c r="K120" s="88">
        <f t="shared" si="25"/>
        <v>0</v>
      </c>
      <c r="L120" s="88">
        <f t="shared" si="25"/>
        <v>0</v>
      </c>
      <c r="M120" s="88">
        <f t="shared" si="25"/>
        <v>0</v>
      </c>
      <c r="N120" s="88">
        <f t="shared" si="25"/>
        <v>0</v>
      </c>
      <c r="O120" s="88">
        <f t="shared" si="25"/>
        <v>0</v>
      </c>
      <c r="P120" s="88">
        <f t="shared" si="25"/>
        <v>0</v>
      </c>
      <c r="Q120" s="88">
        <f t="shared" si="25"/>
        <v>0</v>
      </c>
      <c r="R120" s="88">
        <f t="shared" si="25"/>
        <v>0</v>
      </c>
      <c r="S120" s="88">
        <f t="shared" si="25"/>
        <v>0</v>
      </c>
      <c r="T120" s="88">
        <f t="shared" si="25"/>
        <v>0</v>
      </c>
      <c r="U120" s="88">
        <f t="shared" si="25"/>
        <v>0</v>
      </c>
      <c r="V120" s="88">
        <f t="shared" si="25"/>
        <v>0</v>
      </c>
      <c r="W120" s="88">
        <f t="shared" si="25"/>
        <v>0</v>
      </c>
      <c r="X120" s="88">
        <f t="shared" si="25"/>
        <v>0</v>
      </c>
      <c r="Y120" s="88">
        <f t="shared" si="25"/>
        <v>0</v>
      </c>
      <c r="Z120" s="88">
        <f t="shared" si="25"/>
        <v>0</v>
      </c>
      <c r="AA120" s="88">
        <f t="shared" si="25"/>
        <v>0</v>
      </c>
      <c r="AB120" s="88">
        <f t="shared" si="25"/>
        <v>0</v>
      </c>
      <c r="AC120" s="88">
        <f t="shared" si="25"/>
        <v>0</v>
      </c>
      <c r="AD120" s="88">
        <f t="shared" si="25"/>
        <v>0</v>
      </c>
      <c r="AE120" s="88">
        <f t="shared" si="25"/>
        <v>0</v>
      </c>
      <c r="AF120" s="88">
        <f t="shared" si="25"/>
        <v>0</v>
      </c>
      <c r="AG120" s="88">
        <f t="shared" si="25"/>
        <v>0</v>
      </c>
      <c r="AH120" s="88">
        <f t="shared" si="25"/>
        <v>0</v>
      </c>
      <c r="AI120" s="88">
        <f t="shared" si="25"/>
        <v>0</v>
      </c>
      <c r="AJ120" s="88">
        <f t="shared" si="25"/>
        <v>0</v>
      </c>
      <c r="AK120" s="88">
        <f t="shared" si="25"/>
        <v>0</v>
      </c>
      <c r="AL120" s="88">
        <f t="shared" si="25"/>
        <v>0</v>
      </c>
      <c r="AM120" s="88">
        <f t="shared" si="25"/>
        <v>0</v>
      </c>
      <c r="AN120" s="88">
        <f t="shared" si="25"/>
        <v>0</v>
      </c>
      <c r="AO120" s="88">
        <f t="shared" si="25"/>
        <v>0</v>
      </c>
      <c r="AP120" s="88">
        <f t="shared" si="25"/>
        <v>0</v>
      </c>
      <c r="AQ120" s="88">
        <f t="shared" si="25"/>
        <v>0</v>
      </c>
      <c r="AR120" s="88">
        <f t="shared" si="25"/>
        <v>0</v>
      </c>
      <c r="AS120" s="88">
        <f t="shared" si="25"/>
        <v>0</v>
      </c>
      <c r="AT120" s="88">
        <f t="shared" si="25"/>
        <v>0</v>
      </c>
      <c r="AU120" s="88">
        <f t="shared" si="25"/>
        <v>0</v>
      </c>
      <c r="AV120" s="88">
        <f t="shared" si="25"/>
        <v>0</v>
      </c>
      <c r="AW120" s="88">
        <f t="shared" si="25"/>
        <v>0</v>
      </c>
      <c r="AX120" s="88">
        <f t="shared" si="25"/>
        <v>0</v>
      </c>
      <c r="AY120" s="88">
        <f t="shared" si="25"/>
        <v>0</v>
      </c>
      <c r="AZ120" s="88">
        <f t="shared" si="25"/>
        <v>0</v>
      </c>
      <c r="BA120" s="88">
        <f t="shared" si="25"/>
        <v>0</v>
      </c>
      <c r="BB120" s="88">
        <f t="shared" si="25"/>
        <v>0</v>
      </c>
      <c r="BC120" s="88">
        <f t="shared" si="25"/>
        <v>0</v>
      </c>
      <c r="BD120" s="88">
        <f t="shared" si="25"/>
        <v>0</v>
      </c>
      <c r="BE120" s="88">
        <f t="shared" si="25"/>
        <v>0</v>
      </c>
      <c r="BF120" s="88">
        <f t="shared" si="25"/>
        <v>0</v>
      </c>
      <c r="BG120" s="82">
        <f t="shared" si="19"/>
        <v>0</v>
      </c>
      <c r="BH120" s="88">
        <f t="shared" si="16"/>
        <v>0</v>
      </c>
      <c r="BI120" s="88">
        <f t="shared" si="17"/>
        <v>0</v>
      </c>
      <c r="BJ120" s="88">
        <f t="shared" si="18"/>
        <v>0</v>
      </c>
    </row>
    <row r="121" spans="1:62" x14ac:dyDescent="0.3">
      <c r="A121" s="7"/>
      <c r="B121" s="85">
        <v>20</v>
      </c>
      <c r="C121" s="85"/>
      <c r="D121" s="85"/>
      <c r="E121" s="85" t="s">
        <v>259</v>
      </c>
      <c r="F121" s="86">
        <f>F122+F132+F142+F152+F164+F172+F183</f>
        <v>0</v>
      </c>
      <c r="G121" s="86">
        <f t="shared" ref="G121:BF121" si="26">G122+G132+G142+G152+G164+G172+G183</f>
        <v>0</v>
      </c>
      <c r="H121" s="86">
        <f t="shared" si="26"/>
        <v>0</v>
      </c>
      <c r="I121" s="86">
        <f t="shared" si="26"/>
        <v>0</v>
      </c>
      <c r="J121" s="86">
        <f t="shared" si="26"/>
        <v>0</v>
      </c>
      <c r="K121" s="86">
        <f t="shared" si="26"/>
        <v>0</v>
      </c>
      <c r="L121" s="86">
        <f t="shared" si="26"/>
        <v>0</v>
      </c>
      <c r="M121" s="86">
        <f t="shared" si="26"/>
        <v>0</v>
      </c>
      <c r="N121" s="86">
        <f t="shared" si="26"/>
        <v>0</v>
      </c>
      <c r="O121" s="86">
        <f t="shared" si="26"/>
        <v>0</v>
      </c>
      <c r="P121" s="86">
        <f t="shared" si="26"/>
        <v>0</v>
      </c>
      <c r="Q121" s="86">
        <f t="shared" si="26"/>
        <v>0</v>
      </c>
      <c r="R121" s="86">
        <f t="shared" si="26"/>
        <v>0</v>
      </c>
      <c r="S121" s="86">
        <f t="shared" si="26"/>
        <v>0</v>
      </c>
      <c r="T121" s="86">
        <f t="shared" si="26"/>
        <v>0</v>
      </c>
      <c r="U121" s="86">
        <f t="shared" si="26"/>
        <v>0</v>
      </c>
      <c r="V121" s="86">
        <f t="shared" si="26"/>
        <v>0</v>
      </c>
      <c r="W121" s="86">
        <f t="shared" si="26"/>
        <v>0</v>
      </c>
      <c r="X121" s="86">
        <f t="shared" si="26"/>
        <v>0</v>
      </c>
      <c r="Y121" s="86">
        <f t="shared" si="26"/>
        <v>0</v>
      </c>
      <c r="Z121" s="86">
        <f t="shared" si="26"/>
        <v>0</v>
      </c>
      <c r="AA121" s="86">
        <f t="shared" si="26"/>
        <v>0</v>
      </c>
      <c r="AB121" s="86">
        <f t="shared" si="26"/>
        <v>0</v>
      </c>
      <c r="AC121" s="86">
        <f t="shared" si="26"/>
        <v>0</v>
      </c>
      <c r="AD121" s="86">
        <f t="shared" si="26"/>
        <v>0</v>
      </c>
      <c r="AE121" s="86">
        <f t="shared" si="26"/>
        <v>0</v>
      </c>
      <c r="AF121" s="86">
        <f t="shared" si="26"/>
        <v>0</v>
      </c>
      <c r="AG121" s="86">
        <f t="shared" si="26"/>
        <v>0</v>
      </c>
      <c r="AH121" s="86">
        <f t="shared" si="26"/>
        <v>0</v>
      </c>
      <c r="AI121" s="86">
        <f t="shared" si="26"/>
        <v>0</v>
      </c>
      <c r="AJ121" s="86">
        <f t="shared" si="26"/>
        <v>0</v>
      </c>
      <c r="AK121" s="86">
        <f t="shared" si="26"/>
        <v>0</v>
      </c>
      <c r="AL121" s="86">
        <f t="shared" si="26"/>
        <v>0</v>
      </c>
      <c r="AM121" s="86">
        <f t="shared" si="26"/>
        <v>0</v>
      </c>
      <c r="AN121" s="86">
        <f t="shared" si="26"/>
        <v>0</v>
      </c>
      <c r="AO121" s="86">
        <f t="shared" si="26"/>
        <v>0</v>
      </c>
      <c r="AP121" s="86">
        <f t="shared" si="26"/>
        <v>0</v>
      </c>
      <c r="AQ121" s="86">
        <f t="shared" si="26"/>
        <v>0</v>
      </c>
      <c r="AR121" s="86">
        <f t="shared" si="26"/>
        <v>0</v>
      </c>
      <c r="AS121" s="86">
        <f t="shared" si="26"/>
        <v>0</v>
      </c>
      <c r="AT121" s="86">
        <f t="shared" si="26"/>
        <v>0</v>
      </c>
      <c r="AU121" s="86">
        <f t="shared" si="26"/>
        <v>0</v>
      </c>
      <c r="AV121" s="86">
        <f t="shared" si="26"/>
        <v>0</v>
      </c>
      <c r="AW121" s="86">
        <f t="shared" si="26"/>
        <v>0</v>
      </c>
      <c r="AX121" s="86">
        <f t="shared" si="26"/>
        <v>0</v>
      </c>
      <c r="AY121" s="86">
        <f t="shared" si="26"/>
        <v>0</v>
      </c>
      <c r="AZ121" s="86">
        <f t="shared" si="26"/>
        <v>0</v>
      </c>
      <c r="BA121" s="86">
        <f t="shared" si="26"/>
        <v>0</v>
      </c>
      <c r="BB121" s="86">
        <f t="shared" si="26"/>
        <v>0</v>
      </c>
      <c r="BC121" s="86">
        <f t="shared" si="26"/>
        <v>0</v>
      </c>
      <c r="BD121" s="86">
        <f t="shared" si="26"/>
        <v>0</v>
      </c>
      <c r="BE121" s="86">
        <f t="shared" si="26"/>
        <v>0</v>
      </c>
      <c r="BF121" s="86">
        <f t="shared" si="26"/>
        <v>0</v>
      </c>
      <c r="BG121" s="86">
        <f t="shared" si="19"/>
        <v>0</v>
      </c>
      <c r="BH121" s="86">
        <f t="shared" si="16"/>
        <v>0</v>
      </c>
      <c r="BI121" s="86">
        <f t="shared" si="17"/>
        <v>0</v>
      </c>
      <c r="BJ121" s="86">
        <f t="shared" si="18"/>
        <v>0</v>
      </c>
    </row>
    <row r="122" spans="1:62" x14ac:dyDescent="0.3">
      <c r="C122" s="83">
        <v>200</v>
      </c>
      <c r="D122" s="83"/>
      <c r="E122" s="83" t="s">
        <v>260</v>
      </c>
      <c r="F122" s="84">
        <f>F123+F124+F125+F126+F127+F128+F129+F130</f>
        <v>0</v>
      </c>
      <c r="G122" s="84">
        <f t="shared" ref="G122:BF122" si="27">G123+G124+G125+G126+G127+G128+G129+G130</f>
        <v>0</v>
      </c>
      <c r="H122" s="84">
        <f t="shared" si="27"/>
        <v>0</v>
      </c>
      <c r="I122" s="84">
        <f t="shared" si="27"/>
        <v>0</v>
      </c>
      <c r="J122" s="84">
        <f t="shared" si="27"/>
        <v>0</v>
      </c>
      <c r="K122" s="84">
        <f t="shared" si="27"/>
        <v>0</v>
      </c>
      <c r="L122" s="84">
        <f t="shared" si="27"/>
        <v>0</v>
      </c>
      <c r="M122" s="84">
        <f t="shared" si="27"/>
        <v>0</v>
      </c>
      <c r="N122" s="84">
        <f t="shared" si="27"/>
        <v>0</v>
      </c>
      <c r="O122" s="84">
        <f t="shared" si="27"/>
        <v>0</v>
      </c>
      <c r="P122" s="84">
        <f t="shared" si="27"/>
        <v>0</v>
      </c>
      <c r="Q122" s="84">
        <f t="shared" si="27"/>
        <v>0</v>
      </c>
      <c r="R122" s="84">
        <f t="shared" si="27"/>
        <v>0</v>
      </c>
      <c r="S122" s="84">
        <f t="shared" si="27"/>
        <v>0</v>
      </c>
      <c r="T122" s="84">
        <f t="shared" si="27"/>
        <v>0</v>
      </c>
      <c r="U122" s="84">
        <f t="shared" si="27"/>
        <v>0</v>
      </c>
      <c r="V122" s="84">
        <f t="shared" si="27"/>
        <v>0</v>
      </c>
      <c r="W122" s="84">
        <f t="shared" si="27"/>
        <v>0</v>
      </c>
      <c r="X122" s="84">
        <f t="shared" si="27"/>
        <v>0</v>
      </c>
      <c r="Y122" s="84">
        <f t="shared" si="27"/>
        <v>0</v>
      </c>
      <c r="Z122" s="84">
        <f t="shared" si="27"/>
        <v>0</v>
      </c>
      <c r="AA122" s="84">
        <f t="shared" si="27"/>
        <v>0</v>
      </c>
      <c r="AB122" s="84">
        <f t="shared" si="27"/>
        <v>0</v>
      </c>
      <c r="AC122" s="84">
        <f t="shared" si="27"/>
        <v>0</v>
      </c>
      <c r="AD122" s="84">
        <f t="shared" si="27"/>
        <v>0</v>
      </c>
      <c r="AE122" s="84">
        <f t="shared" si="27"/>
        <v>0</v>
      </c>
      <c r="AF122" s="84">
        <f t="shared" si="27"/>
        <v>0</v>
      </c>
      <c r="AG122" s="84">
        <f t="shared" si="27"/>
        <v>0</v>
      </c>
      <c r="AH122" s="84">
        <f t="shared" si="27"/>
        <v>0</v>
      </c>
      <c r="AI122" s="84">
        <f t="shared" si="27"/>
        <v>0</v>
      </c>
      <c r="AJ122" s="84">
        <f t="shared" si="27"/>
        <v>0</v>
      </c>
      <c r="AK122" s="84">
        <f t="shared" si="27"/>
        <v>0</v>
      </c>
      <c r="AL122" s="84">
        <f t="shared" si="27"/>
        <v>0</v>
      </c>
      <c r="AM122" s="84">
        <f t="shared" si="27"/>
        <v>0</v>
      </c>
      <c r="AN122" s="84">
        <f t="shared" si="27"/>
        <v>0</v>
      </c>
      <c r="AO122" s="84">
        <f t="shared" si="27"/>
        <v>0</v>
      </c>
      <c r="AP122" s="84">
        <f t="shared" si="27"/>
        <v>0</v>
      </c>
      <c r="AQ122" s="84">
        <f t="shared" si="27"/>
        <v>0</v>
      </c>
      <c r="AR122" s="84">
        <f t="shared" si="27"/>
        <v>0</v>
      </c>
      <c r="AS122" s="84">
        <f t="shared" si="27"/>
        <v>0</v>
      </c>
      <c r="AT122" s="84">
        <f t="shared" si="27"/>
        <v>0</v>
      </c>
      <c r="AU122" s="84">
        <f t="shared" si="27"/>
        <v>0</v>
      </c>
      <c r="AV122" s="84">
        <f t="shared" si="27"/>
        <v>0</v>
      </c>
      <c r="AW122" s="84">
        <f t="shared" si="27"/>
        <v>0</v>
      </c>
      <c r="AX122" s="84">
        <f t="shared" si="27"/>
        <v>0</v>
      </c>
      <c r="AY122" s="84">
        <f t="shared" si="27"/>
        <v>0</v>
      </c>
      <c r="AZ122" s="84">
        <f t="shared" si="27"/>
        <v>0</v>
      </c>
      <c r="BA122" s="84">
        <f t="shared" si="27"/>
        <v>0</v>
      </c>
      <c r="BB122" s="84">
        <f t="shared" si="27"/>
        <v>0</v>
      </c>
      <c r="BC122" s="84">
        <f t="shared" si="27"/>
        <v>0</v>
      </c>
      <c r="BD122" s="84">
        <f t="shared" si="27"/>
        <v>0</v>
      </c>
      <c r="BE122" s="84">
        <f t="shared" si="27"/>
        <v>0</v>
      </c>
      <c r="BF122" s="84">
        <f t="shared" si="27"/>
        <v>0</v>
      </c>
      <c r="BG122" s="84">
        <f t="shared" si="19"/>
        <v>0</v>
      </c>
      <c r="BH122" s="84">
        <f t="shared" si="16"/>
        <v>0</v>
      </c>
      <c r="BI122" s="84">
        <f t="shared" si="17"/>
        <v>0</v>
      </c>
      <c r="BJ122" s="84">
        <f t="shared" si="18"/>
        <v>0</v>
      </c>
    </row>
    <row r="123" spans="1:62" x14ac:dyDescent="0.3">
      <c r="D123">
        <v>2000</v>
      </c>
      <c r="E123" t="s">
        <v>407</v>
      </c>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80">
        <f t="shared" si="19"/>
        <v>0</v>
      </c>
      <c r="BH123" s="80">
        <f t="shared" si="16"/>
        <v>0</v>
      </c>
      <c r="BI123" s="80">
        <f t="shared" si="17"/>
        <v>0</v>
      </c>
      <c r="BJ123" s="80">
        <f t="shared" si="18"/>
        <v>0</v>
      </c>
    </row>
    <row r="124" spans="1:62" x14ac:dyDescent="0.3">
      <c r="D124">
        <v>2001</v>
      </c>
      <c r="E124" t="s">
        <v>408</v>
      </c>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80">
        <f t="shared" si="19"/>
        <v>0</v>
      </c>
      <c r="BH124" s="80">
        <f t="shared" si="16"/>
        <v>0</v>
      </c>
      <c r="BI124" s="80">
        <f t="shared" si="17"/>
        <v>0</v>
      </c>
      <c r="BJ124" s="80">
        <f t="shared" si="18"/>
        <v>0</v>
      </c>
    </row>
    <row r="125" spans="1:62" x14ac:dyDescent="0.3">
      <c r="D125">
        <v>2002</v>
      </c>
      <c r="E125" t="s">
        <v>409</v>
      </c>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80">
        <f t="shared" si="19"/>
        <v>0</v>
      </c>
      <c r="BH125" s="80">
        <f t="shared" si="16"/>
        <v>0</v>
      </c>
      <c r="BI125" s="80">
        <f t="shared" si="17"/>
        <v>0</v>
      </c>
      <c r="BJ125" s="80">
        <f t="shared" si="18"/>
        <v>0</v>
      </c>
    </row>
    <row r="126" spans="1:62" x14ac:dyDescent="0.3">
      <c r="D126">
        <v>2003</v>
      </c>
      <c r="E126" t="s">
        <v>410</v>
      </c>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80">
        <f t="shared" si="19"/>
        <v>0</v>
      </c>
      <c r="BH126" s="80">
        <f t="shared" si="16"/>
        <v>0</v>
      </c>
      <c r="BI126" s="80">
        <f t="shared" si="17"/>
        <v>0</v>
      </c>
      <c r="BJ126" s="80">
        <f t="shared" si="18"/>
        <v>0</v>
      </c>
    </row>
    <row r="127" spans="1:62" x14ac:dyDescent="0.3">
      <c r="D127">
        <v>2004</v>
      </c>
      <c r="E127" t="s">
        <v>411</v>
      </c>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80">
        <f t="shared" si="19"/>
        <v>0</v>
      </c>
      <c r="BH127" s="80">
        <f t="shared" si="16"/>
        <v>0</v>
      </c>
      <c r="BI127" s="80">
        <f t="shared" si="17"/>
        <v>0</v>
      </c>
      <c r="BJ127" s="80">
        <f t="shared" si="18"/>
        <v>0</v>
      </c>
    </row>
    <row r="128" spans="1:62" x14ac:dyDescent="0.3">
      <c r="D128">
        <v>2005</v>
      </c>
      <c r="E128" t="s">
        <v>332</v>
      </c>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80">
        <f t="shared" si="19"/>
        <v>0</v>
      </c>
      <c r="BH128" s="80">
        <f t="shared" si="16"/>
        <v>0</v>
      </c>
      <c r="BI128" s="80">
        <f t="shared" si="17"/>
        <v>0</v>
      </c>
      <c r="BJ128" s="80">
        <f t="shared" si="18"/>
        <v>0</v>
      </c>
    </row>
    <row r="129" spans="3:62" x14ac:dyDescent="0.3">
      <c r="D129">
        <v>2006</v>
      </c>
      <c r="E129" t="s">
        <v>456</v>
      </c>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80">
        <f t="shared" si="19"/>
        <v>0</v>
      </c>
      <c r="BH129" s="80">
        <f t="shared" si="16"/>
        <v>0</v>
      </c>
      <c r="BI129" s="80">
        <f t="shared" si="17"/>
        <v>0</v>
      </c>
      <c r="BJ129" s="80">
        <f t="shared" si="18"/>
        <v>0</v>
      </c>
    </row>
    <row r="130" spans="3:62" x14ac:dyDescent="0.3">
      <c r="D130">
        <v>2009</v>
      </c>
      <c r="E130" t="s">
        <v>413</v>
      </c>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80">
        <f t="shared" si="19"/>
        <v>0</v>
      </c>
      <c r="BH130" s="80">
        <f t="shared" si="16"/>
        <v>0</v>
      </c>
      <c r="BI130" s="80">
        <f t="shared" si="17"/>
        <v>0</v>
      </c>
      <c r="BJ130" s="80">
        <f t="shared" si="18"/>
        <v>0</v>
      </c>
    </row>
    <row r="131" spans="3:62" x14ac:dyDescent="0.3">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3">
      <c r="C132" s="83">
        <v>201</v>
      </c>
      <c r="D132" s="83"/>
      <c r="E132" s="83" t="s">
        <v>261</v>
      </c>
      <c r="F132" s="84">
        <f>F133+F134+F135+F136+F137+F138+F139+F140</f>
        <v>0</v>
      </c>
      <c r="G132" s="84">
        <f t="shared" ref="G132:BF132" si="28">G133+G134+G135+G136+G137+G138+G139+G140</f>
        <v>0</v>
      </c>
      <c r="H132" s="84">
        <f t="shared" si="28"/>
        <v>0</v>
      </c>
      <c r="I132" s="84">
        <f t="shared" si="28"/>
        <v>0</v>
      </c>
      <c r="J132" s="84">
        <f t="shared" si="28"/>
        <v>0</v>
      </c>
      <c r="K132" s="84">
        <f t="shared" si="28"/>
        <v>0</v>
      </c>
      <c r="L132" s="84">
        <f t="shared" si="28"/>
        <v>0</v>
      </c>
      <c r="M132" s="84">
        <f t="shared" si="28"/>
        <v>0</v>
      </c>
      <c r="N132" s="84">
        <f t="shared" si="28"/>
        <v>0</v>
      </c>
      <c r="O132" s="84">
        <f t="shared" si="28"/>
        <v>0</v>
      </c>
      <c r="P132" s="84">
        <f t="shared" si="28"/>
        <v>0</v>
      </c>
      <c r="Q132" s="84">
        <f t="shared" si="28"/>
        <v>0</v>
      </c>
      <c r="R132" s="84">
        <f t="shared" si="28"/>
        <v>0</v>
      </c>
      <c r="S132" s="84">
        <f t="shared" si="28"/>
        <v>0</v>
      </c>
      <c r="T132" s="84">
        <f t="shared" si="28"/>
        <v>0</v>
      </c>
      <c r="U132" s="84">
        <f t="shared" si="28"/>
        <v>0</v>
      </c>
      <c r="V132" s="84">
        <f t="shared" si="28"/>
        <v>0</v>
      </c>
      <c r="W132" s="84">
        <f t="shared" si="28"/>
        <v>0</v>
      </c>
      <c r="X132" s="84">
        <f t="shared" si="28"/>
        <v>0</v>
      </c>
      <c r="Y132" s="84">
        <f t="shared" si="28"/>
        <v>0</v>
      </c>
      <c r="Z132" s="84">
        <f t="shared" si="28"/>
        <v>0</v>
      </c>
      <c r="AA132" s="84">
        <f t="shared" si="28"/>
        <v>0</v>
      </c>
      <c r="AB132" s="84">
        <f t="shared" si="28"/>
        <v>0</v>
      </c>
      <c r="AC132" s="84">
        <f t="shared" si="28"/>
        <v>0</v>
      </c>
      <c r="AD132" s="84">
        <f t="shared" si="28"/>
        <v>0</v>
      </c>
      <c r="AE132" s="84">
        <f t="shared" si="28"/>
        <v>0</v>
      </c>
      <c r="AF132" s="84">
        <f t="shared" si="28"/>
        <v>0</v>
      </c>
      <c r="AG132" s="84">
        <f t="shared" si="28"/>
        <v>0</v>
      </c>
      <c r="AH132" s="84">
        <f t="shared" si="28"/>
        <v>0</v>
      </c>
      <c r="AI132" s="84">
        <f t="shared" si="28"/>
        <v>0</v>
      </c>
      <c r="AJ132" s="84">
        <f t="shared" si="28"/>
        <v>0</v>
      </c>
      <c r="AK132" s="84">
        <f t="shared" si="28"/>
        <v>0</v>
      </c>
      <c r="AL132" s="84">
        <f t="shared" si="28"/>
        <v>0</v>
      </c>
      <c r="AM132" s="84">
        <f t="shared" si="28"/>
        <v>0</v>
      </c>
      <c r="AN132" s="84">
        <f t="shared" si="28"/>
        <v>0</v>
      </c>
      <c r="AO132" s="84">
        <f t="shared" si="28"/>
        <v>0</v>
      </c>
      <c r="AP132" s="84">
        <f t="shared" si="28"/>
        <v>0</v>
      </c>
      <c r="AQ132" s="84">
        <f t="shared" si="28"/>
        <v>0</v>
      </c>
      <c r="AR132" s="84">
        <f t="shared" si="28"/>
        <v>0</v>
      </c>
      <c r="AS132" s="84">
        <f t="shared" si="28"/>
        <v>0</v>
      </c>
      <c r="AT132" s="84">
        <f t="shared" si="28"/>
        <v>0</v>
      </c>
      <c r="AU132" s="84">
        <f t="shared" si="28"/>
        <v>0</v>
      </c>
      <c r="AV132" s="84">
        <f t="shared" si="28"/>
        <v>0</v>
      </c>
      <c r="AW132" s="84">
        <f t="shared" si="28"/>
        <v>0</v>
      </c>
      <c r="AX132" s="84">
        <f t="shared" si="28"/>
        <v>0</v>
      </c>
      <c r="AY132" s="84">
        <f t="shared" si="28"/>
        <v>0</v>
      </c>
      <c r="AZ132" s="84">
        <f t="shared" si="28"/>
        <v>0</v>
      </c>
      <c r="BA132" s="84">
        <f t="shared" si="28"/>
        <v>0</v>
      </c>
      <c r="BB132" s="84">
        <f t="shared" si="28"/>
        <v>0</v>
      </c>
      <c r="BC132" s="84">
        <f t="shared" si="28"/>
        <v>0</v>
      </c>
      <c r="BD132" s="84">
        <f t="shared" si="28"/>
        <v>0</v>
      </c>
      <c r="BE132" s="84">
        <f t="shared" si="28"/>
        <v>0</v>
      </c>
      <c r="BF132" s="84">
        <f t="shared" si="28"/>
        <v>0</v>
      </c>
      <c r="BG132" s="84">
        <f t="shared" si="19"/>
        <v>0</v>
      </c>
      <c r="BH132" s="84">
        <f t="shared" si="16"/>
        <v>0</v>
      </c>
      <c r="BI132" s="84">
        <f t="shared" si="17"/>
        <v>0</v>
      </c>
      <c r="BJ132" s="84">
        <f t="shared" si="18"/>
        <v>0</v>
      </c>
    </row>
    <row r="133" spans="3:62" x14ac:dyDescent="0.3">
      <c r="D133">
        <v>2010</v>
      </c>
      <c r="E133" t="s">
        <v>414</v>
      </c>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80">
        <f t="shared" si="19"/>
        <v>0</v>
      </c>
      <c r="BH133" s="80">
        <f t="shared" si="16"/>
        <v>0</v>
      </c>
      <c r="BI133" s="80">
        <f t="shared" si="17"/>
        <v>0</v>
      </c>
      <c r="BJ133" s="80">
        <f t="shared" si="18"/>
        <v>0</v>
      </c>
    </row>
    <row r="134" spans="3:62" x14ac:dyDescent="0.3">
      <c r="D134">
        <v>2011</v>
      </c>
      <c r="E134" t="s">
        <v>415</v>
      </c>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80">
        <f t="shared" si="19"/>
        <v>0</v>
      </c>
      <c r="BH134" s="80">
        <f t="shared" si="16"/>
        <v>0</v>
      </c>
      <c r="BI134" s="80">
        <f t="shared" si="17"/>
        <v>0</v>
      </c>
      <c r="BJ134" s="80">
        <f t="shared" si="18"/>
        <v>0</v>
      </c>
    </row>
    <row r="135" spans="3:62" x14ac:dyDescent="0.3">
      <c r="D135">
        <v>2012</v>
      </c>
      <c r="E135" t="s">
        <v>416</v>
      </c>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80">
        <f t="shared" si="19"/>
        <v>0</v>
      </c>
      <c r="BH135" s="80">
        <f t="shared" ref="BH135:BH198" si="29">SUM(F135:X135)</f>
        <v>0</v>
      </c>
      <c r="BI135" s="80">
        <f t="shared" ref="BI135:BI198" si="30">SUM(Y135:AK135)</f>
        <v>0</v>
      </c>
      <c r="BJ135" s="80">
        <f t="shared" ref="BJ135:BJ198" si="31">SUM(AL135:BF135)</f>
        <v>0</v>
      </c>
    </row>
    <row r="136" spans="3:62" x14ac:dyDescent="0.3">
      <c r="D136">
        <v>2013</v>
      </c>
      <c r="E136" t="s">
        <v>417</v>
      </c>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80">
        <f t="shared" ref="BG136:BG198" si="32">SUM(F136:BF136)</f>
        <v>0</v>
      </c>
      <c r="BH136" s="80">
        <f t="shared" si="29"/>
        <v>0</v>
      </c>
      <c r="BI136" s="80">
        <f t="shared" si="30"/>
        <v>0</v>
      </c>
      <c r="BJ136" s="80">
        <f t="shared" si="31"/>
        <v>0</v>
      </c>
    </row>
    <row r="137" spans="3:62" x14ac:dyDescent="0.3">
      <c r="D137">
        <v>2014</v>
      </c>
      <c r="E137" t="s">
        <v>419</v>
      </c>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80">
        <f t="shared" si="32"/>
        <v>0</v>
      </c>
      <c r="BH137" s="80">
        <f t="shared" si="29"/>
        <v>0</v>
      </c>
      <c r="BI137" s="80">
        <f t="shared" si="30"/>
        <v>0</v>
      </c>
      <c r="BJ137" s="80">
        <f t="shared" si="31"/>
        <v>0</v>
      </c>
    </row>
    <row r="138" spans="3:62" x14ac:dyDescent="0.3">
      <c r="D138">
        <v>2015</v>
      </c>
      <c r="E138" t="s">
        <v>418</v>
      </c>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80">
        <f t="shared" si="32"/>
        <v>0</v>
      </c>
      <c r="BH138" s="80">
        <f t="shared" si="29"/>
        <v>0</v>
      </c>
      <c r="BI138" s="80">
        <f t="shared" si="30"/>
        <v>0</v>
      </c>
      <c r="BJ138" s="80">
        <f t="shared" si="31"/>
        <v>0</v>
      </c>
    </row>
    <row r="139" spans="3:62" x14ac:dyDescent="0.3">
      <c r="D139">
        <v>2016</v>
      </c>
      <c r="E139" t="s">
        <v>276</v>
      </c>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80">
        <f t="shared" si="32"/>
        <v>0</v>
      </c>
      <c r="BH139" s="80">
        <f t="shared" si="29"/>
        <v>0</v>
      </c>
      <c r="BI139" s="80">
        <f t="shared" si="30"/>
        <v>0</v>
      </c>
      <c r="BJ139" s="80">
        <f t="shared" si="31"/>
        <v>0</v>
      </c>
    </row>
    <row r="140" spans="3:62" x14ac:dyDescent="0.3">
      <c r="D140">
        <v>2019</v>
      </c>
      <c r="E140" t="s">
        <v>420</v>
      </c>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80">
        <f t="shared" si="32"/>
        <v>0</v>
      </c>
      <c r="BH140" s="80">
        <f t="shared" si="29"/>
        <v>0</v>
      </c>
      <c r="BI140" s="80">
        <f t="shared" si="30"/>
        <v>0</v>
      </c>
      <c r="BJ140" s="80">
        <f t="shared" si="31"/>
        <v>0</v>
      </c>
    </row>
    <row r="141" spans="3:62" x14ac:dyDescent="0.3">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3">
      <c r="C142" s="83">
        <v>204</v>
      </c>
      <c r="D142" s="83"/>
      <c r="E142" s="83" t="s">
        <v>262</v>
      </c>
      <c r="F142" s="84">
        <f>F143+F144+F145+F146+F147+F148+F149+F150</f>
        <v>0</v>
      </c>
      <c r="G142" s="84">
        <f t="shared" ref="G142:BF142" si="33">G143+G144+G145+G146+G147+G148+G149+G150</f>
        <v>0</v>
      </c>
      <c r="H142" s="84">
        <f t="shared" si="33"/>
        <v>0</v>
      </c>
      <c r="I142" s="84">
        <f t="shared" si="33"/>
        <v>0</v>
      </c>
      <c r="J142" s="84">
        <f t="shared" si="33"/>
        <v>0</v>
      </c>
      <c r="K142" s="84">
        <f t="shared" si="33"/>
        <v>0</v>
      </c>
      <c r="L142" s="84">
        <f t="shared" si="33"/>
        <v>0</v>
      </c>
      <c r="M142" s="84">
        <f t="shared" si="33"/>
        <v>0</v>
      </c>
      <c r="N142" s="84">
        <f t="shared" si="33"/>
        <v>0</v>
      </c>
      <c r="O142" s="84">
        <f t="shared" si="33"/>
        <v>0</v>
      </c>
      <c r="P142" s="84">
        <f t="shared" si="33"/>
        <v>0</v>
      </c>
      <c r="Q142" s="84">
        <f t="shared" si="33"/>
        <v>0</v>
      </c>
      <c r="R142" s="84">
        <f t="shared" si="33"/>
        <v>0</v>
      </c>
      <c r="S142" s="84">
        <f t="shared" si="33"/>
        <v>0</v>
      </c>
      <c r="T142" s="84">
        <f t="shared" si="33"/>
        <v>0</v>
      </c>
      <c r="U142" s="84">
        <f t="shared" si="33"/>
        <v>0</v>
      </c>
      <c r="V142" s="84">
        <f t="shared" si="33"/>
        <v>0</v>
      </c>
      <c r="W142" s="84">
        <f t="shared" si="33"/>
        <v>0</v>
      </c>
      <c r="X142" s="84">
        <f t="shared" si="33"/>
        <v>0</v>
      </c>
      <c r="Y142" s="84">
        <f t="shared" si="33"/>
        <v>0</v>
      </c>
      <c r="Z142" s="84">
        <f t="shared" si="33"/>
        <v>0</v>
      </c>
      <c r="AA142" s="84">
        <f t="shared" si="33"/>
        <v>0</v>
      </c>
      <c r="AB142" s="84">
        <f t="shared" si="33"/>
        <v>0</v>
      </c>
      <c r="AC142" s="84">
        <f t="shared" si="33"/>
        <v>0</v>
      </c>
      <c r="AD142" s="84">
        <f t="shared" si="33"/>
        <v>0</v>
      </c>
      <c r="AE142" s="84">
        <f t="shared" si="33"/>
        <v>0</v>
      </c>
      <c r="AF142" s="84">
        <f t="shared" si="33"/>
        <v>0</v>
      </c>
      <c r="AG142" s="84">
        <f t="shared" si="33"/>
        <v>0</v>
      </c>
      <c r="AH142" s="84">
        <f t="shared" si="33"/>
        <v>0</v>
      </c>
      <c r="AI142" s="84">
        <f t="shared" si="33"/>
        <v>0</v>
      </c>
      <c r="AJ142" s="84">
        <f t="shared" si="33"/>
        <v>0</v>
      </c>
      <c r="AK142" s="84">
        <f t="shared" si="33"/>
        <v>0</v>
      </c>
      <c r="AL142" s="84">
        <f t="shared" si="33"/>
        <v>0</v>
      </c>
      <c r="AM142" s="84">
        <f t="shared" si="33"/>
        <v>0</v>
      </c>
      <c r="AN142" s="84">
        <f t="shared" si="33"/>
        <v>0</v>
      </c>
      <c r="AO142" s="84">
        <f t="shared" si="33"/>
        <v>0</v>
      </c>
      <c r="AP142" s="84">
        <f t="shared" si="33"/>
        <v>0</v>
      </c>
      <c r="AQ142" s="84">
        <f t="shared" si="33"/>
        <v>0</v>
      </c>
      <c r="AR142" s="84">
        <f t="shared" si="33"/>
        <v>0</v>
      </c>
      <c r="AS142" s="84">
        <f t="shared" si="33"/>
        <v>0</v>
      </c>
      <c r="AT142" s="84">
        <f t="shared" si="33"/>
        <v>0</v>
      </c>
      <c r="AU142" s="84">
        <f t="shared" si="33"/>
        <v>0</v>
      </c>
      <c r="AV142" s="84">
        <f t="shared" si="33"/>
        <v>0</v>
      </c>
      <c r="AW142" s="84">
        <f t="shared" si="33"/>
        <v>0</v>
      </c>
      <c r="AX142" s="84">
        <f t="shared" si="33"/>
        <v>0</v>
      </c>
      <c r="AY142" s="84">
        <f t="shared" si="33"/>
        <v>0</v>
      </c>
      <c r="AZ142" s="84">
        <f t="shared" si="33"/>
        <v>0</v>
      </c>
      <c r="BA142" s="84">
        <f t="shared" si="33"/>
        <v>0</v>
      </c>
      <c r="BB142" s="84">
        <f t="shared" si="33"/>
        <v>0</v>
      </c>
      <c r="BC142" s="84">
        <f t="shared" si="33"/>
        <v>0</v>
      </c>
      <c r="BD142" s="84">
        <f t="shared" si="33"/>
        <v>0</v>
      </c>
      <c r="BE142" s="84">
        <f t="shared" si="33"/>
        <v>0</v>
      </c>
      <c r="BF142" s="84">
        <f t="shared" si="33"/>
        <v>0</v>
      </c>
      <c r="BG142" s="84">
        <f t="shared" si="32"/>
        <v>0</v>
      </c>
      <c r="BH142" s="84">
        <f t="shared" si="29"/>
        <v>0</v>
      </c>
      <c r="BI142" s="84">
        <f t="shared" si="30"/>
        <v>0</v>
      </c>
      <c r="BJ142" s="84">
        <f t="shared" si="31"/>
        <v>0</v>
      </c>
    </row>
    <row r="143" spans="3:62" x14ac:dyDescent="0.3">
      <c r="D143">
        <v>2040</v>
      </c>
      <c r="E143" t="s">
        <v>61</v>
      </c>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80">
        <f t="shared" si="32"/>
        <v>0</v>
      </c>
      <c r="BH143" s="80">
        <f t="shared" si="29"/>
        <v>0</v>
      </c>
      <c r="BI143" s="80">
        <f t="shared" si="30"/>
        <v>0</v>
      </c>
      <c r="BJ143" s="80">
        <f t="shared" si="31"/>
        <v>0</v>
      </c>
    </row>
    <row r="144" spans="3:62" x14ac:dyDescent="0.3">
      <c r="D144">
        <v>2041</v>
      </c>
      <c r="E144" t="s">
        <v>284</v>
      </c>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80">
        <f t="shared" si="32"/>
        <v>0</v>
      </c>
      <c r="BH144" s="80">
        <f t="shared" si="29"/>
        <v>0</v>
      </c>
      <c r="BI144" s="80">
        <f t="shared" si="30"/>
        <v>0</v>
      </c>
      <c r="BJ144" s="80">
        <f t="shared" si="31"/>
        <v>0</v>
      </c>
    </row>
    <row r="145" spans="3:62" x14ac:dyDescent="0.3">
      <c r="D145">
        <v>2042</v>
      </c>
      <c r="E145" t="s">
        <v>340</v>
      </c>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80">
        <f t="shared" si="32"/>
        <v>0</v>
      </c>
      <c r="BH145" s="80">
        <f t="shared" si="29"/>
        <v>0</v>
      </c>
      <c r="BI145" s="80">
        <f t="shared" si="30"/>
        <v>0</v>
      </c>
      <c r="BJ145" s="80">
        <f t="shared" si="31"/>
        <v>0</v>
      </c>
    </row>
    <row r="146" spans="3:62" x14ac:dyDescent="0.3">
      <c r="D146">
        <v>2043</v>
      </c>
      <c r="E146" t="s">
        <v>341</v>
      </c>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80">
        <f t="shared" si="32"/>
        <v>0</v>
      </c>
      <c r="BH146" s="80">
        <f t="shared" si="29"/>
        <v>0</v>
      </c>
      <c r="BI146" s="80">
        <f t="shared" si="30"/>
        <v>0</v>
      </c>
      <c r="BJ146" s="80">
        <f t="shared" si="31"/>
        <v>0</v>
      </c>
    </row>
    <row r="147" spans="3:62" x14ac:dyDescent="0.3">
      <c r="D147">
        <v>2044</v>
      </c>
      <c r="E147" t="s">
        <v>421</v>
      </c>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80">
        <f t="shared" si="32"/>
        <v>0</v>
      </c>
      <c r="BH147" s="80">
        <f t="shared" si="29"/>
        <v>0</v>
      </c>
      <c r="BI147" s="80">
        <f t="shared" si="30"/>
        <v>0</v>
      </c>
      <c r="BJ147" s="80">
        <f t="shared" si="31"/>
        <v>0</v>
      </c>
    </row>
    <row r="148" spans="3:62" x14ac:dyDescent="0.3">
      <c r="D148">
        <v>2045</v>
      </c>
      <c r="E148" t="s">
        <v>343</v>
      </c>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80">
        <f t="shared" si="32"/>
        <v>0</v>
      </c>
      <c r="BH148" s="80">
        <f t="shared" si="29"/>
        <v>0</v>
      </c>
      <c r="BI148" s="80">
        <f t="shared" si="30"/>
        <v>0</v>
      </c>
      <c r="BJ148" s="80">
        <f t="shared" si="31"/>
        <v>0</v>
      </c>
    </row>
    <row r="149" spans="3:62" x14ac:dyDescent="0.3">
      <c r="D149">
        <v>2046</v>
      </c>
      <c r="E149" t="s">
        <v>422</v>
      </c>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80">
        <f t="shared" si="32"/>
        <v>0</v>
      </c>
      <c r="BH149" s="80">
        <f t="shared" si="29"/>
        <v>0</v>
      </c>
      <c r="BI149" s="80">
        <f t="shared" si="30"/>
        <v>0</v>
      </c>
      <c r="BJ149" s="80">
        <f t="shared" si="31"/>
        <v>0</v>
      </c>
    </row>
    <row r="150" spans="3:62" x14ac:dyDescent="0.3">
      <c r="D150">
        <v>2049</v>
      </c>
      <c r="E150" t="s">
        <v>423</v>
      </c>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80">
        <f t="shared" si="32"/>
        <v>0</v>
      </c>
      <c r="BH150" s="80">
        <f t="shared" si="29"/>
        <v>0</v>
      </c>
      <c r="BI150" s="80">
        <f t="shared" si="30"/>
        <v>0</v>
      </c>
      <c r="BJ150" s="80">
        <f t="shared" si="31"/>
        <v>0</v>
      </c>
    </row>
    <row r="151" spans="3:62" x14ac:dyDescent="0.3">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3">
      <c r="C152" s="83">
        <v>205</v>
      </c>
      <c r="D152" s="83"/>
      <c r="E152" s="83" t="s">
        <v>263</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0</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0</v>
      </c>
      <c r="AJ152" s="84">
        <f t="shared" si="34"/>
        <v>0</v>
      </c>
      <c r="AK152" s="84">
        <f t="shared" si="34"/>
        <v>0</v>
      </c>
      <c r="AL152" s="84">
        <f t="shared" si="34"/>
        <v>0</v>
      </c>
      <c r="AM152" s="84">
        <f t="shared" si="34"/>
        <v>0</v>
      </c>
      <c r="AN152" s="84">
        <f t="shared" si="34"/>
        <v>0</v>
      </c>
      <c r="AO152" s="84">
        <f t="shared" si="34"/>
        <v>0</v>
      </c>
      <c r="AP152" s="84">
        <f t="shared" si="34"/>
        <v>0</v>
      </c>
      <c r="AQ152" s="84">
        <f t="shared" si="34"/>
        <v>0</v>
      </c>
      <c r="AR152" s="84">
        <f t="shared" si="34"/>
        <v>0</v>
      </c>
      <c r="AS152" s="84">
        <f t="shared" si="34"/>
        <v>0</v>
      </c>
      <c r="AT152" s="84">
        <f t="shared" si="34"/>
        <v>0</v>
      </c>
      <c r="AU152" s="84">
        <f t="shared" si="34"/>
        <v>0</v>
      </c>
      <c r="AV152" s="84">
        <f t="shared" si="34"/>
        <v>0</v>
      </c>
      <c r="AW152" s="84">
        <f t="shared" si="34"/>
        <v>0</v>
      </c>
      <c r="AX152" s="84">
        <f t="shared" si="34"/>
        <v>0</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0</v>
      </c>
      <c r="BH152" s="84">
        <f t="shared" si="29"/>
        <v>0</v>
      </c>
      <c r="BI152" s="84">
        <f t="shared" si="30"/>
        <v>0</v>
      </c>
      <c r="BJ152" s="84">
        <f t="shared" si="31"/>
        <v>0</v>
      </c>
    </row>
    <row r="153" spans="3:62" x14ac:dyDescent="0.3">
      <c r="D153">
        <v>2050</v>
      </c>
      <c r="E153" t="s">
        <v>424</v>
      </c>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80">
        <f t="shared" si="32"/>
        <v>0</v>
      </c>
      <c r="BH153" s="80">
        <f t="shared" si="29"/>
        <v>0</v>
      </c>
      <c r="BI153" s="80">
        <f t="shared" si="30"/>
        <v>0</v>
      </c>
      <c r="BJ153" s="80">
        <f t="shared" si="31"/>
        <v>0</v>
      </c>
    </row>
    <row r="154" spans="3:62" x14ac:dyDescent="0.3">
      <c r="D154">
        <v>2051</v>
      </c>
      <c r="E154" t="s">
        <v>425</v>
      </c>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80">
        <f t="shared" si="32"/>
        <v>0</v>
      </c>
      <c r="BH154" s="80">
        <f t="shared" si="29"/>
        <v>0</v>
      </c>
      <c r="BI154" s="80">
        <f t="shared" si="30"/>
        <v>0</v>
      </c>
      <c r="BJ154" s="80">
        <f t="shared" si="31"/>
        <v>0</v>
      </c>
    </row>
    <row r="155" spans="3:62" x14ac:dyDescent="0.3">
      <c r="D155">
        <v>2052</v>
      </c>
      <c r="E155" t="s">
        <v>426</v>
      </c>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80">
        <f t="shared" si="32"/>
        <v>0</v>
      </c>
      <c r="BH155" s="80">
        <f t="shared" si="29"/>
        <v>0</v>
      </c>
      <c r="BI155" s="80">
        <f t="shared" si="30"/>
        <v>0</v>
      </c>
      <c r="BJ155" s="80">
        <f t="shared" si="31"/>
        <v>0</v>
      </c>
    </row>
    <row r="156" spans="3:62" x14ac:dyDescent="0.3">
      <c r="D156">
        <v>2053</v>
      </c>
      <c r="E156" t="s">
        <v>430</v>
      </c>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80">
        <f t="shared" si="32"/>
        <v>0</v>
      </c>
      <c r="BH156" s="80">
        <f t="shared" si="29"/>
        <v>0</v>
      </c>
      <c r="BI156" s="80">
        <f t="shared" si="30"/>
        <v>0</v>
      </c>
      <c r="BJ156" s="80">
        <f t="shared" si="31"/>
        <v>0</v>
      </c>
    </row>
    <row r="157" spans="3:62" x14ac:dyDescent="0.3">
      <c r="D157">
        <v>2054</v>
      </c>
      <c r="E157" t="s">
        <v>428</v>
      </c>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80">
        <f t="shared" si="32"/>
        <v>0</v>
      </c>
      <c r="BH157" s="80">
        <f t="shared" si="29"/>
        <v>0</v>
      </c>
      <c r="BI157" s="80">
        <f t="shared" si="30"/>
        <v>0</v>
      </c>
      <c r="BJ157" s="80">
        <f t="shared" si="31"/>
        <v>0</v>
      </c>
    </row>
    <row r="158" spans="3:62" x14ac:dyDescent="0.3">
      <c r="D158">
        <v>2055</v>
      </c>
      <c r="E158" t="s">
        <v>427</v>
      </c>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80">
        <f t="shared" si="32"/>
        <v>0</v>
      </c>
      <c r="BH158" s="80">
        <f t="shared" si="29"/>
        <v>0</v>
      </c>
      <c r="BI158" s="80">
        <f t="shared" si="30"/>
        <v>0</v>
      </c>
      <c r="BJ158" s="80">
        <f t="shared" si="31"/>
        <v>0</v>
      </c>
    </row>
    <row r="159" spans="3:62" x14ac:dyDescent="0.3">
      <c r="D159">
        <v>2056</v>
      </c>
      <c r="E159" t="s">
        <v>429</v>
      </c>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80">
        <f t="shared" si="32"/>
        <v>0</v>
      </c>
      <c r="BH159" s="80">
        <f t="shared" si="29"/>
        <v>0</v>
      </c>
      <c r="BI159" s="80">
        <f t="shared" si="30"/>
        <v>0</v>
      </c>
      <c r="BJ159" s="80">
        <f t="shared" si="31"/>
        <v>0</v>
      </c>
    </row>
    <row r="160" spans="3:62" x14ac:dyDescent="0.3">
      <c r="D160">
        <v>2057</v>
      </c>
      <c r="E160" t="s">
        <v>431</v>
      </c>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80">
        <f t="shared" si="32"/>
        <v>0</v>
      </c>
      <c r="BH160" s="80">
        <f t="shared" si="29"/>
        <v>0</v>
      </c>
      <c r="BI160" s="80">
        <f t="shared" si="30"/>
        <v>0</v>
      </c>
      <c r="BJ160" s="80">
        <f t="shared" si="31"/>
        <v>0</v>
      </c>
    </row>
    <row r="161" spans="3:62" x14ac:dyDescent="0.3">
      <c r="D161">
        <v>2058</v>
      </c>
      <c r="E161" t="s">
        <v>432</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80">
        <f t="shared" si="32"/>
        <v>0</v>
      </c>
      <c r="BH161" s="80">
        <f t="shared" si="29"/>
        <v>0</v>
      </c>
      <c r="BI161" s="80">
        <f t="shared" si="30"/>
        <v>0</v>
      </c>
      <c r="BJ161" s="80">
        <f t="shared" si="31"/>
        <v>0</v>
      </c>
    </row>
    <row r="162" spans="3:62" x14ac:dyDescent="0.3">
      <c r="D162">
        <v>2059</v>
      </c>
      <c r="E162" t="s">
        <v>433</v>
      </c>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80">
        <f t="shared" si="32"/>
        <v>0</v>
      </c>
      <c r="BH162" s="80">
        <f t="shared" si="29"/>
        <v>0</v>
      </c>
      <c r="BI162" s="80">
        <f t="shared" si="30"/>
        <v>0</v>
      </c>
      <c r="BJ162" s="80">
        <f t="shared" si="31"/>
        <v>0</v>
      </c>
    </row>
    <row r="163" spans="3:62" x14ac:dyDescent="0.3">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3">
      <c r="C164" s="83">
        <v>206</v>
      </c>
      <c r="D164" s="83"/>
      <c r="E164" s="83" t="s">
        <v>264</v>
      </c>
      <c r="F164" s="84">
        <f>F165+F166+F167+F168+F169+F170</f>
        <v>0</v>
      </c>
      <c r="G164" s="84">
        <f t="shared" ref="G164:BF164" si="35">G165+G166+G167+G168+G169+G170</f>
        <v>0</v>
      </c>
      <c r="H164" s="84">
        <f t="shared" si="35"/>
        <v>0</v>
      </c>
      <c r="I164" s="84">
        <f t="shared" si="35"/>
        <v>0</v>
      </c>
      <c r="J164" s="84">
        <f t="shared" si="35"/>
        <v>0</v>
      </c>
      <c r="K164" s="84">
        <f t="shared" si="35"/>
        <v>0</v>
      </c>
      <c r="L164" s="84">
        <f t="shared" si="35"/>
        <v>0</v>
      </c>
      <c r="M164" s="84">
        <f t="shared" si="35"/>
        <v>0</v>
      </c>
      <c r="N164" s="84">
        <f t="shared" si="35"/>
        <v>0</v>
      </c>
      <c r="O164" s="84">
        <f t="shared" si="35"/>
        <v>0</v>
      </c>
      <c r="P164" s="84">
        <f t="shared" si="35"/>
        <v>0</v>
      </c>
      <c r="Q164" s="84">
        <f t="shared" si="35"/>
        <v>0</v>
      </c>
      <c r="R164" s="84">
        <f t="shared" si="35"/>
        <v>0</v>
      </c>
      <c r="S164" s="84">
        <f t="shared" si="35"/>
        <v>0</v>
      </c>
      <c r="T164" s="84">
        <f t="shared" si="35"/>
        <v>0</v>
      </c>
      <c r="U164" s="84">
        <f t="shared" si="35"/>
        <v>0</v>
      </c>
      <c r="V164" s="84">
        <f t="shared" si="35"/>
        <v>0</v>
      </c>
      <c r="W164" s="84">
        <f t="shared" si="35"/>
        <v>0</v>
      </c>
      <c r="X164" s="84">
        <f t="shared" si="35"/>
        <v>0</v>
      </c>
      <c r="Y164" s="84">
        <f t="shared" si="35"/>
        <v>0</v>
      </c>
      <c r="Z164" s="84">
        <f t="shared" si="35"/>
        <v>0</v>
      </c>
      <c r="AA164" s="84">
        <f t="shared" si="35"/>
        <v>0</v>
      </c>
      <c r="AB164" s="84">
        <f t="shared" si="35"/>
        <v>0</v>
      </c>
      <c r="AC164" s="84">
        <f t="shared" si="35"/>
        <v>0</v>
      </c>
      <c r="AD164" s="84">
        <f t="shared" si="35"/>
        <v>0</v>
      </c>
      <c r="AE164" s="84">
        <f t="shared" si="35"/>
        <v>0</v>
      </c>
      <c r="AF164" s="84">
        <f t="shared" si="35"/>
        <v>0</v>
      </c>
      <c r="AG164" s="84">
        <f t="shared" si="35"/>
        <v>0</v>
      </c>
      <c r="AH164" s="84">
        <f t="shared" si="35"/>
        <v>0</v>
      </c>
      <c r="AI164" s="84">
        <f t="shared" si="35"/>
        <v>0</v>
      </c>
      <c r="AJ164" s="84">
        <f t="shared" si="35"/>
        <v>0</v>
      </c>
      <c r="AK164" s="84">
        <f t="shared" si="35"/>
        <v>0</v>
      </c>
      <c r="AL164" s="84">
        <f t="shared" si="35"/>
        <v>0</v>
      </c>
      <c r="AM164" s="84">
        <f t="shared" si="35"/>
        <v>0</v>
      </c>
      <c r="AN164" s="84">
        <f t="shared" si="35"/>
        <v>0</v>
      </c>
      <c r="AO164" s="84">
        <f t="shared" si="35"/>
        <v>0</v>
      </c>
      <c r="AP164" s="84">
        <f t="shared" si="35"/>
        <v>0</v>
      </c>
      <c r="AQ164" s="84">
        <f t="shared" si="35"/>
        <v>0</v>
      </c>
      <c r="AR164" s="84">
        <f t="shared" si="35"/>
        <v>0</v>
      </c>
      <c r="AS164" s="84">
        <f t="shared" si="35"/>
        <v>0</v>
      </c>
      <c r="AT164" s="84">
        <f t="shared" si="35"/>
        <v>0</v>
      </c>
      <c r="AU164" s="84">
        <f t="shared" si="35"/>
        <v>0</v>
      </c>
      <c r="AV164" s="84">
        <f t="shared" si="35"/>
        <v>0</v>
      </c>
      <c r="AW164" s="84">
        <f t="shared" si="35"/>
        <v>0</v>
      </c>
      <c r="AX164" s="84">
        <f t="shared" si="35"/>
        <v>0</v>
      </c>
      <c r="AY164" s="84">
        <f t="shared" si="35"/>
        <v>0</v>
      </c>
      <c r="AZ164" s="84">
        <f t="shared" si="35"/>
        <v>0</v>
      </c>
      <c r="BA164" s="84">
        <f t="shared" si="35"/>
        <v>0</v>
      </c>
      <c r="BB164" s="84">
        <f t="shared" si="35"/>
        <v>0</v>
      </c>
      <c r="BC164" s="84">
        <f t="shared" si="35"/>
        <v>0</v>
      </c>
      <c r="BD164" s="84">
        <f t="shared" si="35"/>
        <v>0</v>
      </c>
      <c r="BE164" s="84">
        <f t="shared" si="35"/>
        <v>0</v>
      </c>
      <c r="BF164" s="84">
        <f t="shared" si="35"/>
        <v>0</v>
      </c>
      <c r="BG164" s="84">
        <f t="shared" si="32"/>
        <v>0</v>
      </c>
      <c r="BH164" s="84">
        <f t="shared" si="29"/>
        <v>0</v>
      </c>
      <c r="BI164" s="84">
        <f t="shared" si="30"/>
        <v>0</v>
      </c>
      <c r="BJ164" s="84">
        <f t="shared" si="31"/>
        <v>0</v>
      </c>
    </row>
    <row r="165" spans="3:62" x14ac:dyDescent="0.3">
      <c r="D165">
        <v>2060</v>
      </c>
      <c r="E165" t="s">
        <v>434</v>
      </c>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80">
        <f t="shared" si="32"/>
        <v>0</v>
      </c>
      <c r="BH165" s="80">
        <f t="shared" si="29"/>
        <v>0</v>
      </c>
      <c r="BI165" s="80">
        <f t="shared" si="30"/>
        <v>0</v>
      </c>
      <c r="BJ165" s="80">
        <f t="shared" si="31"/>
        <v>0</v>
      </c>
    </row>
    <row r="166" spans="3:62" x14ac:dyDescent="0.3">
      <c r="D166">
        <v>2062</v>
      </c>
      <c r="E166" t="s">
        <v>435</v>
      </c>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80">
        <f t="shared" si="32"/>
        <v>0</v>
      </c>
      <c r="BH166" s="80">
        <f t="shared" si="29"/>
        <v>0</v>
      </c>
      <c r="BI166" s="80">
        <f t="shared" si="30"/>
        <v>0</v>
      </c>
      <c r="BJ166" s="80">
        <f t="shared" si="31"/>
        <v>0</v>
      </c>
    </row>
    <row r="167" spans="3:62" x14ac:dyDescent="0.3">
      <c r="D167">
        <v>2063</v>
      </c>
      <c r="E167" t="s">
        <v>436</v>
      </c>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80">
        <f t="shared" si="32"/>
        <v>0</v>
      </c>
      <c r="BH167" s="80">
        <f t="shared" si="29"/>
        <v>0</v>
      </c>
      <c r="BI167" s="80">
        <f t="shared" si="30"/>
        <v>0</v>
      </c>
      <c r="BJ167" s="80">
        <f t="shared" si="31"/>
        <v>0</v>
      </c>
    </row>
    <row r="168" spans="3:62" x14ac:dyDescent="0.3">
      <c r="D168">
        <v>2064</v>
      </c>
      <c r="E168" t="s">
        <v>457</v>
      </c>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80">
        <f t="shared" si="32"/>
        <v>0</v>
      </c>
      <c r="BH168" s="80">
        <f t="shared" si="29"/>
        <v>0</v>
      </c>
      <c r="BI168" s="80">
        <f t="shared" si="30"/>
        <v>0</v>
      </c>
      <c r="BJ168" s="80">
        <f t="shared" si="31"/>
        <v>0</v>
      </c>
    </row>
    <row r="169" spans="3:62" x14ac:dyDescent="0.3">
      <c r="D169">
        <v>2067</v>
      </c>
      <c r="E169" t="s">
        <v>438</v>
      </c>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80">
        <f t="shared" si="32"/>
        <v>0</v>
      </c>
      <c r="BH169" s="80">
        <f t="shared" si="29"/>
        <v>0</v>
      </c>
      <c r="BI169" s="80">
        <f t="shared" si="30"/>
        <v>0</v>
      </c>
      <c r="BJ169" s="80">
        <f t="shared" si="31"/>
        <v>0</v>
      </c>
    </row>
    <row r="170" spans="3:62" x14ac:dyDescent="0.3">
      <c r="D170">
        <v>2069</v>
      </c>
      <c r="E170" t="s">
        <v>439</v>
      </c>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80">
        <f t="shared" si="32"/>
        <v>0</v>
      </c>
      <c r="BH170" s="80">
        <f t="shared" si="29"/>
        <v>0</v>
      </c>
      <c r="BI170" s="80">
        <f t="shared" si="30"/>
        <v>0</v>
      </c>
      <c r="BJ170" s="80">
        <f t="shared" si="31"/>
        <v>0</v>
      </c>
    </row>
    <row r="171" spans="3:62" x14ac:dyDescent="0.3">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3">
      <c r="C172" s="83">
        <v>208</v>
      </c>
      <c r="D172" s="83"/>
      <c r="E172" s="83" t="s">
        <v>265</v>
      </c>
      <c r="F172" s="84">
        <f>F173+F174+F175+F176+F177+F178+F179+F180+F181</f>
        <v>0</v>
      </c>
      <c r="G172" s="84">
        <f t="shared" ref="G172:BF172" si="36">G173+G174+G175+G176+G177+G178+G179+G180+G181</f>
        <v>0</v>
      </c>
      <c r="H172" s="84">
        <f t="shared" si="36"/>
        <v>0</v>
      </c>
      <c r="I172" s="84">
        <f t="shared" si="36"/>
        <v>0</v>
      </c>
      <c r="J172" s="84">
        <f t="shared" si="36"/>
        <v>0</v>
      </c>
      <c r="K172" s="84">
        <f t="shared" si="36"/>
        <v>0</v>
      </c>
      <c r="L172" s="84">
        <f t="shared" si="36"/>
        <v>0</v>
      </c>
      <c r="M172" s="84">
        <f t="shared" si="36"/>
        <v>0</v>
      </c>
      <c r="N172" s="84">
        <f t="shared" si="36"/>
        <v>0</v>
      </c>
      <c r="O172" s="84">
        <f t="shared" si="36"/>
        <v>0</v>
      </c>
      <c r="P172" s="84">
        <f t="shared" si="36"/>
        <v>0</v>
      </c>
      <c r="Q172" s="84">
        <f t="shared" si="36"/>
        <v>0</v>
      </c>
      <c r="R172" s="84">
        <f t="shared" si="36"/>
        <v>0</v>
      </c>
      <c r="S172" s="84">
        <f t="shared" si="36"/>
        <v>0</v>
      </c>
      <c r="T172" s="84">
        <f t="shared" si="36"/>
        <v>0</v>
      </c>
      <c r="U172" s="84">
        <f t="shared" si="36"/>
        <v>0</v>
      </c>
      <c r="V172" s="84">
        <f t="shared" si="36"/>
        <v>0</v>
      </c>
      <c r="W172" s="84">
        <f t="shared" si="36"/>
        <v>0</v>
      </c>
      <c r="X172" s="84">
        <f t="shared" si="36"/>
        <v>0</v>
      </c>
      <c r="Y172" s="84">
        <f t="shared" si="36"/>
        <v>0</v>
      </c>
      <c r="Z172" s="84">
        <f t="shared" si="36"/>
        <v>0</v>
      </c>
      <c r="AA172" s="84">
        <f t="shared" si="36"/>
        <v>0</v>
      </c>
      <c r="AB172" s="84">
        <f t="shared" si="36"/>
        <v>0</v>
      </c>
      <c r="AC172" s="84">
        <f t="shared" si="36"/>
        <v>0</v>
      </c>
      <c r="AD172" s="84">
        <f t="shared" si="36"/>
        <v>0</v>
      </c>
      <c r="AE172" s="84">
        <f t="shared" si="36"/>
        <v>0</v>
      </c>
      <c r="AF172" s="84">
        <f t="shared" si="36"/>
        <v>0</v>
      </c>
      <c r="AG172" s="84">
        <f t="shared" si="36"/>
        <v>0</v>
      </c>
      <c r="AH172" s="84">
        <f t="shared" si="36"/>
        <v>0</v>
      </c>
      <c r="AI172" s="84">
        <f t="shared" si="36"/>
        <v>0</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0</v>
      </c>
      <c r="AZ172" s="84">
        <f t="shared" si="36"/>
        <v>0</v>
      </c>
      <c r="BA172" s="84">
        <f t="shared" si="36"/>
        <v>0</v>
      </c>
      <c r="BB172" s="84">
        <f t="shared" si="36"/>
        <v>0</v>
      </c>
      <c r="BC172" s="84">
        <f t="shared" si="36"/>
        <v>0</v>
      </c>
      <c r="BD172" s="84">
        <f t="shared" si="36"/>
        <v>0</v>
      </c>
      <c r="BE172" s="84">
        <f t="shared" si="36"/>
        <v>0</v>
      </c>
      <c r="BF172" s="84">
        <f t="shared" si="36"/>
        <v>0</v>
      </c>
      <c r="BG172" s="84">
        <f t="shared" si="32"/>
        <v>0</v>
      </c>
      <c r="BH172" s="84">
        <f t="shared" si="29"/>
        <v>0</v>
      </c>
      <c r="BI172" s="84">
        <f t="shared" si="30"/>
        <v>0</v>
      </c>
      <c r="BJ172" s="84">
        <f t="shared" si="31"/>
        <v>0</v>
      </c>
    </row>
    <row r="173" spans="3:62" x14ac:dyDescent="0.3">
      <c r="D173">
        <v>2081</v>
      </c>
      <c r="E173" t="s">
        <v>440</v>
      </c>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80">
        <f t="shared" si="32"/>
        <v>0</v>
      </c>
      <c r="BH173" s="80">
        <f t="shared" si="29"/>
        <v>0</v>
      </c>
      <c r="BI173" s="80">
        <f t="shared" si="30"/>
        <v>0</v>
      </c>
      <c r="BJ173" s="80">
        <f t="shared" si="31"/>
        <v>0</v>
      </c>
    </row>
    <row r="174" spans="3:62" x14ac:dyDescent="0.3">
      <c r="D174">
        <v>2082</v>
      </c>
      <c r="E174" t="s">
        <v>441</v>
      </c>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80">
        <f t="shared" si="32"/>
        <v>0</v>
      </c>
      <c r="BH174" s="80">
        <f t="shared" si="29"/>
        <v>0</v>
      </c>
      <c r="BI174" s="80">
        <f t="shared" si="30"/>
        <v>0</v>
      </c>
      <c r="BJ174" s="80">
        <f t="shared" si="31"/>
        <v>0</v>
      </c>
    </row>
    <row r="175" spans="3:62" x14ac:dyDescent="0.3">
      <c r="D175">
        <v>2083</v>
      </c>
      <c r="E175" t="s">
        <v>442</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80">
        <f t="shared" si="32"/>
        <v>0</v>
      </c>
      <c r="BH175" s="80">
        <f t="shared" si="29"/>
        <v>0</v>
      </c>
      <c r="BI175" s="80">
        <f t="shared" si="30"/>
        <v>0</v>
      </c>
      <c r="BJ175" s="80">
        <f t="shared" si="31"/>
        <v>0</v>
      </c>
    </row>
    <row r="176" spans="3:62" x14ac:dyDescent="0.3">
      <c r="D176">
        <v>2084</v>
      </c>
      <c r="E176" t="s">
        <v>443</v>
      </c>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80">
        <f t="shared" si="32"/>
        <v>0</v>
      </c>
      <c r="BH176" s="80">
        <f t="shared" si="29"/>
        <v>0</v>
      </c>
      <c r="BI176" s="80">
        <f t="shared" si="30"/>
        <v>0</v>
      </c>
      <c r="BJ176" s="80">
        <f t="shared" si="31"/>
        <v>0</v>
      </c>
    </row>
    <row r="177" spans="2:62" x14ac:dyDescent="0.3">
      <c r="D177">
        <v>2085</v>
      </c>
      <c r="E177" t="s">
        <v>445</v>
      </c>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80">
        <f t="shared" si="32"/>
        <v>0</v>
      </c>
      <c r="BH177" s="80">
        <f t="shared" si="29"/>
        <v>0</v>
      </c>
      <c r="BI177" s="80">
        <f t="shared" si="30"/>
        <v>0</v>
      </c>
      <c r="BJ177" s="80">
        <f t="shared" si="31"/>
        <v>0</v>
      </c>
    </row>
    <row r="178" spans="2:62" x14ac:dyDescent="0.3">
      <c r="D178">
        <v>2086</v>
      </c>
      <c r="E178" t="s">
        <v>444</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80">
        <f t="shared" si="32"/>
        <v>0</v>
      </c>
      <c r="BH178" s="80">
        <f t="shared" si="29"/>
        <v>0</v>
      </c>
      <c r="BI178" s="80">
        <f t="shared" si="30"/>
        <v>0</v>
      </c>
      <c r="BJ178" s="80">
        <f t="shared" si="31"/>
        <v>0</v>
      </c>
    </row>
    <row r="179" spans="2:62" x14ac:dyDescent="0.3">
      <c r="D179">
        <v>2087</v>
      </c>
      <c r="E179" t="s">
        <v>446</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80">
        <f t="shared" si="32"/>
        <v>0</v>
      </c>
      <c r="BH179" s="80">
        <f t="shared" si="29"/>
        <v>0</v>
      </c>
      <c r="BI179" s="80">
        <f t="shared" si="30"/>
        <v>0</v>
      </c>
      <c r="BJ179" s="80">
        <f t="shared" si="31"/>
        <v>0</v>
      </c>
    </row>
    <row r="180" spans="2:62" x14ac:dyDescent="0.3">
      <c r="D180">
        <v>2088</v>
      </c>
      <c r="E180" t="s">
        <v>447</v>
      </c>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80">
        <f t="shared" si="32"/>
        <v>0</v>
      </c>
      <c r="BH180" s="80">
        <f t="shared" si="29"/>
        <v>0</v>
      </c>
      <c r="BI180" s="80">
        <f t="shared" si="30"/>
        <v>0</v>
      </c>
      <c r="BJ180" s="80">
        <f t="shared" si="31"/>
        <v>0</v>
      </c>
    </row>
    <row r="181" spans="2:62" x14ac:dyDescent="0.3">
      <c r="D181">
        <v>2089</v>
      </c>
      <c r="E181" t="s">
        <v>448</v>
      </c>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80">
        <f t="shared" si="32"/>
        <v>0</v>
      </c>
      <c r="BH181" s="80">
        <f t="shared" si="29"/>
        <v>0</v>
      </c>
      <c r="BI181" s="80">
        <f t="shared" si="30"/>
        <v>0</v>
      </c>
      <c r="BJ181" s="80">
        <f t="shared" si="31"/>
        <v>0</v>
      </c>
    </row>
    <row r="182" spans="2:62" x14ac:dyDescent="0.3">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3">
      <c r="C183" s="83">
        <v>209</v>
      </c>
      <c r="D183" s="83"/>
      <c r="E183" s="83" t="s">
        <v>266</v>
      </c>
      <c r="F183" s="84">
        <f>F184+F185+F186+F187</f>
        <v>0</v>
      </c>
      <c r="G183" s="84">
        <f t="shared" ref="G183:BF183" si="37">G184+G185+G186+G187</f>
        <v>0</v>
      </c>
      <c r="H183" s="84">
        <f t="shared" si="37"/>
        <v>0</v>
      </c>
      <c r="I183" s="84">
        <f t="shared" si="37"/>
        <v>0</v>
      </c>
      <c r="J183" s="84">
        <f t="shared" si="37"/>
        <v>0</v>
      </c>
      <c r="K183" s="84">
        <f t="shared" si="37"/>
        <v>0</v>
      </c>
      <c r="L183" s="84">
        <f t="shared" si="37"/>
        <v>0</v>
      </c>
      <c r="M183" s="84">
        <f t="shared" si="37"/>
        <v>0</v>
      </c>
      <c r="N183" s="84">
        <f t="shared" si="37"/>
        <v>0</v>
      </c>
      <c r="O183" s="84">
        <f t="shared" si="37"/>
        <v>0</v>
      </c>
      <c r="P183" s="84">
        <f t="shared" si="37"/>
        <v>0</v>
      </c>
      <c r="Q183" s="84">
        <f t="shared" si="37"/>
        <v>0</v>
      </c>
      <c r="R183" s="84">
        <f t="shared" si="37"/>
        <v>0</v>
      </c>
      <c r="S183" s="84">
        <f t="shared" si="37"/>
        <v>0</v>
      </c>
      <c r="T183" s="84">
        <f t="shared" si="37"/>
        <v>0</v>
      </c>
      <c r="U183" s="84">
        <f t="shared" si="37"/>
        <v>0</v>
      </c>
      <c r="V183" s="84">
        <f t="shared" si="37"/>
        <v>0</v>
      </c>
      <c r="W183" s="84">
        <f t="shared" si="37"/>
        <v>0</v>
      </c>
      <c r="X183" s="84">
        <f t="shared" si="37"/>
        <v>0</v>
      </c>
      <c r="Y183" s="84">
        <f t="shared" si="37"/>
        <v>0</v>
      </c>
      <c r="Z183" s="84">
        <f t="shared" si="37"/>
        <v>0</v>
      </c>
      <c r="AA183" s="84">
        <f t="shared" si="37"/>
        <v>0</v>
      </c>
      <c r="AB183" s="84">
        <f t="shared" si="37"/>
        <v>0</v>
      </c>
      <c r="AC183" s="84">
        <f t="shared" si="37"/>
        <v>0</v>
      </c>
      <c r="AD183" s="84">
        <f t="shared" si="37"/>
        <v>0</v>
      </c>
      <c r="AE183" s="84">
        <f t="shared" si="37"/>
        <v>0</v>
      </c>
      <c r="AF183" s="84">
        <f t="shared" si="37"/>
        <v>0</v>
      </c>
      <c r="AG183" s="84">
        <f t="shared" si="37"/>
        <v>0</v>
      </c>
      <c r="AH183" s="84">
        <f t="shared" si="37"/>
        <v>0</v>
      </c>
      <c r="AI183" s="84">
        <f t="shared" si="37"/>
        <v>0</v>
      </c>
      <c r="AJ183" s="84">
        <f t="shared" si="37"/>
        <v>0</v>
      </c>
      <c r="AK183" s="84">
        <f t="shared" si="37"/>
        <v>0</v>
      </c>
      <c r="AL183" s="84">
        <f t="shared" si="37"/>
        <v>0</v>
      </c>
      <c r="AM183" s="84">
        <f t="shared" si="37"/>
        <v>0</v>
      </c>
      <c r="AN183" s="84">
        <f t="shared" si="37"/>
        <v>0</v>
      </c>
      <c r="AO183" s="84">
        <f t="shared" si="37"/>
        <v>0</v>
      </c>
      <c r="AP183" s="84">
        <f t="shared" si="37"/>
        <v>0</v>
      </c>
      <c r="AQ183" s="84">
        <f t="shared" si="37"/>
        <v>0</v>
      </c>
      <c r="AR183" s="84">
        <f t="shared" si="37"/>
        <v>0</v>
      </c>
      <c r="AS183" s="84">
        <f t="shared" si="37"/>
        <v>0</v>
      </c>
      <c r="AT183" s="84">
        <f t="shared" si="37"/>
        <v>0</v>
      </c>
      <c r="AU183" s="84">
        <f t="shared" si="37"/>
        <v>0</v>
      </c>
      <c r="AV183" s="84">
        <f t="shared" si="37"/>
        <v>0</v>
      </c>
      <c r="AW183" s="84">
        <f t="shared" si="37"/>
        <v>0</v>
      </c>
      <c r="AX183" s="84">
        <f t="shared" si="37"/>
        <v>0</v>
      </c>
      <c r="AY183" s="84">
        <f t="shared" si="37"/>
        <v>0</v>
      </c>
      <c r="AZ183" s="84">
        <f t="shared" si="37"/>
        <v>0</v>
      </c>
      <c r="BA183" s="84">
        <f t="shared" si="37"/>
        <v>0</v>
      </c>
      <c r="BB183" s="84">
        <f t="shared" si="37"/>
        <v>0</v>
      </c>
      <c r="BC183" s="84">
        <f t="shared" si="37"/>
        <v>0</v>
      </c>
      <c r="BD183" s="84">
        <f t="shared" si="37"/>
        <v>0</v>
      </c>
      <c r="BE183" s="84">
        <f t="shared" si="37"/>
        <v>0</v>
      </c>
      <c r="BF183" s="84">
        <f t="shared" si="37"/>
        <v>0</v>
      </c>
      <c r="BG183" s="84">
        <f t="shared" si="32"/>
        <v>0</v>
      </c>
      <c r="BH183" s="84">
        <f t="shared" si="29"/>
        <v>0</v>
      </c>
      <c r="BI183" s="84">
        <f t="shared" si="30"/>
        <v>0</v>
      </c>
      <c r="BJ183" s="84">
        <f t="shared" si="31"/>
        <v>0</v>
      </c>
    </row>
    <row r="184" spans="2:62" x14ac:dyDescent="0.3">
      <c r="D184">
        <v>2090</v>
      </c>
      <c r="E184" t="s">
        <v>266</v>
      </c>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80">
        <f t="shared" si="32"/>
        <v>0</v>
      </c>
      <c r="BH184" s="80">
        <f t="shared" si="29"/>
        <v>0</v>
      </c>
      <c r="BI184" s="80">
        <f t="shared" si="30"/>
        <v>0</v>
      </c>
      <c r="BJ184" s="80">
        <f t="shared" si="31"/>
        <v>0</v>
      </c>
    </row>
    <row r="185" spans="2:62" x14ac:dyDescent="0.3">
      <c r="D185">
        <v>2091</v>
      </c>
      <c r="E185" t="s">
        <v>449</v>
      </c>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80">
        <f t="shared" si="32"/>
        <v>0</v>
      </c>
      <c r="BH185" s="80">
        <f t="shared" si="29"/>
        <v>0</v>
      </c>
      <c r="BI185" s="80">
        <f t="shared" si="30"/>
        <v>0</v>
      </c>
      <c r="BJ185" s="80">
        <f t="shared" si="31"/>
        <v>0</v>
      </c>
    </row>
    <row r="186" spans="2:62" x14ac:dyDescent="0.3">
      <c r="D186">
        <v>2092</v>
      </c>
      <c r="E186" t="s">
        <v>450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80">
        <f t="shared" si="32"/>
        <v>0</v>
      </c>
      <c r="BH186" s="80">
        <f t="shared" si="29"/>
        <v>0</v>
      </c>
      <c r="BI186" s="80">
        <f t="shared" si="30"/>
        <v>0</v>
      </c>
      <c r="BJ186" s="80">
        <f t="shared" si="31"/>
        <v>0</v>
      </c>
    </row>
    <row r="187" spans="2:62" x14ac:dyDescent="0.3">
      <c r="D187">
        <v>2093</v>
      </c>
      <c r="E187" t="s">
        <v>451</v>
      </c>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80">
        <f t="shared" si="32"/>
        <v>0</v>
      </c>
      <c r="BH187" s="80">
        <f t="shared" si="29"/>
        <v>0</v>
      </c>
      <c r="BI187" s="80">
        <f t="shared" si="30"/>
        <v>0</v>
      </c>
      <c r="BJ187" s="80">
        <f t="shared" si="31"/>
        <v>0</v>
      </c>
    </row>
    <row r="188" spans="2:62" x14ac:dyDescent="0.3">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3">
      <c r="B189" s="85">
        <v>29</v>
      </c>
      <c r="C189" s="85"/>
      <c r="D189" s="85"/>
      <c r="E189" s="85" t="s">
        <v>267</v>
      </c>
      <c r="F189" s="86">
        <f>F190+F193+F197+F200+F203+F206+F209+F212+F215</f>
        <v>0</v>
      </c>
      <c r="G189" s="86">
        <f t="shared" ref="G189:BJ189" si="38">G190+G193+G197+G200+G203+G206+G209+G212+G215</f>
        <v>0</v>
      </c>
      <c r="H189" s="86">
        <f t="shared" si="38"/>
        <v>0</v>
      </c>
      <c r="I189" s="86">
        <f t="shared" si="38"/>
        <v>0</v>
      </c>
      <c r="J189" s="86">
        <f t="shared" si="38"/>
        <v>0</v>
      </c>
      <c r="K189" s="86">
        <f t="shared" si="38"/>
        <v>0</v>
      </c>
      <c r="L189" s="86">
        <f t="shared" si="38"/>
        <v>0</v>
      </c>
      <c r="M189" s="86">
        <f t="shared" si="38"/>
        <v>0</v>
      </c>
      <c r="N189" s="86">
        <f t="shared" si="38"/>
        <v>0</v>
      </c>
      <c r="O189" s="86">
        <f t="shared" si="38"/>
        <v>0</v>
      </c>
      <c r="P189" s="86">
        <f t="shared" si="38"/>
        <v>0</v>
      </c>
      <c r="Q189" s="86">
        <f t="shared" si="38"/>
        <v>0</v>
      </c>
      <c r="R189" s="86">
        <f t="shared" si="38"/>
        <v>0</v>
      </c>
      <c r="S189" s="86">
        <f t="shared" si="38"/>
        <v>0</v>
      </c>
      <c r="T189" s="86">
        <f t="shared" si="38"/>
        <v>0</v>
      </c>
      <c r="U189" s="86">
        <f t="shared" si="38"/>
        <v>0</v>
      </c>
      <c r="V189" s="86">
        <f t="shared" si="38"/>
        <v>0</v>
      </c>
      <c r="W189" s="86">
        <f t="shared" si="38"/>
        <v>0</v>
      </c>
      <c r="X189" s="86">
        <f t="shared" si="38"/>
        <v>0</v>
      </c>
      <c r="Y189" s="86">
        <f t="shared" si="38"/>
        <v>0</v>
      </c>
      <c r="Z189" s="86">
        <f t="shared" si="38"/>
        <v>0</v>
      </c>
      <c r="AA189" s="86">
        <f t="shared" si="38"/>
        <v>0</v>
      </c>
      <c r="AB189" s="86">
        <f t="shared" si="38"/>
        <v>0</v>
      </c>
      <c r="AC189" s="86">
        <f t="shared" si="38"/>
        <v>0</v>
      </c>
      <c r="AD189" s="86">
        <f t="shared" si="38"/>
        <v>0</v>
      </c>
      <c r="AE189" s="86">
        <f t="shared" si="38"/>
        <v>0</v>
      </c>
      <c r="AF189" s="86">
        <f t="shared" si="38"/>
        <v>0</v>
      </c>
      <c r="AG189" s="86">
        <f t="shared" si="38"/>
        <v>0</v>
      </c>
      <c r="AH189" s="86">
        <f t="shared" si="38"/>
        <v>0</v>
      </c>
      <c r="AI189" s="86">
        <f t="shared" si="38"/>
        <v>0</v>
      </c>
      <c r="AJ189" s="86">
        <f t="shared" si="38"/>
        <v>0</v>
      </c>
      <c r="AK189" s="86">
        <f t="shared" si="38"/>
        <v>0</v>
      </c>
      <c r="AL189" s="86">
        <f t="shared" si="38"/>
        <v>0</v>
      </c>
      <c r="AM189" s="86">
        <f t="shared" si="38"/>
        <v>0</v>
      </c>
      <c r="AN189" s="86">
        <f t="shared" si="38"/>
        <v>0</v>
      </c>
      <c r="AO189" s="86">
        <f t="shared" si="38"/>
        <v>0</v>
      </c>
      <c r="AP189" s="86">
        <f t="shared" si="38"/>
        <v>0</v>
      </c>
      <c r="AQ189" s="86">
        <f t="shared" si="38"/>
        <v>0</v>
      </c>
      <c r="AR189" s="86">
        <f t="shared" si="38"/>
        <v>0</v>
      </c>
      <c r="AS189" s="86">
        <f t="shared" si="38"/>
        <v>0</v>
      </c>
      <c r="AT189" s="86">
        <f t="shared" si="38"/>
        <v>0</v>
      </c>
      <c r="AU189" s="86">
        <f t="shared" si="38"/>
        <v>0</v>
      </c>
      <c r="AV189" s="86">
        <f t="shared" si="38"/>
        <v>0</v>
      </c>
      <c r="AW189" s="86">
        <f t="shared" si="38"/>
        <v>0</v>
      </c>
      <c r="AX189" s="86">
        <f t="shared" si="38"/>
        <v>0</v>
      </c>
      <c r="AY189" s="86">
        <f t="shared" si="38"/>
        <v>0</v>
      </c>
      <c r="AZ189" s="86">
        <f t="shared" si="38"/>
        <v>0</v>
      </c>
      <c r="BA189" s="86">
        <f t="shared" si="38"/>
        <v>0</v>
      </c>
      <c r="BB189" s="86">
        <f t="shared" si="38"/>
        <v>0</v>
      </c>
      <c r="BC189" s="86">
        <f t="shared" si="38"/>
        <v>0</v>
      </c>
      <c r="BD189" s="86">
        <f t="shared" si="38"/>
        <v>0</v>
      </c>
      <c r="BE189" s="86">
        <f t="shared" si="38"/>
        <v>0</v>
      </c>
      <c r="BF189" s="86">
        <f t="shared" si="38"/>
        <v>0</v>
      </c>
      <c r="BG189" s="86">
        <f t="shared" si="38"/>
        <v>0</v>
      </c>
      <c r="BH189" s="86">
        <f t="shared" si="38"/>
        <v>0</v>
      </c>
      <c r="BI189" s="86">
        <f t="shared" si="38"/>
        <v>0</v>
      </c>
      <c r="BJ189" s="86">
        <f t="shared" si="38"/>
        <v>0</v>
      </c>
    </row>
    <row r="190" spans="2:62" x14ac:dyDescent="0.3">
      <c r="C190" s="83">
        <v>290</v>
      </c>
      <c r="D190" s="83"/>
      <c r="E190" s="83" t="s">
        <v>268</v>
      </c>
      <c r="F190" s="84">
        <f>F191</f>
        <v>0</v>
      </c>
      <c r="G190" s="84">
        <f t="shared" ref="G190:BF190" si="39">G191</f>
        <v>0</v>
      </c>
      <c r="H190" s="84">
        <f t="shared" si="39"/>
        <v>0</v>
      </c>
      <c r="I190" s="84">
        <f t="shared" si="39"/>
        <v>0</v>
      </c>
      <c r="J190" s="84">
        <f t="shared" si="39"/>
        <v>0</v>
      </c>
      <c r="K190" s="84">
        <f t="shared" si="39"/>
        <v>0</v>
      </c>
      <c r="L190" s="84">
        <f t="shared" si="39"/>
        <v>0</v>
      </c>
      <c r="M190" s="84">
        <f t="shared" si="39"/>
        <v>0</v>
      </c>
      <c r="N190" s="84">
        <f t="shared" si="39"/>
        <v>0</v>
      </c>
      <c r="O190" s="84">
        <f t="shared" si="39"/>
        <v>0</v>
      </c>
      <c r="P190" s="84">
        <f t="shared" si="39"/>
        <v>0</v>
      </c>
      <c r="Q190" s="84">
        <f t="shared" si="39"/>
        <v>0</v>
      </c>
      <c r="R190" s="84">
        <f t="shared" si="39"/>
        <v>0</v>
      </c>
      <c r="S190" s="84">
        <f t="shared" si="39"/>
        <v>0</v>
      </c>
      <c r="T190" s="84">
        <f t="shared" si="39"/>
        <v>0</v>
      </c>
      <c r="U190" s="84">
        <f t="shared" si="39"/>
        <v>0</v>
      </c>
      <c r="V190" s="84">
        <f t="shared" si="39"/>
        <v>0</v>
      </c>
      <c r="W190" s="84">
        <f t="shared" si="39"/>
        <v>0</v>
      </c>
      <c r="X190" s="84">
        <f t="shared" si="39"/>
        <v>0</v>
      </c>
      <c r="Y190" s="84">
        <f t="shared" si="39"/>
        <v>0</v>
      </c>
      <c r="Z190" s="84">
        <f t="shared" si="39"/>
        <v>0</v>
      </c>
      <c r="AA190" s="84">
        <f t="shared" si="39"/>
        <v>0</v>
      </c>
      <c r="AB190" s="84">
        <f t="shared" si="39"/>
        <v>0</v>
      </c>
      <c r="AC190" s="84">
        <f t="shared" si="39"/>
        <v>0</v>
      </c>
      <c r="AD190" s="84">
        <f t="shared" si="39"/>
        <v>0</v>
      </c>
      <c r="AE190" s="84">
        <f t="shared" si="39"/>
        <v>0</v>
      </c>
      <c r="AF190" s="84">
        <f t="shared" si="39"/>
        <v>0</v>
      </c>
      <c r="AG190" s="84">
        <f t="shared" si="39"/>
        <v>0</v>
      </c>
      <c r="AH190" s="84">
        <f t="shared" si="39"/>
        <v>0</v>
      </c>
      <c r="AI190" s="84">
        <f t="shared" si="39"/>
        <v>0</v>
      </c>
      <c r="AJ190" s="84">
        <f t="shared" si="39"/>
        <v>0</v>
      </c>
      <c r="AK190" s="84">
        <f t="shared" si="39"/>
        <v>0</v>
      </c>
      <c r="AL190" s="84">
        <f t="shared" si="39"/>
        <v>0</v>
      </c>
      <c r="AM190" s="84">
        <f t="shared" si="39"/>
        <v>0</v>
      </c>
      <c r="AN190" s="84">
        <f t="shared" si="39"/>
        <v>0</v>
      </c>
      <c r="AO190" s="84">
        <f t="shared" si="39"/>
        <v>0</v>
      </c>
      <c r="AP190" s="84">
        <f t="shared" si="39"/>
        <v>0</v>
      </c>
      <c r="AQ190" s="84">
        <f t="shared" si="39"/>
        <v>0</v>
      </c>
      <c r="AR190" s="84">
        <f t="shared" si="39"/>
        <v>0</v>
      </c>
      <c r="AS190" s="84">
        <f t="shared" si="39"/>
        <v>0</v>
      </c>
      <c r="AT190" s="84">
        <f t="shared" si="39"/>
        <v>0</v>
      </c>
      <c r="AU190" s="84">
        <f t="shared" si="39"/>
        <v>0</v>
      </c>
      <c r="AV190" s="84">
        <f t="shared" si="39"/>
        <v>0</v>
      </c>
      <c r="AW190" s="84">
        <f t="shared" si="39"/>
        <v>0</v>
      </c>
      <c r="AX190" s="84">
        <f t="shared" si="39"/>
        <v>0</v>
      </c>
      <c r="AY190" s="84">
        <f t="shared" si="39"/>
        <v>0</v>
      </c>
      <c r="AZ190" s="84">
        <f t="shared" si="39"/>
        <v>0</v>
      </c>
      <c r="BA190" s="84">
        <f t="shared" si="39"/>
        <v>0</v>
      </c>
      <c r="BB190" s="84">
        <f t="shared" si="39"/>
        <v>0</v>
      </c>
      <c r="BC190" s="84">
        <f t="shared" si="39"/>
        <v>0</v>
      </c>
      <c r="BD190" s="84">
        <f t="shared" si="39"/>
        <v>0</v>
      </c>
      <c r="BE190" s="84">
        <f t="shared" si="39"/>
        <v>0</v>
      </c>
      <c r="BF190" s="84">
        <f t="shared" si="39"/>
        <v>0</v>
      </c>
      <c r="BG190" s="84">
        <f t="shared" si="32"/>
        <v>0</v>
      </c>
      <c r="BH190" s="84">
        <f t="shared" si="29"/>
        <v>0</v>
      </c>
      <c r="BI190" s="84">
        <f t="shared" si="30"/>
        <v>0</v>
      </c>
      <c r="BJ190" s="84">
        <f t="shared" si="31"/>
        <v>0</v>
      </c>
    </row>
    <row r="191" spans="2:62" x14ac:dyDescent="0.3">
      <c r="D191">
        <v>2900</v>
      </c>
      <c r="E191" t="s">
        <v>268</v>
      </c>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80">
        <f t="shared" si="32"/>
        <v>0</v>
      </c>
      <c r="BH191" s="80">
        <f t="shared" si="29"/>
        <v>0</v>
      </c>
      <c r="BI191" s="80">
        <f t="shared" si="30"/>
        <v>0</v>
      </c>
      <c r="BJ191" s="80">
        <f t="shared" si="31"/>
        <v>0</v>
      </c>
    </row>
    <row r="192" spans="2:62" x14ac:dyDescent="0.3">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3">
      <c r="C193" s="83">
        <v>291</v>
      </c>
      <c r="D193" s="83"/>
      <c r="E193" s="83" t="s">
        <v>269</v>
      </c>
      <c r="F193" s="84">
        <f>F194+F195</f>
        <v>0</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0</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0</v>
      </c>
      <c r="AD193" s="84">
        <f t="shared" si="40"/>
        <v>0</v>
      </c>
      <c r="AE193" s="84">
        <f t="shared" si="40"/>
        <v>0</v>
      </c>
      <c r="AF193" s="84">
        <f t="shared" si="40"/>
        <v>0</v>
      </c>
      <c r="AG193" s="84">
        <f t="shared" si="40"/>
        <v>0</v>
      </c>
      <c r="AH193" s="84">
        <f t="shared" si="40"/>
        <v>0</v>
      </c>
      <c r="AI193" s="84">
        <f t="shared" si="40"/>
        <v>0</v>
      </c>
      <c r="AJ193" s="84">
        <f t="shared" si="40"/>
        <v>0</v>
      </c>
      <c r="AK193" s="84">
        <f t="shared" si="40"/>
        <v>0</v>
      </c>
      <c r="AL193" s="84">
        <f t="shared" si="40"/>
        <v>0</v>
      </c>
      <c r="AM193" s="84">
        <f t="shared" si="40"/>
        <v>0</v>
      </c>
      <c r="AN193" s="84">
        <f t="shared" si="40"/>
        <v>0</v>
      </c>
      <c r="AO193" s="84">
        <f t="shared" si="40"/>
        <v>0</v>
      </c>
      <c r="AP193" s="84">
        <f t="shared" si="40"/>
        <v>0</v>
      </c>
      <c r="AQ193" s="84">
        <f t="shared" si="40"/>
        <v>0</v>
      </c>
      <c r="AR193" s="84">
        <f t="shared" si="40"/>
        <v>0</v>
      </c>
      <c r="AS193" s="84">
        <f t="shared" si="40"/>
        <v>0</v>
      </c>
      <c r="AT193" s="84">
        <f t="shared" si="40"/>
        <v>0</v>
      </c>
      <c r="AU193" s="84">
        <f t="shared" si="40"/>
        <v>0</v>
      </c>
      <c r="AV193" s="84">
        <f t="shared" si="40"/>
        <v>0</v>
      </c>
      <c r="AW193" s="84">
        <f t="shared" si="40"/>
        <v>0</v>
      </c>
      <c r="AX193" s="84">
        <f t="shared" si="40"/>
        <v>0</v>
      </c>
      <c r="AY193" s="84">
        <f t="shared" si="40"/>
        <v>0</v>
      </c>
      <c r="AZ193" s="84">
        <f t="shared" si="40"/>
        <v>0</v>
      </c>
      <c r="BA193" s="84">
        <f t="shared" si="40"/>
        <v>0</v>
      </c>
      <c r="BB193" s="84">
        <f t="shared" si="40"/>
        <v>0</v>
      </c>
      <c r="BC193" s="84">
        <f t="shared" si="40"/>
        <v>0</v>
      </c>
      <c r="BD193" s="84">
        <f t="shared" si="40"/>
        <v>0</v>
      </c>
      <c r="BE193" s="84">
        <f t="shared" si="40"/>
        <v>0</v>
      </c>
      <c r="BF193" s="84">
        <f t="shared" si="40"/>
        <v>0</v>
      </c>
      <c r="BG193" s="84">
        <f t="shared" si="32"/>
        <v>0</v>
      </c>
      <c r="BH193" s="84">
        <f t="shared" si="29"/>
        <v>0</v>
      </c>
      <c r="BI193" s="84">
        <f t="shared" si="30"/>
        <v>0</v>
      </c>
      <c r="BJ193" s="84">
        <f t="shared" si="31"/>
        <v>0</v>
      </c>
    </row>
    <row r="194" spans="3:62" x14ac:dyDescent="0.3">
      <c r="D194">
        <v>2910</v>
      </c>
      <c r="E194" t="s">
        <v>269</v>
      </c>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80">
        <f t="shared" si="32"/>
        <v>0</v>
      </c>
      <c r="BH194" s="80">
        <f t="shared" si="29"/>
        <v>0</v>
      </c>
      <c r="BI194" s="80">
        <f t="shared" si="30"/>
        <v>0</v>
      </c>
      <c r="BJ194" s="80">
        <f t="shared" si="31"/>
        <v>0</v>
      </c>
    </row>
    <row r="195" spans="3:62" x14ac:dyDescent="0.3">
      <c r="D195">
        <v>2911</v>
      </c>
      <c r="E195" t="s">
        <v>452</v>
      </c>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80">
        <f t="shared" si="32"/>
        <v>0</v>
      </c>
      <c r="BH195" s="80">
        <f t="shared" si="29"/>
        <v>0</v>
      </c>
      <c r="BI195" s="80">
        <f t="shared" si="30"/>
        <v>0</v>
      </c>
      <c r="BJ195" s="80">
        <f t="shared" si="31"/>
        <v>0</v>
      </c>
    </row>
    <row r="196" spans="3:62" x14ac:dyDescent="0.3">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3">
      <c r="C197" s="83">
        <v>292</v>
      </c>
      <c r="D197" s="83"/>
      <c r="E197" s="83" t="s">
        <v>270</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0</v>
      </c>
      <c r="V197" s="84">
        <f t="shared" si="41"/>
        <v>0</v>
      </c>
      <c r="W197" s="84">
        <f t="shared" si="41"/>
        <v>0</v>
      </c>
      <c r="X197" s="84">
        <f t="shared" si="41"/>
        <v>0</v>
      </c>
      <c r="Y197" s="84">
        <f t="shared" si="41"/>
        <v>0</v>
      </c>
      <c r="Z197" s="84">
        <f t="shared" si="41"/>
        <v>0</v>
      </c>
      <c r="AA197" s="84">
        <f t="shared" si="41"/>
        <v>0</v>
      </c>
      <c r="AB197" s="84">
        <f t="shared" si="41"/>
        <v>0</v>
      </c>
      <c r="AC197" s="84">
        <f t="shared" si="41"/>
        <v>0</v>
      </c>
      <c r="AD197" s="84">
        <f t="shared" si="41"/>
        <v>0</v>
      </c>
      <c r="AE197" s="84">
        <f t="shared" si="41"/>
        <v>0</v>
      </c>
      <c r="AF197" s="84">
        <f t="shared" si="41"/>
        <v>0</v>
      </c>
      <c r="AG197" s="84">
        <f t="shared" si="41"/>
        <v>0</v>
      </c>
      <c r="AH197" s="84">
        <f t="shared" si="41"/>
        <v>0</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0</v>
      </c>
      <c r="AZ197" s="84">
        <f t="shared" si="41"/>
        <v>0</v>
      </c>
      <c r="BA197" s="84">
        <f t="shared" si="41"/>
        <v>0</v>
      </c>
      <c r="BB197" s="84">
        <f t="shared" si="41"/>
        <v>0</v>
      </c>
      <c r="BC197" s="84">
        <f t="shared" si="41"/>
        <v>0</v>
      </c>
      <c r="BD197" s="84">
        <f t="shared" si="41"/>
        <v>0</v>
      </c>
      <c r="BE197" s="84">
        <f t="shared" si="41"/>
        <v>0</v>
      </c>
      <c r="BF197" s="84">
        <f t="shared" si="41"/>
        <v>0</v>
      </c>
      <c r="BG197" s="84">
        <f t="shared" si="32"/>
        <v>0</v>
      </c>
      <c r="BH197" s="84">
        <f t="shared" si="29"/>
        <v>0</v>
      </c>
      <c r="BI197" s="84">
        <f t="shared" si="30"/>
        <v>0</v>
      </c>
      <c r="BJ197" s="84">
        <f t="shared" si="31"/>
        <v>0</v>
      </c>
    </row>
    <row r="198" spans="3:62" x14ac:dyDescent="0.3">
      <c r="D198">
        <v>2920</v>
      </c>
      <c r="E198" t="s">
        <v>270</v>
      </c>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80">
        <f t="shared" si="32"/>
        <v>0</v>
      </c>
      <c r="BH198" s="80">
        <f t="shared" si="29"/>
        <v>0</v>
      </c>
      <c r="BI198" s="80">
        <f t="shared" si="30"/>
        <v>0</v>
      </c>
      <c r="BJ198" s="80">
        <f t="shared" si="31"/>
        <v>0</v>
      </c>
    </row>
    <row r="199" spans="3:62" x14ac:dyDescent="0.3">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3">
      <c r="C200" s="83">
        <v>293</v>
      </c>
      <c r="D200" s="83"/>
      <c r="E200" s="83" t="s">
        <v>271</v>
      </c>
      <c r="F200" s="84">
        <f>F201</f>
        <v>0</v>
      </c>
      <c r="G200" s="84">
        <f t="shared" ref="G200:BF200" si="42">G201</f>
        <v>0</v>
      </c>
      <c r="H200" s="84">
        <f t="shared" si="42"/>
        <v>0</v>
      </c>
      <c r="I200" s="84">
        <f t="shared" si="42"/>
        <v>0</v>
      </c>
      <c r="J200" s="84">
        <f t="shared" si="42"/>
        <v>0</v>
      </c>
      <c r="K200" s="84">
        <f t="shared" si="42"/>
        <v>0</v>
      </c>
      <c r="L200" s="84">
        <f t="shared" si="42"/>
        <v>0</v>
      </c>
      <c r="M200" s="84">
        <f t="shared" si="42"/>
        <v>0</v>
      </c>
      <c r="N200" s="84">
        <f t="shared" si="42"/>
        <v>0</v>
      </c>
      <c r="O200" s="84">
        <f t="shared" si="42"/>
        <v>0</v>
      </c>
      <c r="P200" s="84">
        <f t="shared" si="42"/>
        <v>0</v>
      </c>
      <c r="Q200" s="84">
        <f t="shared" si="42"/>
        <v>0</v>
      </c>
      <c r="R200" s="84">
        <f t="shared" si="42"/>
        <v>0</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0</v>
      </c>
      <c r="AQ200" s="84">
        <f t="shared" si="42"/>
        <v>0</v>
      </c>
      <c r="AR200" s="84">
        <f t="shared" si="42"/>
        <v>0</v>
      </c>
      <c r="AS200" s="84">
        <f t="shared" si="42"/>
        <v>0</v>
      </c>
      <c r="AT200" s="84">
        <f t="shared" si="42"/>
        <v>0</v>
      </c>
      <c r="AU200" s="84">
        <f t="shared" si="42"/>
        <v>0</v>
      </c>
      <c r="AV200" s="84">
        <f t="shared" si="42"/>
        <v>0</v>
      </c>
      <c r="AW200" s="84">
        <f t="shared" si="42"/>
        <v>0</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7" si="43">SUM(F200:BF200)</f>
        <v>0</v>
      </c>
      <c r="BH200" s="84">
        <f t="shared" ref="BH200:BH217" si="44">SUM(F200:X200)</f>
        <v>0</v>
      </c>
      <c r="BI200" s="84">
        <f t="shared" ref="BI200:BI217" si="45">SUM(Y200:AK200)</f>
        <v>0</v>
      </c>
      <c r="BJ200" s="84">
        <f t="shared" ref="BJ200:BJ217" si="46">SUM(AL200:BF200)</f>
        <v>0</v>
      </c>
    </row>
    <row r="201" spans="3:62" x14ac:dyDescent="0.3">
      <c r="D201">
        <v>2930</v>
      </c>
      <c r="E201" t="s">
        <v>271</v>
      </c>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80">
        <f t="shared" si="43"/>
        <v>0</v>
      </c>
      <c r="BH201" s="80">
        <f t="shared" si="44"/>
        <v>0</v>
      </c>
      <c r="BI201" s="80">
        <f t="shared" si="45"/>
        <v>0</v>
      </c>
      <c r="BJ201" s="80">
        <f t="shared" si="46"/>
        <v>0</v>
      </c>
    </row>
    <row r="202" spans="3:62" x14ac:dyDescent="0.3">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3">
      <c r="C203" s="83">
        <v>294</v>
      </c>
      <c r="D203" s="83"/>
      <c r="E203" s="83" t="s">
        <v>272</v>
      </c>
      <c r="F203" s="84">
        <f>F204</f>
        <v>0</v>
      </c>
      <c r="G203" s="84">
        <f t="shared" ref="G203:BF203" si="47">G204</f>
        <v>0</v>
      </c>
      <c r="H203" s="84">
        <f t="shared" si="47"/>
        <v>0</v>
      </c>
      <c r="I203" s="84">
        <f t="shared" si="47"/>
        <v>0</v>
      </c>
      <c r="J203" s="84">
        <f t="shared" si="47"/>
        <v>0</v>
      </c>
      <c r="K203" s="84">
        <f t="shared" si="47"/>
        <v>0</v>
      </c>
      <c r="L203" s="84">
        <f t="shared" si="47"/>
        <v>0</v>
      </c>
      <c r="M203" s="84">
        <f t="shared" si="47"/>
        <v>0</v>
      </c>
      <c r="N203" s="84">
        <f t="shared" si="47"/>
        <v>0</v>
      </c>
      <c r="O203" s="84">
        <f t="shared" si="47"/>
        <v>0</v>
      </c>
      <c r="P203" s="84">
        <f t="shared" si="47"/>
        <v>0</v>
      </c>
      <c r="Q203" s="84">
        <f t="shared" si="47"/>
        <v>0</v>
      </c>
      <c r="R203" s="84">
        <f t="shared" si="47"/>
        <v>0</v>
      </c>
      <c r="S203" s="84">
        <f t="shared" si="47"/>
        <v>0</v>
      </c>
      <c r="T203" s="84">
        <f t="shared" si="47"/>
        <v>0</v>
      </c>
      <c r="U203" s="84">
        <f t="shared" si="47"/>
        <v>0</v>
      </c>
      <c r="V203" s="84">
        <f t="shared" si="47"/>
        <v>0</v>
      </c>
      <c r="W203" s="84">
        <f t="shared" si="47"/>
        <v>0</v>
      </c>
      <c r="X203" s="84">
        <f t="shared" si="47"/>
        <v>0</v>
      </c>
      <c r="Y203" s="84">
        <f t="shared" si="47"/>
        <v>0</v>
      </c>
      <c r="Z203" s="84">
        <f t="shared" si="47"/>
        <v>0</v>
      </c>
      <c r="AA203" s="84">
        <f t="shared" si="47"/>
        <v>0</v>
      </c>
      <c r="AB203" s="84">
        <f t="shared" si="47"/>
        <v>0</v>
      </c>
      <c r="AC203" s="84">
        <f t="shared" si="47"/>
        <v>0</v>
      </c>
      <c r="AD203" s="84">
        <f t="shared" si="47"/>
        <v>0</v>
      </c>
      <c r="AE203" s="84">
        <f t="shared" si="47"/>
        <v>0</v>
      </c>
      <c r="AF203" s="84">
        <f t="shared" si="47"/>
        <v>0</v>
      </c>
      <c r="AG203" s="84">
        <f t="shared" si="47"/>
        <v>0</v>
      </c>
      <c r="AH203" s="84">
        <f t="shared" si="47"/>
        <v>0</v>
      </c>
      <c r="AI203" s="84">
        <f t="shared" si="47"/>
        <v>0</v>
      </c>
      <c r="AJ203" s="84">
        <f t="shared" si="47"/>
        <v>0</v>
      </c>
      <c r="AK203" s="84">
        <f t="shared" si="47"/>
        <v>0</v>
      </c>
      <c r="AL203" s="84">
        <f t="shared" si="47"/>
        <v>0</v>
      </c>
      <c r="AM203" s="84">
        <f t="shared" si="47"/>
        <v>0</v>
      </c>
      <c r="AN203" s="84">
        <f t="shared" si="47"/>
        <v>0</v>
      </c>
      <c r="AO203" s="84">
        <f t="shared" si="47"/>
        <v>0</v>
      </c>
      <c r="AP203" s="84">
        <f t="shared" si="47"/>
        <v>0</v>
      </c>
      <c r="AQ203" s="84">
        <f t="shared" si="47"/>
        <v>0</v>
      </c>
      <c r="AR203" s="84">
        <f t="shared" si="47"/>
        <v>0</v>
      </c>
      <c r="AS203" s="84">
        <f t="shared" si="47"/>
        <v>0</v>
      </c>
      <c r="AT203" s="84">
        <f t="shared" si="47"/>
        <v>0</v>
      </c>
      <c r="AU203" s="84">
        <f t="shared" si="47"/>
        <v>0</v>
      </c>
      <c r="AV203" s="84">
        <f t="shared" si="47"/>
        <v>0</v>
      </c>
      <c r="AW203" s="84">
        <f t="shared" si="47"/>
        <v>0</v>
      </c>
      <c r="AX203" s="84">
        <f t="shared" si="47"/>
        <v>0</v>
      </c>
      <c r="AY203" s="84">
        <f t="shared" si="47"/>
        <v>0</v>
      </c>
      <c r="AZ203" s="84">
        <f t="shared" si="47"/>
        <v>0</v>
      </c>
      <c r="BA203" s="84">
        <f t="shared" si="47"/>
        <v>0</v>
      </c>
      <c r="BB203" s="84">
        <f t="shared" si="47"/>
        <v>0</v>
      </c>
      <c r="BC203" s="84">
        <f t="shared" si="47"/>
        <v>0</v>
      </c>
      <c r="BD203" s="84">
        <f t="shared" si="47"/>
        <v>0</v>
      </c>
      <c r="BE203" s="84">
        <f t="shared" si="47"/>
        <v>0</v>
      </c>
      <c r="BF203" s="84">
        <f t="shared" si="47"/>
        <v>0</v>
      </c>
      <c r="BG203" s="84">
        <f t="shared" si="43"/>
        <v>0</v>
      </c>
      <c r="BH203" s="84">
        <f t="shared" si="44"/>
        <v>0</v>
      </c>
      <c r="BI203" s="84">
        <f t="shared" si="45"/>
        <v>0</v>
      </c>
      <c r="BJ203" s="84">
        <f t="shared" si="46"/>
        <v>0</v>
      </c>
    </row>
    <row r="204" spans="3:62" x14ac:dyDescent="0.3">
      <c r="D204">
        <v>2940</v>
      </c>
      <c r="E204" t="s">
        <v>272</v>
      </c>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80">
        <f t="shared" si="43"/>
        <v>0</v>
      </c>
      <c r="BH204" s="80">
        <f t="shared" si="44"/>
        <v>0</v>
      </c>
      <c r="BI204" s="80">
        <f t="shared" si="45"/>
        <v>0</v>
      </c>
      <c r="BJ204" s="80">
        <f t="shared" si="46"/>
        <v>0</v>
      </c>
    </row>
    <row r="205" spans="3:62" x14ac:dyDescent="0.3">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3">
      <c r="C206" s="83">
        <v>295</v>
      </c>
      <c r="D206" s="83"/>
      <c r="E206" s="83" t="s">
        <v>273</v>
      </c>
      <c r="F206" s="84">
        <f>F207</f>
        <v>0</v>
      </c>
      <c r="G206" s="84">
        <f t="shared" ref="G206:BF206" si="48">G207</f>
        <v>0</v>
      </c>
      <c r="H206" s="84">
        <f>H207</f>
        <v>0</v>
      </c>
      <c r="I206" s="84">
        <f t="shared" si="48"/>
        <v>0</v>
      </c>
      <c r="J206" s="84">
        <f t="shared" si="48"/>
        <v>0</v>
      </c>
      <c r="K206" s="84">
        <f t="shared" si="48"/>
        <v>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0</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0</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0</v>
      </c>
      <c r="BH206" s="84">
        <f t="shared" si="44"/>
        <v>0</v>
      </c>
      <c r="BI206" s="84">
        <f t="shared" si="45"/>
        <v>0</v>
      </c>
      <c r="BJ206" s="84">
        <f t="shared" si="46"/>
        <v>0</v>
      </c>
    </row>
    <row r="207" spans="3:62" x14ac:dyDescent="0.3">
      <c r="D207">
        <v>2950</v>
      </c>
      <c r="E207" t="s">
        <v>273</v>
      </c>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80">
        <f t="shared" si="43"/>
        <v>0</v>
      </c>
      <c r="BH207" s="80">
        <f t="shared" si="44"/>
        <v>0</v>
      </c>
      <c r="BI207" s="80">
        <f t="shared" si="45"/>
        <v>0</v>
      </c>
      <c r="BJ207" s="80">
        <f t="shared" si="46"/>
        <v>0</v>
      </c>
    </row>
    <row r="208" spans="3:62" x14ac:dyDescent="0.3">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2" x14ac:dyDescent="0.3">
      <c r="C209" s="83">
        <v>296</v>
      </c>
      <c r="D209" s="83"/>
      <c r="E209" s="83" t="s">
        <v>274</v>
      </c>
      <c r="F209" s="84">
        <f>F210</f>
        <v>0</v>
      </c>
      <c r="G209" s="84">
        <f t="shared" ref="G209:BF209" si="49">G210</f>
        <v>0</v>
      </c>
      <c r="H209" s="84">
        <f t="shared" si="49"/>
        <v>0</v>
      </c>
      <c r="I209" s="84">
        <f t="shared" si="49"/>
        <v>0</v>
      </c>
      <c r="J209" s="84">
        <f t="shared" si="49"/>
        <v>0</v>
      </c>
      <c r="K209" s="84">
        <f t="shared" si="49"/>
        <v>0</v>
      </c>
      <c r="L209" s="84">
        <f t="shared" si="49"/>
        <v>0</v>
      </c>
      <c r="M209" s="84">
        <f t="shared" si="49"/>
        <v>0</v>
      </c>
      <c r="N209" s="84">
        <f t="shared" si="49"/>
        <v>0</v>
      </c>
      <c r="O209" s="84">
        <f t="shared" si="49"/>
        <v>0</v>
      </c>
      <c r="P209" s="84">
        <f t="shared" si="49"/>
        <v>0</v>
      </c>
      <c r="Q209" s="84">
        <f t="shared" si="49"/>
        <v>0</v>
      </c>
      <c r="R209" s="84">
        <f t="shared" si="49"/>
        <v>0</v>
      </c>
      <c r="S209" s="84">
        <f t="shared" si="49"/>
        <v>0</v>
      </c>
      <c r="T209" s="84">
        <f t="shared" si="49"/>
        <v>0</v>
      </c>
      <c r="U209" s="84">
        <f t="shared" si="49"/>
        <v>0</v>
      </c>
      <c r="V209" s="84">
        <f t="shared" si="49"/>
        <v>0</v>
      </c>
      <c r="W209" s="84">
        <f t="shared" si="49"/>
        <v>0</v>
      </c>
      <c r="X209" s="84">
        <f t="shared" si="49"/>
        <v>0</v>
      </c>
      <c r="Y209" s="84">
        <f t="shared" si="49"/>
        <v>0</v>
      </c>
      <c r="Z209" s="84">
        <f t="shared" si="49"/>
        <v>0</v>
      </c>
      <c r="AA209" s="84">
        <f t="shared" si="49"/>
        <v>0</v>
      </c>
      <c r="AB209" s="84">
        <f t="shared" si="49"/>
        <v>0</v>
      </c>
      <c r="AC209" s="84">
        <f t="shared" si="49"/>
        <v>0</v>
      </c>
      <c r="AD209" s="84">
        <f t="shared" si="49"/>
        <v>0</v>
      </c>
      <c r="AE209" s="84">
        <f t="shared" si="49"/>
        <v>0</v>
      </c>
      <c r="AF209" s="84">
        <f t="shared" si="49"/>
        <v>0</v>
      </c>
      <c r="AG209" s="84">
        <f t="shared" si="49"/>
        <v>0</v>
      </c>
      <c r="AH209" s="84">
        <f t="shared" si="49"/>
        <v>0</v>
      </c>
      <c r="AI209" s="84">
        <f t="shared" si="49"/>
        <v>0</v>
      </c>
      <c r="AJ209" s="84">
        <f t="shared" si="49"/>
        <v>0</v>
      </c>
      <c r="AK209" s="84">
        <f t="shared" si="49"/>
        <v>0</v>
      </c>
      <c r="AL209" s="84">
        <f t="shared" si="49"/>
        <v>0</v>
      </c>
      <c r="AM209" s="84">
        <f t="shared" si="49"/>
        <v>0</v>
      </c>
      <c r="AN209" s="84">
        <f t="shared" si="49"/>
        <v>0</v>
      </c>
      <c r="AO209" s="84">
        <f t="shared" si="49"/>
        <v>0</v>
      </c>
      <c r="AP209" s="84">
        <f t="shared" si="49"/>
        <v>0</v>
      </c>
      <c r="AQ209" s="84">
        <f t="shared" si="49"/>
        <v>0</v>
      </c>
      <c r="AR209" s="84">
        <f t="shared" si="49"/>
        <v>0</v>
      </c>
      <c r="AS209" s="84">
        <f t="shared" si="49"/>
        <v>0</v>
      </c>
      <c r="AT209" s="84">
        <f t="shared" si="49"/>
        <v>0</v>
      </c>
      <c r="AU209" s="84">
        <f t="shared" si="49"/>
        <v>0</v>
      </c>
      <c r="AV209" s="84">
        <f t="shared" si="49"/>
        <v>0</v>
      </c>
      <c r="AW209" s="84">
        <f t="shared" si="49"/>
        <v>0</v>
      </c>
      <c r="AX209" s="84">
        <f t="shared" si="49"/>
        <v>0</v>
      </c>
      <c r="AY209" s="84">
        <f t="shared" si="49"/>
        <v>0</v>
      </c>
      <c r="AZ209" s="84">
        <f t="shared" si="49"/>
        <v>0</v>
      </c>
      <c r="BA209" s="84">
        <f t="shared" si="49"/>
        <v>0</v>
      </c>
      <c r="BB209" s="84">
        <f t="shared" si="49"/>
        <v>0</v>
      </c>
      <c r="BC209" s="84">
        <f t="shared" si="49"/>
        <v>0</v>
      </c>
      <c r="BD209" s="84">
        <f t="shared" si="49"/>
        <v>0</v>
      </c>
      <c r="BE209" s="84">
        <f t="shared" si="49"/>
        <v>0</v>
      </c>
      <c r="BF209" s="84">
        <f t="shared" si="49"/>
        <v>0</v>
      </c>
      <c r="BG209" s="84">
        <f t="shared" si="43"/>
        <v>0</v>
      </c>
      <c r="BH209" s="84">
        <f t="shared" si="44"/>
        <v>0</v>
      </c>
      <c r="BI209" s="84">
        <f t="shared" si="45"/>
        <v>0</v>
      </c>
      <c r="BJ209" s="84">
        <f t="shared" si="46"/>
        <v>0</v>
      </c>
    </row>
    <row r="210" spans="3:62" x14ac:dyDescent="0.3">
      <c r="D210">
        <v>2960</v>
      </c>
      <c r="E210" t="s">
        <v>274</v>
      </c>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80">
        <f t="shared" si="43"/>
        <v>0</v>
      </c>
      <c r="BH210" s="80">
        <f t="shared" si="44"/>
        <v>0</v>
      </c>
      <c r="BI210" s="80">
        <f t="shared" si="45"/>
        <v>0</v>
      </c>
      <c r="BJ210" s="80">
        <f t="shared" si="46"/>
        <v>0</v>
      </c>
    </row>
    <row r="211" spans="3:62" x14ac:dyDescent="0.3">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2" x14ac:dyDescent="0.3">
      <c r="C212" s="83">
        <v>298</v>
      </c>
      <c r="D212" s="83"/>
      <c r="E212" s="83" t="s">
        <v>275</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0</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0</v>
      </c>
      <c r="BH212" s="84">
        <f t="shared" si="44"/>
        <v>0</v>
      </c>
      <c r="BI212" s="84">
        <f t="shared" si="45"/>
        <v>0</v>
      </c>
      <c r="BJ212" s="84">
        <f t="shared" si="46"/>
        <v>0</v>
      </c>
    </row>
    <row r="213" spans="3:62" x14ac:dyDescent="0.3">
      <c r="D213">
        <v>2980</v>
      </c>
      <c r="E213" t="s">
        <v>275</v>
      </c>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80">
        <f t="shared" si="43"/>
        <v>0</v>
      </c>
      <c r="BH213" s="80">
        <f t="shared" si="44"/>
        <v>0</v>
      </c>
      <c r="BI213" s="80">
        <f t="shared" si="45"/>
        <v>0</v>
      </c>
      <c r="BJ213" s="80">
        <f t="shared" si="46"/>
        <v>0</v>
      </c>
    </row>
    <row r="214" spans="3:62" x14ac:dyDescent="0.3">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2" x14ac:dyDescent="0.3">
      <c r="C215" s="83">
        <v>299</v>
      </c>
      <c r="D215" s="83"/>
      <c r="E215" s="83" t="s">
        <v>453</v>
      </c>
      <c r="F215" s="84">
        <f>F216+F217</f>
        <v>0</v>
      </c>
      <c r="G215" s="84">
        <f t="shared" ref="G215:BF215" si="51">G216+G217</f>
        <v>0</v>
      </c>
      <c r="H215" s="84">
        <f t="shared" si="51"/>
        <v>0</v>
      </c>
      <c r="I215" s="84">
        <f t="shared" si="51"/>
        <v>0</v>
      </c>
      <c r="J215" s="84">
        <f t="shared" si="51"/>
        <v>0</v>
      </c>
      <c r="K215" s="84">
        <f t="shared" si="51"/>
        <v>0</v>
      </c>
      <c r="L215" s="84">
        <f t="shared" si="51"/>
        <v>0</v>
      </c>
      <c r="M215" s="84">
        <f t="shared" si="51"/>
        <v>0</v>
      </c>
      <c r="N215" s="84">
        <f t="shared" si="51"/>
        <v>0</v>
      </c>
      <c r="O215" s="84">
        <f t="shared" si="51"/>
        <v>0</v>
      </c>
      <c r="P215" s="84">
        <f t="shared" si="51"/>
        <v>0</v>
      </c>
      <c r="Q215" s="84">
        <f t="shared" si="51"/>
        <v>0</v>
      </c>
      <c r="R215" s="84">
        <f t="shared" si="51"/>
        <v>0</v>
      </c>
      <c r="S215" s="84">
        <f t="shared" si="51"/>
        <v>0</v>
      </c>
      <c r="T215" s="200">
        <f t="shared" si="51"/>
        <v>0</v>
      </c>
      <c r="U215" s="84">
        <f t="shared" si="51"/>
        <v>0</v>
      </c>
      <c r="V215" s="84">
        <f t="shared" si="51"/>
        <v>0</v>
      </c>
      <c r="W215" s="84">
        <f t="shared" si="51"/>
        <v>0</v>
      </c>
      <c r="X215" s="84">
        <f t="shared" si="51"/>
        <v>0</v>
      </c>
      <c r="Y215" s="84">
        <f t="shared" si="51"/>
        <v>0</v>
      </c>
      <c r="Z215" s="84">
        <f t="shared" si="51"/>
        <v>0</v>
      </c>
      <c r="AA215" s="84">
        <f t="shared" si="51"/>
        <v>0</v>
      </c>
      <c r="AB215" s="84">
        <f t="shared" si="51"/>
        <v>0</v>
      </c>
      <c r="AC215" s="84">
        <f t="shared" si="51"/>
        <v>0</v>
      </c>
      <c r="AD215" s="84">
        <f t="shared" si="51"/>
        <v>0</v>
      </c>
      <c r="AE215" s="84">
        <f t="shared" si="51"/>
        <v>0</v>
      </c>
      <c r="AF215" s="84">
        <f t="shared" si="51"/>
        <v>0</v>
      </c>
      <c r="AG215" s="84">
        <f t="shared" si="51"/>
        <v>0</v>
      </c>
      <c r="AH215" s="84">
        <f t="shared" si="51"/>
        <v>0</v>
      </c>
      <c r="AI215" s="84">
        <f t="shared" si="51"/>
        <v>0</v>
      </c>
      <c r="AJ215" s="84">
        <f t="shared" si="51"/>
        <v>0</v>
      </c>
      <c r="AK215" s="84">
        <f t="shared" si="51"/>
        <v>0</v>
      </c>
      <c r="AL215" s="84">
        <f t="shared" si="51"/>
        <v>0</v>
      </c>
      <c r="AM215" s="84">
        <f t="shared" si="51"/>
        <v>0</v>
      </c>
      <c r="AN215" s="84">
        <f t="shared" si="51"/>
        <v>0</v>
      </c>
      <c r="AO215" s="84">
        <f t="shared" si="51"/>
        <v>0</v>
      </c>
      <c r="AP215" s="84">
        <f t="shared" si="51"/>
        <v>0</v>
      </c>
      <c r="AQ215" s="84">
        <f t="shared" si="51"/>
        <v>0</v>
      </c>
      <c r="AR215" s="84">
        <f t="shared" si="51"/>
        <v>0</v>
      </c>
      <c r="AS215" s="84">
        <f t="shared" si="51"/>
        <v>0</v>
      </c>
      <c r="AT215" s="84">
        <f t="shared" si="51"/>
        <v>0</v>
      </c>
      <c r="AU215" s="84">
        <f t="shared" si="51"/>
        <v>0</v>
      </c>
      <c r="AV215" s="84">
        <f t="shared" si="51"/>
        <v>0</v>
      </c>
      <c r="AW215" s="84">
        <f t="shared" si="51"/>
        <v>0</v>
      </c>
      <c r="AX215" s="84">
        <f t="shared" si="51"/>
        <v>0</v>
      </c>
      <c r="AY215" s="84">
        <f t="shared" si="51"/>
        <v>0</v>
      </c>
      <c r="AZ215" s="84">
        <f t="shared" si="51"/>
        <v>0</v>
      </c>
      <c r="BA215" s="84">
        <f t="shared" si="51"/>
        <v>0</v>
      </c>
      <c r="BB215" s="84">
        <f t="shared" si="51"/>
        <v>0</v>
      </c>
      <c r="BC215" s="84">
        <f t="shared" si="51"/>
        <v>0</v>
      </c>
      <c r="BD215" s="84">
        <f t="shared" si="51"/>
        <v>0</v>
      </c>
      <c r="BE215" s="84">
        <f t="shared" si="51"/>
        <v>0</v>
      </c>
      <c r="BF215" s="84">
        <f t="shared" si="51"/>
        <v>0</v>
      </c>
      <c r="BG215" s="84">
        <f t="shared" si="43"/>
        <v>0</v>
      </c>
      <c r="BH215" s="84">
        <f t="shared" si="44"/>
        <v>0</v>
      </c>
      <c r="BI215" s="84">
        <f t="shared" si="45"/>
        <v>0</v>
      </c>
      <c r="BJ215" s="84">
        <f t="shared" si="46"/>
        <v>0</v>
      </c>
    </row>
    <row r="216" spans="3:62" x14ac:dyDescent="0.3">
      <c r="D216">
        <v>2990</v>
      </c>
      <c r="E216" t="s">
        <v>453</v>
      </c>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80">
        <f t="shared" si="43"/>
        <v>0</v>
      </c>
      <c r="BH216" s="80">
        <f t="shared" si="44"/>
        <v>0</v>
      </c>
      <c r="BI216" s="80">
        <f t="shared" si="45"/>
        <v>0</v>
      </c>
      <c r="BJ216" s="80">
        <f t="shared" si="46"/>
        <v>0</v>
      </c>
    </row>
    <row r="217" spans="3:62" x14ac:dyDescent="0.3">
      <c r="D217">
        <v>2999</v>
      </c>
      <c r="E217" t="s">
        <v>595</v>
      </c>
      <c r="F217" s="4"/>
      <c r="G217" s="4"/>
      <c r="H217" s="4"/>
      <c r="I217" s="4"/>
      <c r="J217" s="4"/>
      <c r="K217" s="4"/>
      <c r="L217" s="4"/>
      <c r="M217" s="4"/>
      <c r="N217" s="4"/>
      <c r="O217" s="4"/>
      <c r="P217" s="153"/>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80">
        <f t="shared" si="43"/>
        <v>0</v>
      </c>
      <c r="BH217" s="80">
        <f t="shared" si="44"/>
        <v>0</v>
      </c>
      <c r="BI217" s="80">
        <f t="shared" si="45"/>
        <v>0</v>
      </c>
      <c r="BJ217" s="80">
        <f t="shared" si="46"/>
        <v>0</v>
      </c>
    </row>
    <row r="218" spans="3:62" x14ac:dyDescent="0.3">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2" x14ac:dyDescent="0.3">
      <c r="C219" s="160"/>
      <c r="D219" s="160"/>
      <c r="E219" s="160" t="s">
        <v>600</v>
      </c>
    </row>
    <row r="220" spans="3:62" x14ac:dyDescent="0.3">
      <c r="D220">
        <v>290</v>
      </c>
      <c r="E220" t="s">
        <v>599</v>
      </c>
      <c r="F220" s="4">
        <f>'Bourgeoisies Comptes 2020'!E155</f>
        <v>0</v>
      </c>
      <c r="G220" s="4">
        <f>'Bourgeoisies Comptes 2020'!F155</f>
        <v>0</v>
      </c>
      <c r="H220" s="4">
        <f>'Bourgeoisies Comptes 2020'!G155</f>
        <v>0</v>
      </c>
      <c r="I220" s="4">
        <f>'Bourgeoisies Comptes 2020'!H155</f>
        <v>0</v>
      </c>
      <c r="J220" s="4">
        <f>'Bourgeoisies Comptes 2020'!I155</f>
        <v>0</v>
      </c>
      <c r="K220" s="4">
        <f>'Bourgeoisies Comptes 2020'!J155</f>
        <v>0</v>
      </c>
      <c r="L220" s="4">
        <f>'Bourgeoisies Comptes 2020'!K155</f>
        <v>0</v>
      </c>
      <c r="M220" s="4">
        <f>'Bourgeoisies Comptes 2020'!L155</f>
        <v>0</v>
      </c>
      <c r="N220" s="4">
        <f>'Bourgeoisies Comptes 2020'!M155</f>
        <v>0</v>
      </c>
      <c r="O220" s="4">
        <f>'Bourgeoisies Comptes 2020'!N155</f>
        <v>0</v>
      </c>
      <c r="P220" s="4">
        <f>'Bourgeoisies Comptes 2020'!O155</f>
        <v>0</v>
      </c>
      <c r="Q220" s="4">
        <f>'Bourgeoisies Comptes 2020'!P155</f>
        <v>0</v>
      </c>
      <c r="R220" s="4">
        <f>'Bourgeoisies Comptes 2020'!Q155</f>
        <v>0</v>
      </c>
      <c r="S220" s="4" t="e">
        <f>'Bourgeoisies Comptes 2020'!#REF!</f>
        <v>#REF!</v>
      </c>
      <c r="T220" s="4" t="e">
        <f>'Bourgeoisies Comptes 2020'!#REF!</f>
        <v>#REF!</v>
      </c>
      <c r="U220" s="4" t="e">
        <f>'Bourgeoisies Comptes 2020'!#REF!</f>
        <v>#REF!</v>
      </c>
      <c r="V220" s="4" t="e">
        <f>'Bourgeoisies Comptes 2020'!#REF!</f>
        <v>#REF!</v>
      </c>
      <c r="W220" s="4" t="e">
        <f>'Bourgeoisies Comptes 2020'!#REF!</f>
        <v>#REF!</v>
      </c>
      <c r="X220" s="4" t="e">
        <f>'Bourgeoisies Comptes 2020'!#REF!</f>
        <v>#REF!</v>
      </c>
      <c r="Y220" s="4" t="e">
        <f>'Bourgeoisies Comptes 2020'!#REF!</f>
        <v>#REF!</v>
      </c>
      <c r="Z220" s="4" t="e">
        <f>'Bourgeoisies Comptes 2020'!#REF!</f>
        <v>#REF!</v>
      </c>
      <c r="AA220" s="4" t="e">
        <f>'Bourgeoisies Comptes 2020'!#REF!</f>
        <v>#REF!</v>
      </c>
      <c r="AB220" s="4" t="e">
        <f>'Bourgeoisies Comptes 2020'!#REF!</f>
        <v>#REF!</v>
      </c>
      <c r="AC220" s="4" t="e">
        <f>'Bourgeoisies Comptes 2020'!#REF!</f>
        <v>#REF!</v>
      </c>
      <c r="AD220" s="4" t="e">
        <f>'Bourgeoisies Comptes 2020'!#REF!</f>
        <v>#REF!</v>
      </c>
      <c r="AE220" s="4" t="e">
        <f>'Bourgeoisies Comptes 2020'!#REF!</f>
        <v>#REF!</v>
      </c>
      <c r="AF220" s="4" t="e">
        <f>'Bourgeoisies Comptes 2020'!#REF!</f>
        <v>#REF!</v>
      </c>
      <c r="AG220" s="4" t="e">
        <f>'Bourgeoisies Comptes 2020'!#REF!</f>
        <v>#REF!</v>
      </c>
      <c r="AH220" s="4" t="e">
        <f>'Bourgeoisies Comptes 2020'!#REF!</f>
        <v>#REF!</v>
      </c>
      <c r="AI220" s="4" t="e">
        <f>'Bourgeoisies Comptes 2020'!#REF!</f>
        <v>#REF!</v>
      </c>
      <c r="AJ220" s="4" t="e">
        <f>'Bourgeoisies Comptes 2020'!#REF!</f>
        <v>#REF!</v>
      </c>
      <c r="AK220" s="4" t="e">
        <f>'Bourgeoisies Comptes 2020'!#REF!</f>
        <v>#REF!</v>
      </c>
      <c r="AL220" s="4" t="e">
        <f>'Bourgeoisies Comptes 2020'!#REF!</f>
        <v>#REF!</v>
      </c>
      <c r="AM220" s="4" t="e">
        <f>'Bourgeoisies Comptes 2020'!#REF!</f>
        <v>#REF!</v>
      </c>
      <c r="AN220" s="4" t="e">
        <f>'Bourgeoisies Comptes 2020'!#REF!</f>
        <v>#REF!</v>
      </c>
      <c r="AO220" s="4" t="e">
        <f>'Bourgeoisies Comptes 2020'!#REF!</f>
        <v>#REF!</v>
      </c>
      <c r="AP220" s="4" t="e">
        <f>'Bourgeoisies Comptes 2020'!#REF!</f>
        <v>#REF!</v>
      </c>
      <c r="AQ220" s="4" t="e">
        <f>'Bourgeoisies Comptes 2020'!#REF!</f>
        <v>#REF!</v>
      </c>
      <c r="AR220" s="4" t="e">
        <f>'Bourgeoisies Comptes 2020'!#REF!</f>
        <v>#REF!</v>
      </c>
      <c r="AS220" s="4" t="e">
        <f>'Bourgeoisies Comptes 2020'!#REF!</f>
        <v>#REF!</v>
      </c>
      <c r="AT220" s="4" t="e">
        <f>'Bourgeoisies Comptes 2020'!#REF!</f>
        <v>#REF!</v>
      </c>
      <c r="AU220" s="4" t="e">
        <f>'Bourgeoisies Comptes 2020'!#REF!</f>
        <v>#REF!</v>
      </c>
      <c r="AV220" s="4" t="e">
        <f>'Bourgeoisies Comptes 2020'!#REF!</f>
        <v>#REF!</v>
      </c>
      <c r="AW220" s="4" t="e">
        <f>'Bourgeoisies Comptes 2020'!#REF!</f>
        <v>#REF!</v>
      </c>
      <c r="AX220" s="4" t="e">
        <f>'Bourgeoisies Comptes 2020'!#REF!</f>
        <v>#REF!</v>
      </c>
      <c r="AY220" s="4" t="e">
        <f>'Bourgeoisies Comptes 2020'!#REF!</f>
        <v>#REF!</v>
      </c>
      <c r="AZ220" s="4" t="e">
        <f>'Bourgeoisies Comptes 2020'!#REF!</f>
        <v>#REF!</v>
      </c>
      <c r="BA220" s="4" t="e">
        <f>'Bourgeoisies Comptes 2020'!#REF!</f>
        <v>#REF!</v>
      </c>
      <c r="BB220" s="4" t="e">
        <f>'Bourgeoisies Comptes 2020'!#REF!</f>
        <v>#REF!</v>
      </c>
      <c r="BC220" s="4" t="e">
        <f>'Bourgeoisies Comptes 2020'!#REF!</f>
        <v>#REF!</v>
      </c>
      <c r="BD220" s="4" t="e">
        <f>'Bourgeoisies Comptes 2020'!#REF!</f>
        <v>#REF!</v>
      </c>
      <c r="BE220" s="4" t="e">
        <f>'Bourgeoisies Comptes 2020'!#REF!</f>
        <v>#REF!</v>
      </c>
      <c r="BF220" s="4" t="e">
        <f>'Bourgeoisies Comptes 2020'!#REF!</f>
        <v>#REF!</v>
      </c>
      <c r="BG220" s="4">
        <f>'Bourgeoisies Comptes 2020'!R155</f>
        <v>0</v>
      </c>
      <c r="BH220" s="4" t="e">
        <f>'Bourgeoisies Comptes 2020'!#REF!</f>
        <v>#REF!</v>
      </c>
      <c r="BI220" s="4" t="e">
        <f>'Bourgeoisies Comptes 2020'!#REF!</f>
        <v>#REF!</v>
      </c>
      <c r="BJ220" s="4" t="e">
        <f>'Bourgeoisies Comptes 2020'!#REF!</f>
        <v>#REF!</v>
      </c>
    </row>
    <row r="221" spans="3:62" x14ac:dyDescent="0.3">
      <c r="D221">
        <v>2990</v>
      </c>
      <c r="E221" t="s">
        <v>603</v>
      </c>
      <c r="F221" s="4">
        <f>F216</f>
        <v>0</v>
      </c>
      <c r="G221" s="4">
        <f t="shared" ref="G221:BJ221" si="52">G216</f>
        <v>0</v>
      </c>
      <c r="H221" s="4">
        <f t="shared" si="52"/>
        <v>0</v>
      </c>
      <c r="I221" s="4">
        <f t="shared" si="52"/>
        <v>0</v>
      </c>
      <c r="J221" s="4">
        <f t="shared" si="52"/>
        <v>0</v>
      </c>
      <c r="K221" s="4">
        <f t="shared" si="52"/>
        <v>0</v>
      </c>
      <c r="L221" s="4">
        <f t="shared" si="52"/>
        <v>0</v>
      </c>
      <c r="M221" s="4">
        <f t="shared" si="52"/>
        <v>0</v>
      </c>
      <c r="N221" s="4">
        <f t="shared" si="52"/>
        <v>0</v>
      </c>
      <c r="O221" s="4">
        <f t="shared" si="52"/>
        <v>0</v>
      </c>
      <c r="P221" s="4">
        <f t="shared" si="52"/>
        <v>0</v>
      </c>
      <c r="Q221" s="4">
        <f t="shared" si="52"/>
        <v>0</v>
      </c>
      <c r="R221" s="4">
        <f t="shared" si="52"/>
        <v>0</v>
      </c>
      <c r="S221" s="4">
        <f t="shared" si="52"/>
        <v>0</v>
      </c>
      <c r="T221" s="4">
        <f t="shared" si="52"/>
        <v>0</v>
      </c>
      <c r="U221" s="4">
        <f t="shared" si="52"/>
        <v>0</v>
      </c>
      <c r="V221" s="4">
        <f t="shared" si="52"/>
        <v>0</v>
      </c>
      <c r="W221" s="4">
        <f t="shared" si="52"/>
        <v>0</v>
      </c>
      <c r="X221" s="4">
        <f t="shared" si="52"/>
        <v>0</v>
      </c>
      <c r="Y221" s="4">
        <f t="shared" si="52"/>
        <v>0</v>
      </c>
      <c r="Z221" s="4">
        <f t="shared" si="52"/>
        <v>0</v>
      </c>
      <c r="AA221" s="4">
        <f t="shared" si="52"/>
        <v>0</v>
      </c>
      <c r="AB221" s="4">
        <f t="shared" si="52"/>
        <v>0</v>
      </c>
      <c r="AC221" s="4">
        <f t="shared" si="52"/>
        <v>0</v>
      </c>
      <c r="AD221" s="4">
        <f t="shared" si="52"/>
        <v>0</v>
      </c>
      <c r="AE221" s="4">
        <f t="shared" si="52"/>
        <v>0</v>
      </c>
      <c r="AF221" s="4">
        <f t="shared" si="52"/>
        <v>0</v>
      </c>
      <c r="AG221" s="4">
        <f t="shared" si="52"/>
        <v>0</v>
      </c>
      <c r="AH221" s="4">
        <f t="shared" si="52"/>
        <v>0</v>
      </c>
      <c r="AI221" s="4">
        <f t="shared" si="52"/>
        <v>0</v>
      </c>
      <c r="AJ221" s="4">
        <f t="shared" si="52"/>
        <v>0</v>
      </c>
      <c r="AK221" s="4">
        <f t="shared" si="52"/>
        <v>0</v>
      </c>
      <c r="AL221" s="4">
        <f t="shared" si="52"/>
        <v>0</v>
      </c>
      <c r="AM221" s="4">
        <f t="shared" si="52"/>
        <v>0</v>
      </c>
      <c r="AN221" s="4">
        <f t="shared" si="52"/>
        <v>0</v>
      </c>
      <c r="AO221" s="4">
        <f t="shared" si="52"/>
        <v>0</v>
      </c>
      <c r="AP221" s="4">
        <f t="shared" si="52"/>
        <v>0</v>
      </c>
      <c r="AQ221" s="4">
        <f t="shared" si="52"/>
        <v>0</v>
      </c>
      <c r="AR221" s="4">
        <f t="shared" si="52"/>
        <v>0</v>
      </c>
      <c r="AS221" s="4">
        <f t="shared" si="52"/>
        <v>0</v>
      </c>
      <c r="AT221" s="4">
        <f t="shared" si="52"/>
        <v>0</v>
      </c>
      <c r="AU221" s="4">
        <f t="shared" si="52"/>
        <v>0</v>
      </c>
      <c r="AV221" s="4">
        <f t="shared" si="52"/>
        <v>0</v>
      </c>
      <c r="AW221" s="4">
        <f t="shared" si="52"/>
        <v>0</v>
      </c>
      <c r="AX221" s="4">
        <f t="shared" si="52"/>
        <v>0</v>
      </c>
      <c r="AY221" s="4">
        <f t="shared" si="52"/>
        <v>0</v>
      </c>
      <c r="AZ221" s="4">
        <f t="shared" si="52"/>
        <v>0</v>
      </c>
      <c r="BA221" s="4">
        <f t="shared" si="52"/>
        <v>0</v>
      </c>
      <c r="BB221" s="4">
        <f t="shared" si="52"/>
        <v>0</v>
      </c>
      <c r="BC221" s="4">
        <f t="shared" si="52"/>
        <v>0</v>
      </c>
      <c r="BD221" s="4">
        <f t="shared" si="52"/>
        <v>0</v>
      </c>
      <c r="BE221" s="4">
        <f t="shared" si="52"/>
        <v>0</v>
      </c>
      <c r="BF221" s="4">
        <f t="shared" si="52"/>
        <v>0</v>
      </c>
      <c r="BG221" s="4">
        <f t="shared" si="52"/>
        <v>0</v>
      </c>
      <c r="BH221" s="4">
        <f t="shared" si="52"/>
        <v>0</v>
      </c>
      <c r="BI221" s="4">
        <f t="shared" si="52"/>
        <v>0</v>
      </c>
      <c r="BJ221" s="4">
        <f t="shared" si="52"/>
        <v>0</v>
      </c>
    </row>
    <row r="223" spans="3:62" x14ac:dyDescent="0.3">
      <c r="E223" s="7" t="s">
        <v>602</v>
      </c>
      <c r="F223" s="41">
        <f>F220+F221</f>
        <v>0</v>
      </c>
      <c r="G223" s="41">
        <f t="shared" ref="G223:BJ223" si="53">G220+G221</f>
        <v>0</v>
      </c>
      <c r="H223" s="41">
        <f t="shared" si="53"/>
        <v>0</v>
      </c>
      <c r="I223" s="41">
        <f t="shared" si="53"/>
        <v>0</v>
      </c>
      <c r="J223" s="41">
        <f t="shared" si="53"/>
        <v>0</v>
      </c>
      <c r="K223" s="41">
        <f t="shared" si="53"/>
        <v>0</v>
      </c>
      <c r="L223" s="41">
        <f t="shared" si="53"/>
        <v>0</v>
      </c>
      <c r="M223" s="41">
        <f t="shared" si="53"/>
        <v>0</v>
      </c>
      <c r="N223" s="41">
        <f t="shared" si="53"/>
        <v>0</v>
      </c>
      <c r="O223" s="41">
        <f t="shared" si="53"/>
        <v>0</v>
      </c>
      <c r="P223" s="41">
        <f t="shared" si="53"/>
        <v>0</v>
      </c>
      <c r="Q223" s="41">
        <f t="shared" si="53"/>
        <v>0</v>
      </c>
      <c r="R223" s="41">
        <f t="shared" si="53"/>
        <v>0</v>
      </c>
      <c r="S223" s="41" t="e">
        <f t="shared" si="53"/>
        <v>#REF!</v>
      </c>
      <c r="T223" s="41" t="e">
        <f t="shared" si="53"/>
        <v>#REF!</v>
      </c>
      <c r="U223" s="41" t="e">
        <f t="shared" si="53"/>
        <v>#REF!</v>
      </c>
      <c r="V223" s="41" t="e">
        <f t="shared" si="53"/>
        <v>#REF!</v>
      </c>
      <c r="W223" s="41" t="e">
        <f t="shared" si="53"/>
        <v>#REF!</v>
      </c>
      <c r="X223" s="41" t="e">
        <f t="shared" si="53"/>
        <v>#REF!</v>
      </c>
      <c r="Y223" s="41" t="e">
        <f t="shared" si="53"/>
        <v>#REF!</v>
      </c>
      <c r="Z223" s="41" t="e">
        <f t="shared" si="53"/>
        <v>#REF!</v>
      </c>
      <c r="AA223" s="41" t="e">
        <f t="shared" si="53"/>
        <v>#REF!</v>
      </c>
      <c r="AB223" s="41" t="e">
        <f t="shared" si="53"/>
        <v>#REF!</v>
      </c>
      <c r="AC223" s="41" t="e">
        <f t="shared" si="53"/>
        <v>#REF!</v>
      </c>
      <c r="AD223" s="41" t="e">
        <f t="shared" si="53"/>
        <v>#REF!</v>
      </c>
      <c r="AE223" s="41" t="e">
        <f t="shared" si="53"/>
        <v>#REF!</v>
      </c>
      <c r="AF223" s="41" t="e">
        <f t="shared" si="53"/>
        <v>#REF!</v>
      </c>
      <c r="AG223" s="41" t="e">
        <f t="shared" si="53"/>
        <v>#REF!</v>
      </c>
      <c r="AH223" s="41" t="e">
        <f t="shared" si="53"/>
        <v>#REF!</v>
      </c>
      <c r="AI223" s="41" t="e">
        <f t="shared" si="53"/>
        <v>#REF!</v>
      </c>
      <c r="AJ223" s="41" t="e">
        <f t="shared" si="53"/>
        <v>#REF!</v>
      </c>
      <c r="AK223" s="41" t="e">
        <f t="shared" si="53"/>
        <v>#REF!</v>
      </c>
      <c r="AL223" s="41" t="e">
        <f t="shared" si="53"/>
        <v>#REF!</v>
      </c>
      <c r="AM223" s="41" t="e">
        <f t="shared" si="53"/>
        <v>#REF!</v>
      </c>
      <c r="AN223" s="41" t="e">
        <f t="shared" si="53"/>
        <v>#REF!</v>
      </c>
      <c r="AO223" s="41" t="e">
        <f t="shared" si="53"/>
        <v>#REF!</v>
      </c>
      <c r="AP223" s="41" t="e">
        <f t="shared" si="53"/>
        <v>#REF!</v>
      </c>
      <c r="AQ223" s="41" t="e">
        <f t="shared" si="53"/>
        <v>#REF!</v>
      </c>
      <c r="AR223" s="41" t="e">
        <f t="shared" si="53"/>
        <v>#REF!</v>
      </c>
      <c r="AS223" s="41" t="e">
        <f t="shared" si="53"/>
        <v>#REF!</v>
      </c>
      <c r="AT223" s="41" t="e">
        <f t="shared" si="53"/>
        <v>#REF!</v>
      </c>
      <c r="AU223" s="41" t="e">
        <f t="shared" si="53"/>
        <v>#REF!</v>
      </c>
      <c r="AV223" s="41" t="e">
        <f t="shared" si="53"/>
        <v>#REF!</v>
      </c>
      <c r="AW223" s="41" t="e">
        <f t="shared" si="53"/>
        <v>#REF!</v>
      </c>
      <c r="AX223" s="41" t="e">
        <f t="shared" si="53"/>
        <v>#REF!</v>
      </c>
      <c r="AY223" s="41" t="e">
        <f t="shared" si="53"/>
        <v>#REF!</v>
      </c>
      <c r="AZ223" s="41" t="e">
        <f t="shared" si="53"/>
        <v>#REF!</v>
      </c>
      <c r="BA223" s="41" t="e">
        <f t="shared" si="53"/>
        <v>#REF!</v>
      </c>
      <c r="BB223" s="41" t="e">
        <f t="shared" si="53"/>
        <v>#REF!</v>
      </c>
      <c r="BC223" s="41" t="e">
        <f t="shared" si="53"/>
        <v>#REF!</v>
      </c>
      <c r="BD223" s="41" t="e">
        <f t="shared" si="53"/>
        <v>#REF!</v>
      </c>
      <c r="BE223" s="41" t="e">
        <f t="shared" si="53"/>
        <v>#REF!</v>
      </c>
      <c r="BF223" s="41" t="e">
        <f t="shared" si="53"/>
        <v>#REF!</v>
      </c>
      <c r="BG223" s="41">
        <f t="shared" si="53"/>
        <v>0</v>
      </c>
      <c r="BH223" s="41" t="e">
        <f t="shared" si="53"/>
        <v>#REF!</v>
      </c>
      <c r="BI223" s="41" t="e">
        <f t="shared" si="53"/>
        <v>#REF!</v>
      </c>
      <c r="BJ223" s="41" t="e">
        <f t="shared" si="53"/>
        <v>#REF!</v>
      </c>
    </row>
    <row r="224" spans="3:62" x14ac:dyDescent="0.3">
      <c r="N224" s="4"/>
      <c r="BG224" s="4"/>
      <c r="BH224" s="4"/>
      <c r="BI224" s="4"/>
      <c r="BJ224" s="4"/>
    </row>
    <row r="225" spans="5:62" x14ac:dyDescent="0.3">
      <c r="E225" s="60" t="s">
        <v>601</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0</v>
      </c>
      <c r="U225" s="153">
        <f t="shared" si="54"/>
        <v>0</v>
      </c>
      <c r="V225" s="153">
        <f t="shared" si="54"/>
        <v>0</v>
      </c>
      <c r="W225" s="153">
        <f t="shared" si="54"/>
        <v>0</v>
      </c>
      <c r="X225" s="153">
        <f t="shared" si="54"/>
        <v>0</v>
      </c>
      <c r="Y225" s="153">
        <f t="shared" si="54"/>
        <v>0</v>
      </c>
      <c r="Z225" s="153">
        <f t="shared" si="54"/>
        <v>0</v>
      </c>
      <c r="AA225" s="153">
        <f t="shared" si="54"/>
        <v>0</v>
      </c>
      <c r="AB225" s="153">
        <f t="shared" si="54"/>
        <v>0</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0</v>
      </c>
      <c r="BH225" s="153">
        <f t="shared" si="54"/>
        <v>0</v>
      </c>
      <c r="BI225" s="153">
        <f t="shared" si="54"/>
        <v>0</v>
      </c>
      <c r="BJ225" s="153">
        <f t="shared" si="54"/>
        <v>0</v>
      </c>
    </row>
    <row r="226" spans="5:62" x14ac:dyDescent="0.3">
      <c r="T226">
        <f>T225/2</f>
        <v>0</v>
      </c>
    </row>
    <row r="227" spans="5:62" x14ac:dyDescent="0.3">
      <c r="AE227" s="4"/>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8"/>
  <sheetViews>
    <sheetView workbookViewId="0">
      <selection activeCell="F155" sqref="F155"/>
    </sheetView>
  </sheetViews>
  <sheetFormatPr baseColWidth="10" defaultRowHeight="14.4" x14ac:dyDescent="0.3"/>
  <cols>
    <col min="1" max="3" width="4.6640625" customWidth="1"/>
    <col min="4" max="4" width="9" customWidth="1"/>
    <col min="5" max="5" width="63.5546875" customWidth="1"/>
    <col min="6" max="6" width="22.6640625" customWidth="1"/>
  </cols>
  <sheetData>
    <row r="1" spans="1:6" ht="25.8" x14ac:dyDescent="0.5">
      <c r="A1" s="42" t="s">
        <v>759</v>
      </c>
      <c r="B1" s="7"/>
      <c r="C1" s="7"/>
      <c r="D1" s="7"/>
      <c r="E1" s="78"/>
    </row>
    <row r="3" spans="1:6" ht="15" thickBot="1" x14ac:dyDescent="0.35"/>
    <row r="4" spans="1:6" ht="15" thickBot="1" x14ac:dyDescent="0.35">
      <c r="A4" t="s">
        <v>651</v>
      </c>
      <c r="E4" s="174" t="s">
        <v>25</v>
      </c>
    </row>
    <row r="7" spans="1:6" ht="21" x14ac:dyDescent="0.4">
      <c r="A7" s="73">
        <v>1</v>
      </c>
      <c r="B7" s="73"/>
      <c r="C7" s="73"/>
      <c r="D7" s="73"/>
      <c r="E7" s="73" t="s">
        <v>246</v>
      </c>
      <c r="F7" s="175">
        <f>HLOOKUP($E$4,'5. Bilan'!$F$3:$BF$226,2,0)</f>
        <v>6103718.5500000007</v>
      </c>
    </row>
    <row r="8" spans="1:6" x14ac:dyDescent="0.3">
      <c r="A8" s="78"/>
      <c r="B8" s="74">
        <v>10</v>
      </c>
      <c r="C8" s="74"/>
      <c r="D8" s="74"/>
      <c r="E8" s="74" t="s">
        <v>247</v>
      </c>
      <c r="F8" s="75">
        <f>HLOOKUP($E$4,'5. Bilan'!$F$3:$BF$226,3,0)</f>
        <v>2569790.9000000004</v>
      </c>
    </row>
    <row r="9" spans="1:6" x14ac:dyDescent="0.3">
      <c r="A9" s="79"/>
      <c r="B9" s="79"/>
      <c r="C9" s="69">
        <v>100</v>
      </c>
      <c r="D9" s="69"/>
      <c r="E9" s="69" t="s">
        <v>248</v>
      </c>
      <c r="F9" s="176">
        <f>SUM(F10:F15)</f>
        <v>1011017.67</v>
      </c>
    </row>
    <row r="10" spans="1:6" x14ac:dyDescent="0.3">
      <c r="D10">
        <v>1000</v>
      </c>
      <c r="E10" t="s">
        <v>322</v>
      </c>
      <c r="F10" s="4">
        <f>HLOOKUP($E$4,'5. Bilan'!$F$3:$BF$226,5,0)</f>
        <v>1698.15</v>
      </c>
    </row>
    <row r="11" spans="1:6" x14ac:dyDescent="0.3">
      <c r="D11">
        <v>1001</v>
      </c>
      <c r="E11" t="s">
        <v>323</v>
      </c>
      <c r="F11" s="4">
        <f>HLOOKUP($E$4,'5. Bilan'!$F$3:$BF$226,6,0)</f>
        <v>74871.34</v>
      </c>
    </row>
    <row r="12" spans="1:6" x14ac:dyDescent="0.3">
      <c r="D12">
        <v>1002</v>
      </c>
      <c r="E12" t="s">
        <v>331</v>
      </c>
      <c r="F12" s="4">
        <f>HLOOKUP($E$4,'5. Bilan'!$F$3:$BF$226,7,0)</f>
        <v>934448.18</v>
      </c>
    </row>
    <row r="13" spans="1:6" x14ac:dyDescent="0.3">
      <c r="D13">
        <v>1003</v>
      </c>
      <c r="E13" t="s">
        <v>324</v>
      </c>
      <c r="F13" s="4">
        <f>HLOOKUP($E$4,'5. Bilan'!$F$3:$BF$226,8,0)</f>
        <v>0</v>
      </c>
    </row>
    <row r="14" spans="1:6" x14ac:dyDescent="0.3">
      <c r="D14">
        <v>1004</v>
      </c>
      <c r="E14" t="s">
        <v>325</v>
      </c>
      <c r="F14" s="4">
        <f>HLOOKUP($E$4,'5. Bilan'!$F$3:$BF$226,9,0)</f>
        <v>0</v>
      </c>
    </row>
    <row r="15" spans="1:6" x14ac:dyDescent="0.3">
      <c r="D15">
        <v>1009</v>
      </c>
      <c r="E15" t="s">
        <v>326</v>
      </c>
      <c r="F15" s="4">
        <f>HLOOKUP($E$4,'5. Bilan'!$F$3:$BF$226,10,0)</f>
        <v>0</v>
      </c>
    </row>
    <row r="16" spans="1:6" x14ac:dyDescent="0.3">
      <c r="F16" s="4"/>
    </row>
    <row r="17" spans="1:6" x14ac:dyDescent="0.3">
      <c r="A17" s="79"/>
      <c r="B17" s="79"/>
      <c r="C17" s="69">
        <v>101</v>
      </c>
      <c r="D17" s="69"/>
      <c r="E17" s="69" t="s">
        <v>249</v>
      </c>
      <c r="F17" s="70">
        <f>SUM(F18:F25)</f>
        <v>470341.2</v>
      </c>
    </row>
    <row r="18" spans="1:6" x14ac:dyDescent="0.3">
      <c r="D18">
        <v>1010</v>
      </c>
      <c r="E18" t="s">
        <v>327</v>
      </c>
      <c r="F18" s="4">
        <f>HLOOKUP($E$4,'5. Bilan'!$F$3:$BF$226,13,0)</f>
        <v>62083.64</v>
      </c>
    </row>
    <row r="19" spans="1:6" x14ac:dyDescent="0.3">
      <c r="D19">
        <v>1011</v>
      </c>
      <c r="E19" t="s">
        <v>408</v>
      </c>
      <c r="F19" s="4">
        <f>HLOOKUP($E$4,'5. Bilan'!$F$3:$BF$226,14,0)</f>
        <v>0</v>
      </c>
    </row>
    <row r="20" spans="1:6" x14ac:dyDescent="0.3">
      <c r="D20">
        <v>1012</v>
      </c>
      <c r="E20" t="s">
        <v>328</v>
      </c>
      <c r="F20" s="4">
        <f>HLOOKUP($E$4,'5. Bilan'!$F$3:$BF$226,15,0)</f>
        <v>408257.56</v>
      </c>
    </row>
    <row r="21" spans="1:6" x14ac:dyDescent="0.3">
      <c r="D21">
        <v>1013</v>
      </c>
      <c r="E21" t="s">
        <v>329</v>
      </c>
      <c r="F21" s="4">
        <f>HLOOKUP($E$4,'5. Bilan'!$F$3:$BF$226,16,0)</f>
        <v>0</v>
      </c>
    </row>
    <row r="22" spans="1:6" x14ac:dyDescent="0.3">
      <c r="D22">
        <v>1014</v>
      </c>
      <c r="E22" t="s">
        <v>330</v>
      </c>
      <c r="F22" s="4">
        <f>HLOOKUP($E$4,'5. Bilan'!$F$3:$BF$226,17,0)</f>
        <v>0</v>
      </c>
    </row>
    <row r="23" spans="1:6" x14ac:dyDescent="0.3">
      <c r="D23">
        <v>1015</v>
      </c>
      <c r="E23" t="s">
        <v>332</v>
      </c>
      <c r="F23" s="4">
        <f>HLOOKUP($E$4,'5. Bilan'!$F$3:$BF$226,18,0)</f>
        <v>0</v>
      </c>
    </row>
    <row r="24" spans="1:6" x14ac:dyDescent="0.3">
      <c r="D24">
        <v>1016</v>
      </c>
      <c r="E24" t="s">
        <v>333</v>
      </c>
      <c r="F24" s="4">
        <f>HLOOKUP($E$4,'5. Bilan'!$F$3:$BF$226,19,0)</f>
        <v>0</v>
      </c>
    </row>
    <row r="25" spans="1:6" x14ac:dyDescent="0.3">
      <c r="D25">
        <v>1019</v>
      </c>
      <c r="E25" t="s">
        <v>334</v>
      </c>
      <c r="F25" s="4">
        <f>HLOOKUP($E$4,'5. Bilan'!$F$3:$BF$226,20,0)</f>
        <v>0</v>
      </c>
    </row>
    <row r="26" spans="1:6" x14ac:dyDescent="0.3">
      <c r="F26" s="4"/>
    </row>
    <row r="27" spans="1:6" x14ac:dyDescent="0.3">
      <c r="C27" s="69">
        <v>102</v>
      </c>
      <c r="D27" s="69"/>
      <c r="E27" s="69" t="s">
        <v>250</v>
      </c>
      <c r="F27" s="70">
        <f>SUM(F28:F31)</f>
        <v>0</v>
      </c>
    </row>
    <row r="28" spans="1:6" x14ac:dyDescent="0.3">
      <c r="D28">
        <v>1020</v>
      </c>
      <c r="E28" t="s">
        <v>335</v>
      </c>
      <c r="F28" s="4">
        <f>HLOOKUP($E$4,'5. Bilan'!$F$3:$BF$226,23,0)</f>
        <v>0</v>
      </c>
    </row>
    <row r="29" spans="1:6" x14ac:dyDescent="0.3">
      <c r="D29">
        <v>1022</v>
      </c>
      <c r="E29" t="s">
        <v>336</v>
      </c>
      <c r="F29" s="4">
        <f>HLOOKUP($E$4,'5. Bilan'!$F$3:$BF$226,24,0)</f>
        <v>0</v>
      </c>
    </row>
    <row r="30" spans="1:6" x14ac:dyDescent="0.3">
      <c r="D30">
        <v>1023</v>
      </c>
      <c r="E30" t="s">
        <v>337</v>
      </c>
      <c r="F30" s="4">
        <f>HLOOKUP($E$4,'5. Bilan'!$F$3:$BF$226,25,0)</f>
        <v>0</v>
      </c>
    </row>
    <row r="31" spans="1:6" x14ac:dyDescent="0.3">
      <c r="D31">
        <v>1029</v>
      </c>
      <c r="E31" t="s">
        <v>338</v>
      </c>
      <c r="F31" s="4">
        <f>HLOOKUP($E$4,'5. Bilan'!$F$3:$BF$226,26,0)</f>
        <v>0</v>
      </c>
    </row>
    <row r="32" spans="1:6" x14ac:dyDescent="0.3">
      <c r="F32" s="4"/>
    </row>
    <row r="33" spans="3:6" x14ac:dyDescent="0.3">
      <c r="C33" s="69">
        <v>104</v>
      </c>
      <c r="D33" s="69"/>
      <c r="E33" s="69" t="s">
        <v>251</v>
      </c>
      <c r="F33" s="70">
        <f>SUM(F34:F41)</f>
        <v>193093.03</v>
      </c>
    </row>
    <row r="34" spans="3:6" x14ac:dyDescent="0.3">
      <c r="D34">
        <v>1040</v>
      </c>
      <c r="E34" t="s">
        <v>61</v>
      </c>
      <c r="F34" s="4">
        <f>HLOOKUP($E$4,'5. Bilan'!$F$3:$BF$226,29,0)</f>
        <v>0</v>
      </c>
    </row>
    <row r="35" spans="3:6" x14ac:dyDescent="0.3">
      <c r="D35">
        <v>1041</v>
      </c>
      <c r="E35" t="s">
        <v>339</v>
      </c>
      <c r="F35" s="4">
        <f>HLOOKUP($E$4,'5. Bilan'!$F$3:$BF$226,30,0)</f>
        <v>123455.05</v>
      </c>
    </row>
    <row r="36" spans="3:6" x14ac:dyDescent="0.3">
      <c r="D36">
        <v>1042</v>
      </c>
      <c r="E36" t="s">
        <v>340</v>
      </c>
      <c r="F36" s="4">
        <f>HLOOKUP($E$4,'5. Bilan'!$F$3:$BF$226,31,0)</f>
        <v>0</v>
      </c>
    </row>
    <row r="37" spans="3:6" x14ac:dyDescent="0.3">
      <c r="D37">
        <v>1043</v>
      </c>
      <c r="E37" t="s">
        <v>341</v>
      </c>
      <c r="F37" s="4">
        <f>HLOOKUP($E$4,'5. Bilan'!$F$3:$BF$226,32,0)</f>
        <v>69637.98</v>
      </c>
    </row>
    <row r="38" spans="3:6" x14ac:dyDescent="0.3">
      <c r="D38">
        <v>1044</v>
      </c>
      <c r="E38" t="s">
        <v>342</v>
      </c>
      <c r="F38" s="4">
        <f>HLOOKUP($E$4,'5. Bilan'!$F$3:$BF$226,33,0)</f>
        <v>0</v>
      </c>
    </row>
    <row r="39" spans="3:6" x14ac:dyDescent="0.3">
      <c r="D39">
        <v>1045</v>
      </c>
      <c r="E39" t="s">
        <v>343</v>
      </c>
      <c r="F39" s="4">
        <f>HLOOKUP($E$4,'5. Bilan'!$F$3:$BF$226,34,0)</f>
        <v>0</v>
      </c>
    </row>
    <row r="40" spans="3:6" x14ac:dyDescent="0.3">
      <c r="D40">
        <v>1046</v>
      </c>
      <c r="E40" t="s">
        <v>344</v>
      </c>
      <c r="F40" s="4">
        <f>HLOOKUP($E$4,'5. Bilan'!$F$3:$BF$226,35,0)</f>
        <v>0</v>
      </c>
    </row>
    <row r="41" spans="3:6" x14ac:dyDescent="0.3">
      <c r="D41">
        <v>1049</v>
      </c>
      <c r="E41" t="s">
        <v>345</v>
      </c>
      <c r="F41" s="4">
        <f>HLOOKUP($E$4,'5. Bilan'!$F$3:$BF$226,36,0)</f>
        <v>0</v>
      </c>
    </row>
    <row r="42" spans="3:6" x14ac:dyDescent="0.3">
      <c r="F42" s="4"/>
    </row>
    <row r="43" spans="3:6" x14ac:dyDescent="0.3">
      <c r="C43" s="69">
        <v>106</v>
      </c>
      <c r="D43" s="69"/>
      <c r="E43" s="69" t="s">
        <v>252</v>
      </c>
      <c r="F43" s="70">
        <f>SUM(F44:F48)</f>
        <v>0</v>
      </c>
    </row>
    <row r="44" spans="3:6" x14ac:dyDescent="0.3">
      <c r="D44">
        <v>1060</v>
      </c>
      <c r="E44" t="s">
        <v>346</v>
      </c>
      <c r="F44" s="4">
        <f>HLOOKUP($E$4,'5. Bilan'!$F$3:$BF$226,39,0)</f>
        <v>0</v>
      </c>
    </row>
    <row r="45" spans="3:6" x14ac:dyDescent="0.3">
      <c r="D45">
        <v>1061</v>
      </c>
      <c r="E45" t="s">
        <v>347</v>
      </c>
      <c r="F45" s="4">
        <f>HLOOKUP($E$4,'5. Bilan'!$F$3:$BF$226,40,0)</f>
        <v>0</v>
      </c>
    </row>
    <row r="46" spans="3:6" x14ac:dyDescent="0.3">
      <c r="D46">
        <v>1062</v>
      </c>
      <c r="E46" t="s">
        <v>348</v>
      </c>
      <c r="F46" s="4">
        <f>HLOOKUP($E$4,'5. Bilan'!$F$3:$BF$226,41,0)</f>
        <v>0</v>
      </c>
    </row>
    <row r="47" spans="3:6" x14ac:dyDescent="0.3">
      <c r="D47">
        <v>1063</v>
      </c>
      <c r="E47" t="s">
        <v>349</v>
      </c>
      <c r="F47" s="4">
        <f>HLOOKUP($E$4,'5. Bilan'!$F$3:$BF$226,42,0)</f>
        <v>0</v>
      </c>
    </row>
    <row r="48" spans="3:6" x14ac:dyDescent="0.3">
      <c r="D48">
        <v>1068</v>
      </c>
      <c r="E48" t="s">
        <v>350</v>
      </c>
      <c r="F48" s="4">
        <f>HLOOKUP($E$4,'5. Bilan'!$F$3:$BF$226,43,0)</f>
        <v>0</v>
      </c>
    </row>
    <row r="49" spans="3:6" x14ac:dyDescent="0.3">
      <c r="F49" s="4"/>
    </row>
    <row r="50" spans="3:6" x14ac:dyDescent="0.3">
      <c r="C50" s="69">
        <v>107</v>
      </c>
      <c r="D50" s="69"/>
      <c r="E50" s="69" t="s">
        <v>355</v>
      </c>
      <c r="F50" s="70">
        <f>SUM(F51:F54)</f>
        <v>4</v>
      </c>
    </row>
    <row r="51" spans="3:6" x14ac:dyDescent="0.3">
      <c r="D51">
        <v>1070</v>
      </c>
      <c r="E51" t="s">
        <v>351</v>
      </c>
      <c r="F51" s="4">
        <f>HLOOKUP($E$4,'5. Bilan'!$F$3:$BF$226,46,0)</f>
        <v>4</v>
      </c>
    </row>
    <row r="52" spans="3:6" x14ac:dyDescent="0.3">
      <c r="D52">
        <v>1071</v>
      </c>
      <c r="E52" t="s">
        <v>352</v>
      </c>
      <c r="F52" s="4">
        <f>HLOOKUP($E$4,'5. Bilan'!$F$3:$BF$226,47,0)</f>
        <v>0</v>
      </c>
    </row>
    <row r="53" spans="3:6" x14ac:dyDescent="0.3">
      <c r="D53">
        <v>1072</v>
      </c>
      <c r="E53" t="s">
        <v>353</v>
      </c>
      <c r="F53" s="4">
        <f>HLOOKUP($E$4,'5. Bilan'!$F$3:$BF$226,48,0)</f>
        <v>0</v>
      </c>
    </row>
    <row r="54" spans="3:6" x14ac:dyDescent="0.3">
      <c r="D54">
        <v>1079</v>
      </c>
      <c r="E54" t="s">
        <v>354</v>
      </c>
      <c r="F54" s="4">
        <f>HLOOKUP($E$4,'5. Bilan'!$F$3:$BF$226,49,0)</f>
        <v>0</v>
      </c>
    </row>
    <row r="55" spans="3:6" x14ac:dyDescent="0.3">
      <c r="F55" s="4"/>
    </row>
    <row r="56" spans="3:6" x14ac:dyDescent="0.3">
      <c r="C56" s="69">
        <v>108</v>
      </c>
      <c r="D56" s="69"/>
      <c r="E56" s="69" t="s">
        <v>253</v>
      </c>
      <c r="F56" s="70">
        <f>SUM(F57:F62)</f>
        <v>895335</v>
      </c>
    </row>
    <row r="57" spans="3:6" x14ac:dyDescent="0.3">
      <c r="D57">
        <v>1080</v>
      </c>
      <c r="E57" t="s">
        <v>356</v>
      </c>
      <c r="F57" s="4">
        <f>HLOOKUP($E$4,'5. Bilan'!$F$3:$BF$226,52,0)</f>
        <v>185335</v>
      </c>
    </row>
    <row r="58" spans="3:6" x14ac:dyDescent="0.3">
      <c r="D58">
        <v>1084</v>
      </c>
      <c r="E58" t="s">
        <v>357</v>
      </c>
      <c r="F58" s="4">
        <f>HLOOKUP($E$4,'5. Bilan'!$F$3:$BF$226,53,0)</f>
        <v>710000</v>
      </c>
    </row>
    <row r="59" spans="3:6" x14ac:dyDescent="0.3">
      <c r="D59">
        <v>1086</v>
      </c>
      <c r="E59" t="s">
        <v>358</v>
      </c>
      <c r="F59" s="4">
        <f>HLOOKUP($E$4,'5. Bilan'!$F$3:$BF$226,54,0)</f>
        <v>0</v>
      </c>
    </row>
    <row r="60" spans="3:6" x14ac:dyDescent="0.3">
      <c r="D60">
        <v>1087</v>
      </c>
      <c r="E60" t="s">
        <v>359</v>
      </c>
      <c r="F60" s="4">
        <f>HLOOKUP($E$4,'5. Bilan'!$F$3:$BF$226,55,0)</f>
        <v>0</v>
      </c>
    </row>
    <row r="61" spans="3:6" x14ac:dyDescent="0.3">
      <c r="D61">
        <v>1088</v>
      </c>
      <c r="E61" t="s">
        <v>360</v>
      </c>
      <c r="F61" s="4">
        <f>HLOOKUP($E$4,'5. Bilan'!$F$3:$BF$226,56,0)</f>
        <v>0</v>
      </c>
    </row>
    <row r="62" spans="3:6" x14ac:dyDescent="0.3">
      <c r="D62">
        <v>1089</v>
      </c>
      <c r="E62" t="s">
        <v>361</v>
      </c>
      <c r="F62" s="4">
        <f>HLOOKUP($E$4,'5. Bilan'!$F$3:$BF$226,57,0)</f>
        <v>0</v>
      </c>
    </row>
    <row r="63" spans="3:6" x14ac:dyDescent="0.3">
      <c r="F63" s="4"/>
    </row>
    <row r="64" spans="3:6" x14ac:dyDescent="0.3">
      <c r="C64" s="69">
        <v>109</v>
      </c>
      <c r="D64" s="69"/>
      <c r="E64" s="69" t="s">
        <v>362</v>
      </c>
      <c r="F64" s="70">
        <f>SUM(F65:F68)</f>
        <v>0</v>
      </c>
    </row>
    <row r="65" spans="2:6" x14ac:dyDescent="0.3">
      <c r="D65">
        <v>1090</v>
      </c>
      <c r="E65" t="s">
        <v>362</v>
      </c>
      <c r="F65" s="4">
        <f>HLOOKUP($E$4,'5. Bilan'!$F$3:$BF$226,60,0)</f>
        <v>0</v>
      </c>
    </row>
    <row r="66" spans="2:6" x14ac:dyDescent="0.3">
      <c r="D66">
        <v>1091</v>
      </c>
      <c r="E66" t="s">
        <v>363</v>
      </c>
      <c r="F66" s="4">
        <f>HLOOKUP($E$4,'5. Bilan'!$F$3:$BF$226,61,0)</f>
        <v>0</v>
      </c>
    </row>
    <row r="67" spans="2:6" x14ac:dyDescent="0.3">
      <c r="D67">
        <v>1092</v>
      </c>
      <c r="E67" t="s">
        <v>364</v>
      </c>
      <c r="F67" s="4">
        <f>HLOOKUP($E$4,'5. Bilan'!$F$3:$BF$226,62,0)</f>
        <v>0</v>
      </c>
    </row>
    <row r="68" spans="2:6" x14ac:dyDescent="0.3">
      <c r="D68">
        <v>1093</v>
      </c>
      <c r="E68" t="s">
        <v>365</v>
      </c>
      <c r="F68" s="4">
        <f>HLOOKUP($E$4,'5. Bilan'!$F$3:$BF$226,63,0)</f>
        <v>0</v>
      </c>
    </row>
    <row r="69" spans="2:6" x14ac:dyDescent="0.3">
      <c r="F69" s="4"/>
    </row>
    <row r="70" spans="2:6" x14ac:dyDescent="0.3">
      <c r="B70" s="76">
        <v>14</v>
      </c>
      <c r="C70" s="76"/>
      <c r="D70" s="76"/>
      <c r="E70" s="76" t="s">
        <v>254</v>
      </c>
      <c r="F70" s="77">
        <f>HLOOKUP($E$4,'5. Bilan'!$F$3:$BF$226,65,0)</f>
        <v>3533927.65</v>
      </c>
    </row>
    <row r="71" spans="2:6" x14ac:dyDescent="0.3">
      <c r="C71" s="69">
        <v>140</v>
      </c>
      <c r="D71" s="69"/>
      <c r="E71" s="69" t="s">
        <v>256</v>
      </c>
      <c r="F71" s="70">
        <f>SUM(F72:F80)</f>
        <v>3510208</v>
      </c>
    </row>
    <row r="72" spans="2:6" x14ac:dyDescent="0.3">
      <c r="D72">
        <v>1400</v>
      </c>
      <c r="E72" t="s">
        <v>366</v>
      </c>
      <c r="F72" s="4">
        <f>HLOOKUP($E$4,'5. Bilan'!$F$3:$BF$226,67,0)</f>
        <v>163195</v>
      </c>
    </row>
    <row r="73" spans="2:6" x14ac:dyDescent="0.3">
      <c r="D73">
        <v>1401</v>
      </c>
      <c r="E73" t="s">
        <v>367</v>
      </c>
      <c r="F73" s="4">
        <f>HLOOKUP($E$4,'5. Bilan'!$F$3:$BF$226,68,0)</f>
        <v>702000</v>
      </c>
    </row>
    <row r="74" spans="2:6" x14ac:dyDescent="0.3">
      <c r="D74">
        <v>1402</v>
      </c>
      <c r="E74" t="s">
        <v>368</v>
      </c>
      <c r="F74" s="4">
        <f>HLOOKUP($E$4,'5. Bilan'!$F$3:$BF$226,69,0)</f>
        <v>0</v>
      </c>
    </row>
    <row r="75" spans="2:6" x14ac:dyDescent="0.3">
      <c r="D75">
        <v>1403</v>
      </c>
      <c r="E75" t="s">
        <v>369</v>
      </c>
      <c r="F75" s="4">
        <f>HLOOKUP($E$4,'5. Bilan'!$F$3:$BF$226,70,0)</f>
        <v>254000</v>
      </c>
    </row>
    <row r="76" spans="2:6" x14ac:dyDescent="0.3">
      <c r="D76">
        <v>1404</v>
      </c>
      <c r="E76" t="s">
        <v>370</v>
      </c>
      <c r="F76" s="4">
        <f>HLOOKUP($E$4,'5. Bilan'!$F$3:$BF$226,71,0)</f>
        <v>1180000</v>
      </c>
    </row>
    <row r="77" spans="2:6" x14ac:dyDescent="0.3">
      <c r="D77">
        <v>1405</v>
      </c>
      <c r="E77" t="s">
        <v>371</v>
      </c>
      <c r="F77" s="4">
        <f>HLOOKUP($E$4,'5. Bilan'!$F$3:$BF$226,72,0)</f>
        <v>1211010</v>
      </c>
    </row>
    <row r="78" spans="2:6" x14ac:dyDescent="0.3">
      <c r="D78">
        <v>1406</v>
      </c>
      <c r="E78" t="s">
        <v>372</v>
      </c>
      <c r="F78" s="4">
        <f>HLOOKUP($E$4,'5. Bilan'!$F$3:$BF$226,73,0)</f>
        <v>3</v>
      </c>
    </row>
    <row r="79" spans="2:6" x14ac:dyDescent="0.3">
      <c r="D79">
        <v>1407</v>
      </c>
      <c r="E79" t="s">
        <v>373</v>
      </c>
      <c r="F79" s="4">
        <f>HLOOKUP($E$4,'5. Bilan'!$F$3:$BF$226,74,0)</f>
        <v>0</v>
      </c>
    </row>
    <row r="80" spans="2:6" x14ac:dyDescent="0.3">
      <c r="D80">
        <v>1409</v>
      </c>
      <c r="E80" t="s">
        <v>374</v>
      </c>
      <c r="F80" s="4">
        <f>HLOOKUP($E$4,'5. Bilan'!$F$3:$BF$226,75,0)</f>
        <v>0</v>
      </c>
    </row>
    <row r="81" spans="3:6" x14ac:dyDescent="0.3">
      <c r="F81" s="4"/>
    </row>
    <row r="82" spans="3:6" x14ac:dyDescent="0.3">
      <c r="C82" s="69">
        <v>142</v>
      </c>
      <c r="D82" s="69"/>
      <c r="E82" s="69" t="s">
        <v>594</v>
      </c>
      <c r="F82" s="70">
        <f>SUM(F83:F86)</f>
        <v>1219.6500000000001</v>
      </c>
    </row>
    <row r="83" spans="3:6" x14ac:dyDescent="0.3">
      <c r="D83" s="79">
        <v>1420</v>
      </c>
      <c r="E83" s="79" t="s">
        <v>375</v>
      </c>
      <c r="F83" s="4">
        <f>HLOOKUP($E$4,'5. Bilan'!$F$3:$BF$226,78,0)</f>
        <v>0</v>
      </c>
    </row>
    <row r="84" spans="3:6" x14ac:dyDescent="0.3">
      <c r="D84" s="79">
        <v>1421</v>
      </c>
      <c r="E84" s="79" t="s">
        <v>376</v>
      </c>
      <c r="F84" s="4">
        <f>HLOOKUP($E$4,'5. Bilan'!$F$3:$BF$226,79,0)</f>
        <v>0</v>
      </c>
    </row>
    <row r="85" spans="3:6" x14ac:dyDescent="0.3">
      <c r="D85" s="79">
        <v>1427</v>
      </c>
      <c r="E85" s="79" t="s">
        <v>593</v>
      </c>
      <c r="F85" s="4">
        <f>HLOOKUP($E$4,'5. Bilan'!$F$3:$BF$226,80,0)</f>
        <v>1219.6500000000001</v>
      </c>
    </row>
    <row r="86" spans="3:6" x14ac:dyDescent="0.3">
      <c r="D86" s="79">
        <v>1429</v>
      </c>
      <c r="E86" s="79" t="s">
        <v>476</v>
      </c>
      <c r="F86" s="4">
        <f>HLOOKUP($E$4,'5. Bilan'!$F$3:$BF$226,81,0)</f>
        <v>0</v>
      </c>
    </row>
    <row r="87" spans="3:6" x14ac:dyDescent="0.3">
      <c r="F87" s="4"/>
    </row>
    <row r="88" spans="3:6" x14ac:dyDescent="0.3">
      <c r="C88" s="69">
        <v>144</v>
      </c>
      <c r="D88" s="69"/>
      <c r="E88" s="69" t="s">
        <v>257</v>
      </c>
      <c r="F88" s="70">
        <f>SUM(F89:F97)</f>
        <v>22500</v>
      </c>
    </row>
    <row r="89" spans="3:6" x14ac:dyDescent="0.3">
      <c r="D89">
        <v>1440</v>
      </c>
      <c r="E89" t="s">
        <v>377</v>
      </c>
      <c r="F89" s="4">
        <f>HLOOKUP($E$4,'5. Bilan'!$F$3:$BF$226,84,0)</f>
        <v>0</v>
      </c>
    </row>
    <row r="90" spans="3:6" x14ac:dyDescent="0.3">
      <c r="D90">
        <v>1441</v>
      </c>
      <c r="E90" t="s">
        <v>379</v>
      </c>
      <c r="F90" s="4">
        <f>HLOOKUP($E$4,'5. Bilan'!$F$3:$BF$226,85,0)</f>
        <v>0</v>
      </c>
    </row>
    <row r="91" spans="3:6" x14ac:dyDescent="0.3">
      <c r="D91">
        <v>1442</v>
      </c>
      <c r="E91" t="s">
        <v>378</v>
      </c>
      <c r="F91" s="4">
        <f>HLOOKUP($E$4,'5. Bilan'!$F$3:$BF$226,86,0)</f>
        <v>22500</v>
      </c>
    </row>
    <row r="92" spans="3:6" x14ac:dyDescent="0.3">
      <c r="D92">
        <v>1443</v>
      </c>
      <c r="E92" t="s">
        <v>380</v>
      </c>
      <c r="F92" s="4">
        <f>HLOOKUP($E$4,'5. Bilan'!$F$3:$BF$226,87,0)</f>
        <v>0</v>
      </c>
    </row>
    <row r="93" spans="3:6" x14ac:dyDescent="0.3">
      <c r="D93">
        <v>1444</v>
      </c>
      <c r="E93" t="s">
        <v>381</v>
      </c>
      <c r="F93" s="4">
        <f>HLOOKUP($E$4,'5. Bilan'!$F$3:$BF$226,88,0)</f>
        <v>0</v>
      </c>
    </row>
    <row r="94" spans="3:6" x14ac:dyDescent="0.3">
      <c r="D94">
        <v>1445</v>
      </c>
      <c r="E94" t="s">
        <v>382</v>
      </c>
      <c r="F94" s="4">
        <f>HLOOKUP($E$4,'5. Bilan'!$F$3:$BF$226,89,0)</f>
        <v>0</v>
      </c>
    </row>
    <row r="95" spans="3:6" x14ac:dyDescent="0.3">
      <c r="D95">
        <v>1446</v>
      </c>
      <c r="E95" t="s">
        <v>383</v>
      </c>
      <c r="F95" s="4">
        <f>HLOOKUP($E$4,'5. Bilan'!$F$3:$BF$226,90,0)</f>
        <v>0</v>
      </c>
    </row>
    <row r="96" spans="3:6" x14ac:dyDescent="0.3">
      <c r="D96">
        <v>1447</v>
      </c>
      <c r="E96" t="s">
        <v>384</v>
      </c>
      <c r="F96" s="4">
        <f>HLOOKUP($E$4,'5. Bilan'!$F$3:$BF$226,91,0)</f>
        <v>0</v>
      </c>
    </row>
    <row r="97" spans="3:6" x14ac:dyDescent="0.3">
      <c r="D97">
        <v>1448</v>
      </c>
      <c r="E97" t="s">
        <v>385</v>
      </c>
      <c r="F97" s="4">
        <f>HLOOKUP($E$4,'5. Bilan'!$F$3:$BF$226,92,0)</f>
        <v>0</v>
      </c>
    </row>
    <row r="98" spans="3:6" x14ac:dyDescent="0.3">
      <c r="F98" s="4"/>
    </row>
    <row r="99" spans="3:6" x14ac:dyDescent="0.3">
      <c r="C99" s="69">
        <v>145</v>
      </c>
      <c r="D99" s="69"/>
      <c r="E99" s="69" t="s">
        <v>388</v>
      </c>
      <c r="F99" s="70">
        <f>SUM(F100:F108)</f>
        <v>0</v>
      </c>
    </row>
    <row r="100" spans="3:6" x14ac:dyDescent="0.3">
      <c r="D100">
        <v>1450</v>
      </c>
      <c r="E100" t="s">
        <v>387</v>
      </c>
      <c r="F100" s="4">
        <f>HLOOKUP($E$4,'5. Bilan'!$F$3:$BF$226,95,0)</f>
        <v>0</v>
      </c>
    </row>
    <row r="101" spans="3:6" x14ac:dyDescent="0.3">
      <c r="D101">
        <v>1451</v>
      </c>
      <c r="E101" t="s">
        <v>386</v>
      </c>
      <c r="F101" s="4">
        <f>HLOOKUP($E$4,'5. Bilan'!$F$3:$BF$226,96,0)</f>
        <v>0</v>
      </c>
    </row>
    <row r="102" spans="3:6" x14ac:dyDescent="0.3">
      <c r="D102">
        <v>1452</v>
      </c>
      <c r="E102" t="s">
        <v>389</v>
      </c>
      <c r="F102" s="4">
        <f>HLOOKUP($E$4,'5. Bilan'!$F$3:$BF$226,97,0)</f>
        <v>0</v>
      </c>
    </row>
    <row r="103" spans="3:6" x14ac:dyDescent="0.3">
      <c r="D103">
        <v>1453</v>
      </c>
      <c r="E103" t="s">
        <v>390</v>
      </c>
      <c r="F103" s="4">
        <f>HLOOKUP($E$4,'5. Bilan'!$F$3:$BF$226,98,0)</f>
        <v>0</v>
      </c>
    </row>
    <row r="104" spans="3:6" x14ac:dyDescent="0.3">
      <c r="D104">
        <v>1454</v>
      </c>
      <c r="E104" t="s">
        <v>391</v>
      </c>
      <c r="F104" s="4">
        <f>HLOOKUP($E$4,'5. Bilan'!$F$3:$BF$226,99,0)</f>
        <v>0</v>
      </c>
    </row>
    <row r="105" spans="3:6" x14ac:dyDescent="0.3">
      <c r="D105">
        <v>1455</v>
      </c>
      <c r="E105" t="s">
        <v>392</v>
      </c>
      <c r="F105" s="4">
        <f>HLOOKUP($E$4,'5. Bilan'!$F$3:$BF$226,100,0)</f>
        <v>0</v>
      </c>
    </row>
    <row r="106" spans="3:6" x14ac:dyDescent="0.3">
      <c r="D106">
        <v>1456</v>
      </c>
      <c r="E106" t="s">
        <v>393</v>
      </c>
      <c r="F106" s="4">
        <f>HLOOKUP($E$4,'5. Bilan'!$F$3:$BF$226,101,0)</f>
        <v>0</v>
      </c>
    </row>
    <row r="107" spans="3:6" x14ac:dyDescent="0.3">
      <c r="D107">
        <v>1457</v>
      </c>
      <c r="E107" t="s">
        <v>394</v>
      </c>
      <c r="F107" s="4">
        <f>HLOOKUP($E$4,'5. Bilan'!$F$3:$BF$226,102,0)</f>
        <v>0</v>
      </c>
    </row>
    <row r="108" spans="3:6" x14ac:dyDescent="0.3">
      <c r="D108">
        <v>1458</v>
      </c>
      <c r="E108" t="s">
        <v>395</v>
      </c>
      <c r="F108" s="4">
        <f>HLOOKUP($E$4,'5. Bilan'!$F$3:$BF$226,103,0)</f>
        <v>0</v>
      </c>
    </row>
    <row r="109" spans="3:6" x14ac:dyDescent="0.3">
      <c r="F109" s="4"/>
    </row>
    <row r="110" spans="3:6" x14ac:dyDescent="0.3">
      <c r="C110" s="69">
        <v>146</v>
      </c>
      <c r="D110" s="69"/>
      <c r="E110" s="69" t="s">
        <v>406</v>
      </c>
      <c r="F110" s="70">
        <f>SUM(F111:F120)</f>
        <v>0</v>
      </c>
    </row>
    <row r="111" spans="3:6" x14ac:dyDescent="0.3">
      <c r="D111">
        <v>1460</v>
      </c>
      <c r="E111" t="s">
        <v>403</v>
      </c>
      <c r="F111" s="4">
        <f>HLOOKUP($E$4,'5. Bilan'!$F$3:$BF$226,106,0)</f>
        <v>0</v>
      </c>
    </row>
    <row r="112" spans="3:6" x14ac:dyDescent="0.3">
      <c r="D112">
        <v>1461</v>
      </c>
      <c r="E112" t="s">
        <v>404</v>
      </c>
      <c r="F112" s="4">
        <f>HLOOKUP($E$4,'5. Bilan'!$F$3:$BF$226,107,0)</f>
        <v>0</v>
      </c>
    </row>
    <row r="113" spans="1:6" x14ac:dyDescent="0.3">
      <c r="D113">
        <v>1462</v>
      </c>
      <c r="E113" t="s">
        <v>396</v>
      </c>
      <c r="F113" s="4">
        <f>HLOOKUP($E$4,'5. Bilan'!$F$3:$BF$226,108,0)</f>
        <v>0</v>
      </c>
    </row>
    <row r="114" spans="1:6" x14ac:dyDescent="0.3">
      <c r="D114">
        <v>1463</v>
      </c>
      <c r="E114" t="s">
        <v>397</v>
      </c>
      <c r="F114" s="4">
        <f>HLOOKUP($E$4,'5. Bilan'!$F$3:$BF$226,109,0)</f>
        <v>0</v>
      </c>
    </row>
    <row r="115" spans="1:6" x14ac:dyDescent="0.3">
      <c r="D115">
        <v>1464</v>
      </c>
      <c r="E115" t="s">
        <v>398</v>
      </c>
      <c r="F115" s="4">
        <f>HLOOKUP($E$4,'5. Bilan'!$F$3:$BF$226,110,0)</f>
        <v>0</v>
      </c>
    </row>
    <row r="116" spans="1:6" x14ac:dyDescent="0.3">
      <c r="D116">
        <v>1465</v>
      </c>
      <c r="E116" t="s">
        <v>399</v>
      </c>
      <c r="F116" s="4">
        <f>HLOOKUP($E$4,'5. Bilan'!$F$3:$BF$226,111,0)</f>
        <v>0</v>
      </c>
    </row>
    <row r="117" spans="1:6" x14ac:dyDescent="0.3">
      <c r="D117">
        <v>1466</v>
      </c>
      <c r="E117" t="s">
        <v>405</v>
      </c>
      <c r="F117" s="4">
        <f>HLOOKUP($E$4,'5. Bilan'!$F$3:$BF$226,112,0)</f>
        <v>0</v>
      </c>
    </row>
    <row r="118" spans="1:6" x14ac:dyDescent="0.3">
      <c r="D118">
        <v>1467</v>
      </c>
      <c r="E118" t="s">
        <v>400</v>
      </c>
      <c r="F118" s="4">
        <f>HLOOKUP($E$4,'5. Bilan'!$F$3:$BF$226,113,0)</f>
        <v>0</v>
      </c>
    </row>
    <row r="119" spans="1:6" x14ac:dyDescent="0.3">
      <c r="D119">
        <v>1468</v>
      </c>
      <c r="E119" t="s">
        <v>401</v>
      </c>
      <c r="F119" s="4">
        <f>HLOOKUP($E$4,'5. Bilan'!$F$3:$BF$226,114,0)</f>
        <v>0</v>
      </c>
    </row>
    <row r="120" spans="1:6" x14ac:dyDescent="0.3">
      <c r="D120">
        <v>1469</v>
      </c>
      <c r="E120" t="s">
        <v>402</v>
      </c>
      <c r="F120" s="4">
        <f>HLOOKUP($E$4,'5. Bilan'!$F$3:$BF$226,115,0)</f>
        <v>0</v>
      </c>
    </row>
    <row r="121" spans="1:6" x14ac:dyDescent="0.3">
      <c r="F121" s="4"/>
    </row>
    <row r="122" spans="1:6" x14ac:dyDescent="0.3">
      <c r="F122" s="4"/>
    </row>
    <row r="123" spans="1:6" ht="21" x14ac:dyDescent="0.4">
      <c r="A123" s="81">
        <v>2</v>
      </c>
      <c r="B123" s="81"/>
      <c r="C123" s="81"/>
      <c r="D123" s="81"/>
      <c r="E123" s="81" t="s">
        <v>258</v>
      </c>
      <c r="F123" s="177">
        <f>HLOOKUP($E$4,'5. Bilan'!$F$3:$BF$226,118,0)</f>
        <v>6103718.5499999998</v>
      </c>
    </row>
    <row r="124" spans="1:6" x14ac:dyDescent="0.3">
      <c r="A124" s="7"/>
      <c r="B124" s="85">
        <v>20</v>
      </c>
      <c r="C124" s="85"/>
      <c r="D124" s="85"/>
      <c r="E124" s="85" t="s">
        <v>259</v>
      </c>
      <c r="F124" s="86">
        <f>HLOOKUP($E$4,'5. Bilan'!$F$3:$BF$226,119,0)</f>
        <v>4724519.8</v>
      </c>
    </row>
    <row r="125" spans="1:6" x14ac:dyDescent="0.3">
      <c r="C125" s="83">
        <v>200</v>
      </c>
      <c r="D125" s="83"/>
      <c r="E125" s="83" t="s">
        <v>260</v>
      </c>
      <c r="F125" s="84">
        <f>SUM(F126:F133)</f>
        <v>403308.85</v>
      </c>
    </row>
    <row r="126" spans="1:6" x14ac:dyDescent="0.3">
      <c r="D126">
        <v>2000</v>
      </c>
      <c r="E126" t="s">
        <v>407</v>
      </c>
      <c r="F126" s="4">
        <f>HLOOKUP($E$4,'5. Bilan'!$F$3:$BF$226,121,0)</f>
        <v>89314.75</v>
      </c>
    </row>
    <row r="127" spans="1:6" x14ac:dyDescent="0.3">
      <c r="D127">
        <v>2001</v>
      </c>
      <c r="E127" t="s">
        <v>408</v>
      </c>
      <c r="F127" s="4">
        <f>HLOOKUP($E$4,'5. Bilan'!$F$3:$BF$226,122,0)</f>
        <v>0</v>
      </c>
    </row>
    <row r="128" spans="1:6" x14ac:dyDescent="0.3">
      <c r="D128">
        <v>2002</v>
      </c>
      <c r="E128" t="s">
        <v>409</v>
      </c>
      <c r="F128" s="4">
        <f>HLOOKUP($E$4,'5. Bilan'!$F$3:$BF$226,123,0)</f>
        <v>10011.950000000001</v>
      </c>
    </row>
    <row r="129" spans="3:6" x14ac:dyDescent="0.3">
      <c r="D129">
        <v>2003</v>
      </c>
      <c r="E129" t="s">
        <v>410</v>
      </c>
      <c r="F129" s="4">
        <f>HLOOKUP($E$4,'5. Bilan'!$F$3:$BF$226,124,0)</f>
        <v>0</v>
      </c>
    </row>
    <row r="130" spans="3:6" x14ac:dyDescent="0.3">
      <c r="D130">
        <v>2004</v>
      </c>
      <c r="E130" t="s">
        <v>411</v>
      </c>
      <c r="F130" s="4">
        <f>HLOOKUP($E$4,'5. Bilan'!$F$3:$BF$226,125,0)</f>
        <v>103552</v>
      </c>
    </row>
    <row r="131" spans="3:6" x14ac:dyDescent="0.3">
      <c r="D131">
        <v>2005</v>
      </c>
      <c r="E131" t="s">
        <v>332</v>
      </c>
      <c r="F131" s="4">
        <f>HLOOKUP($E$4,'5. Bilan'!$F$3:$BF$226,126,0)</f>
        <v>200430.15</v>
      </c>
    </row>
    <row r="132" spans="3:6" x14ac:dyDescent="0.3">
      <c r="D132">
        <v>2006</v>
      </c>
      <c r="E132" t="s">
        <v>456</v>
      </c>
      <c r="F132" s="4">
        <f>HLOOKUP($E$4,'5. Bilan'!$F$3:$BF$226,127,0)</f>
        <v>0</v>
      </c>
    </row>
    <row r="133" spans="3:6" x14ac:dyDescent="0.3">
      <c r="D133">
        <v>2009</v>
      </c>
      <c r="E133" t="s">
        <v>413</v>
      </c>
      <c r="F133" s="4">
        <f>HLOOKUP($E$4,'5. Bilan'!$F$3:$BF$226,128,0)</f>
        <v>0</v>
      </c>
    </row>
    <row r="134" spans="3:6" x14ac:dyDescent="0.3">
      <c r="F134" s="4"/>
    </row>
    <row r="135" spans="3:6" x14ac:dyDescent="0.3">
      <c r="C135" s="83">
        <v>201</v>
      </c>
      <c r="D135" s="83"/>
      <c r="E135" s="83" t="s">
        <v>261</v>
      </c>
      <c r="F135" s="84">
        <f>SUM(F136:F143)</f>
        <v>150426</v>
      </c>
    </row>
    <row r="136" spans="3:6" x14ac:dyDescent="0.3">
      <c r="D136">
        <v>2010</v>
      </c>
      <c r="E136" t="s">
        <v>414</v>
      </c>
      <c r="F136" s="4">
        <f>HLOOKUP($E$4,'5. Bilan'!$F$3:$BF$226,131,0)</f>
        <v>1341</v>
      </c>
    </row>
    <row r="137" spans="3:6" x14ac:dyDescent="0.3">
      <c r="D137">
        <v>2011</v>
      </c>
      <c r="E137" t="s">
        <v>415</v>
      </c>
      <c r="F137" s="4">
        <f>HLOOKUP($E$4,'5. Bilan'!$F$3:$BF$226,132,0)</f>
        <v>0</v>
      </c>
    </row>
    <row r="138" spans="3:6" x14ac:dyDescent="0.3">
      <c r="D138">
        <v>2012</v>
      </c>
      <c r="E138" t="s">
        <v>416</v>
      </c>
      <c r="F138" s="4">
        <f>HLOOKUP($E$4,'5. Bilan'!$F$3:$BF$226,133,0)</f>
        <v>0</v>
      </c>
    </row>
    <row r="139" spans="3:6" x14ac:dyDescent="0.3">
      <c r="D139">
        <v>2013</v>
      </c>
      <c r="E139" t="s">
        <v>417</v>
      </c>
      <c r="F139" s="4">
        <f>HLOOKUP($E$4,'5. Bilan'!$F$3:$BF$226,134,0)</f>
        <v>0</v>
      </c>
    </row>
    <row r="140" spans="3:6" x14ac:dyDescent="0.3">
      <c r="D140">
        <v>2014</v>
      </c>
      <c r="E140" t="s">
        <v>419</v>
      </c>
      <c r="F140" s="4">
        <f>HLOOKUP($E$4,'5. Bilan'!$F$3:$BF$226,135,0)</f>
        <v>149085</v>
      </c>
    </row>
    <row r="141" spans="3:6" x14ac:dyDescent="0.3">
      <c r="D141">
        <v>2015</v>
      </c>
      <c r="E141" t="s">
        <v>418</v>
      </c>
      <c r="F141" s="4">
        <f>HLOOKUP($E$4,'5. Bilan'!$F$3:$BF$226,136,0)</f>
        <v>0</v>
      </c>
    </row>
    <row r="142" spans="3:6" x14ac:dyDescent="0.3">
      <c r="D142">
        <v>2016</v>
      </c>
      <c r="E142" t="s">
        <v>276</v>
      </c>
      <c r="F142" s="4">
        <f>HLOOKUP($E$4,'5. Bilan'!$F$3:$BF$226,137,0)</f>
        <v>0</v>
      </c>
    </row>
    <row r="143" spans="3:6" x14ac:dyDescent="0.3">
      <c r="D143">
        <v>2019</v>
      </c>
      <c r="E143" t="s">
        <v>420</v>
      </c>
      <c r="F143" s="4">
        <f>HLOOKUP($E$4,'5. Bilan'!$F$3:$BF$226,138,0)</f>
        <v>0</v>
      </c>
    </row>
    <row r="144" spans="3:6" x14ac:dyDescent="0.3">
      <c r="F144" s="4"/>
    </row>
    <row r="145" spans="3:6" x14ac:dyDescent="0.3">
      <c r="C145" s="83">
        <v>204</v>
      </c>
      <c r="D145" s="83"/>
      <c r="E145" s="83" t="s">
        <v>262</v>
      </c>
      <c r="F145" s="84">
        <f>SUM(F146:F153)</f>
        <v>296463</v>
      </c>
    </row>
    <row r="146" spans="3:6" x14ac:dyDescent="0.3">
      <c r="D146">
        <v>2040</v>
      </c>
      <c r="E146" t="s">
        <v>61</v>
      </c>
      <c r="F146" s="4">
        <f>HLOOKUP($E$4,'5. Bilan'!$F$3:$BF$226,141,0)</f>
        <v>0</v>
      </c>
    </row>
    <row r="147" spans="3:6" x14ac:dyDescent="0.3">
      <c r="D147">
        <v>2041</v>
      </c>
      <c r="E147" t="s">
        <v>284</v>
      </c>
      <c r="F147" s="4">
        <f>HLOOKUP($E$4,'5. Bilan'!$F$3:$BF$226,142,0)</f>
        <v>71826.45</v>
      </c>
    </row>
    <row r="148" spans="3:6" x14ac:dyDescent="0.3">
      <c r="D148">
        <v>2042</v>
      </c>
      <c r="E148" t="s">
        <v>340</v>
      </c>
      <c r="F148" s="4">
        <f>HLOOKUP($E$4,'5. Bilan'!$F$3:$BF$226,143,0)</f>
        <v>0</v>
      </c>
    </row>
    <row r="149" spans="3:6" x14ac:dyDescent="0.3">
      <c r="D149">
        <v>2043</v>
      </c>
      <c r="E149" t="s">
        <v>341</v>
      </c>
      <c r="F149" s="4">
        <f>HLOOKUP($E$4,'5. Bilan'!$F$3:$BF$226,144,0)</f>
        <v>224636.55</v>
      </c>
    </row>
    <row r="150" spans="3:6" x14ac:dyDescent="0.3">
      <c r="D150">
        <v>2044</v>
      </c>
      <c r="E150" t="s">
        <v>421</v>
      </c>
      <c r="F150" s="4">
        <f>HLOOKUP($E$4,'5. Bilan'!$F$3:$BF$226,145,0)</f>
        <v>0</v>
      </c>
    </row>
    <row r="151" spans="3:6" x14ac:dyDescent="0.3">
      <c r="D151">
        <v>2045</v>
      </c>
      <c r="E151" t="s">
        <v>343</v>
      </c>
      <c r="F151" s="4">
        <f>HLOOKUP($E$4,'5. Bilan'!$F$3:$BF$226,146,0)</f>
        <v>0</v>
      </c>
    </row>
    <row r="152" spans="3:6" x14ac:dyDescent="0.3">
      <c r="D152">
        <v>2046</v>
      </c>
      <c r="E152" t="s">
        <v>422</v>
      </c>
      <c r="F152" s="4">
        <f>HLOOKUP($E$4,'5. Bilan'!$F$3:$BF$226,147,0)</f>
        <v>0</v>
      </c>
    </row>
    <row r="153" spans="3:6" x14ac:dyDescent="0.3">
      <c r="D153">
        <v>2049</v>
      </c>
      <c r="E153" t="s">
        <v>423</v>
      </c>
      <c r="F153" s="4">
        <f>HLOOKUP($E$4,'5. Bilan'!$F$3:$BF$226,148,0)</f>
        <v>0</v>
      </c>
    </row>
    <row r="154" spans="3:6" x14ac:dyDescent="0.3">
      <c r="F154" s="4"/>
    </row>
    <row r="155" spans="3:6" x14ac:dyDescent="0.3">
      <c r="C155" s="83">
        <v>205</v>
      </c>
      <c r="D155" s="83"/>
      <c r="E155" s="83" t="s">
        <v>263</v>
      </c>
      <c r="F155" s="84">
        <f>SUM(F156:F165)</f>
        <v>0</v>
      </c>
    </row>
    <row r="156" spans="3:6" x14ac:dyDescent="0.3">
      <c r="D156">
        <v>2050</v>
      </c>
      <c r="E156" t="s">
        <v>424</v>
      </c>
      <c r="F156" s="4">
        <f>HLOOKUP($E$4,'5. Bilan'!$F$3:$BF$226,151,0)</f>
        <v>0</v>
      </c>
    </row>
    <row r="157" spans="3:6" x14ac:dyDescent="0.3">
      <c r="D157">
        <v>2051</v>
      </c>
      <c r="E157" t="s">
        <v>425</v>
      </c>
      <c r="F157" s="4">
        <f>HLOOKUP($E$4,'5. Bilan'!$F$3:$BF$226,152,0)</f>
        <v>0</v>
      </c>
    </row>
    <row r="158" spans="3:6" x14ac:dyDescent="0.3">
      <c r="D158">
        <v>2052</v>
      </c>
      <c r="E158" t="s">
        <v>426</v>
      </c>
      <c r="F158" s="4">
        <f>HLOOKUP($E$4,'5. Bilan'!$F$3:$BF$226,153,0)</f>
        <v>0</v>
      </c>
    </row>
    <row r="159" spans="3:6" x14ac:dyDescent="0.3">
      <c r="D159">
        <v>2053</v>
      </c>
      <c r="E159" t="s">
        <v>430</v>
      </c>
      <c r="F159" s="4">
        <f>HLOOKUP($E$4,'5. Bilan'!$F$3:$BF$226,154,0)</f>
        <v>0</v>
      </c>
    </row>
    <row r="160" spans="3:6" x14ac:dyDescent="0.3">
      <c r="D160">
        <v>2054</v>
      </c>
      <c r="E160" t="s">
        <v>428</v>
      </c>
      <c r="F160" s="4">
        <f>HLOOKUP($E$4,'5. Bilan'!$F$3:$BF$226,155,0)</f>
        <v>0</v>
      </c>
    </row>
    <row r="161" spans="3:6" x14ac:dyDescent="0.3">
      <c r="D161">
        <v>2055</v>
      </c>
      <c r="E161" t="s">
        <v>427</v>
      </c>
      <c r="F161" s="4">
        <f>HLOOKUP($E$4,'5. Bilan'!$F$3:$BF$226,156,0)</f>
        <v>0</v>
      </c>
    </row>
    <row r="162" spans="3:6" x14ac:dyDescent="0.3">
      <c r="D162">
        <v>2056</v>
      </c>
      <c r="E162" t="s">
        <v>429</v>
      </c>
      <c r="F162" s="4">
        <f>HLOOKUP($E$4,'5. Bilan'!$F$3:$BF$226,157,0)</f>
        <v>0</v>
      </c>
    </row>
    <row r="163" spans="3:6" x14ac:dyDescent="0.3">
      <c r="D163">
        <v>2057</v>
      </c>
      <c r="E163" t="s">
        <v>431</v>
      </c>
      <c r="F163" s="4">
        <f>HLOOKUP($E$4,'5. Bilan'!$F$3:$BF$226,158,0)</f>
        <v>0</v>
      </c>
    </row>
    <row r="164" spans="3:6" x14ac:dyDescent="0.3">
      <c r="D164">
        <v>2058</v>
      </c>
      <c r="E164" t="s">
        <v>432</v>
      </c>
      <c r="F164" s="4">
        <f>HLOOKUP($E$4,'5. Bilan'!$F$3:$BF$226,159,0)</f>
        <v>0</v>
      </c>
    </row>
    <row r="165" spans="3:6" x14ac:dyDescent="0.3">
      <c r="D165">
        <v>2059</v>
      </c>
      <c r="E165" t="s">
        <v>433</v>
      </c>
      <c r="F165" s="4">
        <f>HLOOKUP($E$4,'5. Bilan'!$F$3:$BF$226,160,0)</f>
        <v>0</v>
      </c>
    </row>
    <row r="166" spans="3:6" x14ac:dyDescent="0.3">
      <c r="F166" s="4"/>
    </row>
    <row r="167" spans="3:6" x14ac:dyDescent="0.3">
      <c r="C167" s="83">
        <v>206</v>
      </c>
      <c r="D167" s="83"/>
      <c r="E167" s="83" t="s">
        <v>264</v>
      </c>
      <c r="F167" s="84">
        <f>SUM(F168:F173)</f>
        <v>3874321.95</v>
      </c>
    </row>
    <row r="168" spans="3:6" x14ac:dyDescent="0.3">
      <c r="D168">
        <v>2060</v>
      </c>
      <c r="E168" t="s">
        <v>434</v>
      </c>
      <c r="F168" s="4">
        <f>HLOOKUP($E$4,'5. Bilan'!$F$3:$BF$226,163,0)</f>
        <v>0</v>
      </c>
    </row>
    <row r="169" spans="3:6" x14ac:dyDescent="0.3">
      <c r="D169">
        <v>2062</v>
      </c>
      <c r="E169" t="s">
        <v>435</v>
      </c>
      <c r="F169" s="4">
        <f>HLOOKUP($E$4,'5. Bilan'!$F$3:$BF$226,164,0)</f>
        <v>0</v>
      </c>
    </row>
    <row r="170" spans="3:6" x14ac:dyDescent="0.3">
      <c r="D170">
        <v>2063</v>
      </c>
      <c r="E170" t="s">
        <v>436</v>
      </c>
      <c r="F170" s="4">
        <f>HLOOKUP($E$4,'5. Bilan'!$F$3:$BF$226,165,0)</f>
        <v>3874321.95</v>
      </c>
    </row>
    <row r="171" spans="3:6" x14ac:dyDescent="0.3">
      <c r="D171">
        <v>2064</v>
      </c>
      <c r="E171" t="s">
        <v>457</v>
      </c>
      <c r="F171" s="4">
        <f>HLOOKUP($E$4,'5. Bilan'!$F$3:$BF$226,166,0)</f>
        <v>0</v>
      </c>
    </row>
    <row r="172" spans="3:6" x14ac:dyDescent="0.3">
      <c r="D172">
        <v>2067</v>
      </c>
      <c r="E172" t="s">
        <v>438</v>
      </c>
      <c r="F172" s="4">
        <f>HLOOKUP($E$4,'5. Bilan'!$F$3:$BF$226,167,0)</f>
        <v>0</v>
      </c>
    </row>
    <row r="173" spans="3:6" x14ac:dyDescent="0.3">
      <c r="D173">
        <v>2069</v>
      </c>
      <c r="E173" t="s">
        <v>439</v>
      </c>
      <c r="F173" s="4">
        <f>HLOOKUP($E$4,'5. Bilan'!$F$3:$BF$226,168,0)</f>
        <v>0</v>
      </c>
    </row>
    <row r="174" spans="3:6" x14ac:dyDescent="0.3">
      <c r="F174" s="4"/>
    </row>
    <row r="175" spans="3:6" x14ac:dyDescent="0.3">
      <c r="C175" s="83">
        <v>208</v>
      </c>
      <c r="D175" s="83"/>
      <c r="E175" s="83" t="s">
        <v>265</v>
      </c>
      <c r="F175" s="84">
        <f>SUM(F176:F184)</f>
        <v>0</v>
      </c>
    </row>
    <row r="176" spans="3:6" x14ac:dyDescent="0.3">
      <c r="D176">
        <v>2081</v>
      </c>
      <c r="E176" t="s">
        <v>440</v>
      </c>
      <c r="F176" s="4">
        <f>HLOOKUP($E$4,'5. Bilan'!$F$3:$BF$226,171,0)</f>
        <v>0</v>
      </c>
    </row>
    <row r="177" spans="2:6" x14ac:dyDescent="0.3">
      <c r="D177">
        <v>2082</v>
      </c>
      <c r="E177" t="s">
        <v>441</v>
      </c>
      <c r="F177" s="4">
        <f>HLOOKUP($E$4,'5. Bilan'!$F$3:$BF$226,172,0)</f>
        <v>0</v>
      </c>
    </row>
    <row r="178" spans="2:6" x14ac:dyDescent="0.3">
      <c r="D178">
        <v>2083</v>
      </c>
      <c r="E178" t="s">
        <v>442</v>
      </c>
      <c r="F178" s="4">
        <f>HLOOKUP($E$4,'5. Bilan'!$F$3:$BF$226,173,0)</f>
        <v>0</v>
      </c>
    </row>
    <row r="179" spans="2:6" x14ac:dyDescent="0.3">
      <c r="D179">
        <v>2084</v>
      </c>
      <c r="E179" t="s">
        <v>443</v>
      </c>
      <c r="F179" s="4">
        <f>HLOOKUP($E$4,'5. Bilan'!$F$3:$BF$226,174,0)</f>
        <v>0</v>
      </c>
    </row>
    <row r="180" spans="2:6" x14ac:dyDescent="0.3">
      <c r="D180">
        <v>2085</v>
      </c>
      <c r="E180" t="s">
        <v>445</v>
      </c>
      <c r="F180" s="4">
        <f>HLOOKUP($E$4,'5. Bilan'!$F$3:$BF$226,175,0)</f>
        <v>0</v>
      </c>
    </row>
    <row r="181" spans="2:6" x14ac:dyDescent="0.3">
      <c r="D181">
        <v>2086</v>
      </c>
      <c r="E181" t="s">
        <v>444</v>
      </c>
      <c r="F181" s="4">
        <f>HLOOKUP($E$4,'5. Bilan'!$F$3:$BF$226,176,0)</f>
        <v>0</v>
      </c>
    </row>
    <row r="182" spans="2:6" x14ac:dyDescent="0.3">
      <c r="D182">
        <v>2087</v>
      </c>
      <c r="E182" t="s">
        <v>446</v>
      </c>
      <c r="F182" s="4">
        <f>HLOOKUP($E$4,'5. Bilan'!$F$3:$BF$226,177,0)</f>
        <v>0</v>
      </c>
    </row>
    <row r="183" spans="2:6" x14ac:dyDescent="0.3">
      <c r="D183">
        <v>2088</v>
      </c>
      <c r="E183" t="s">
        <v>447</v>
      </c>
      <c r="F183" s="4">
        <f>HLOOKUP($E$4,'5. Bilan'!$F$3:$BF$226,178,0)</f>
        <v>0</v>
      </c>
    </row>
    <row r="184" spans="2:6" x14ac:dyDescent="0.3">
      <c r="D184">
        <v>2089</v>
      </c>
      <c r="E184" t="s">
        <v>448</v>
      </c>
      <c r="F184" s="4">
        <f>HLOOKUP($E$4,'5. Bilan'!$F$3:$BF$226,179,0)</f>
        <v>0</v>
      </c>
    </row>
    <row r="185" spans="2:6" x14ac:dyDescent="0.3">
      <c r="F185" s="4"/>
    </row>
    <row r="186" spans="2:6" x14ac:dyDescent="0.3">
      <c r="C186" s="83">
        <v>209</v>
      </c>
      <c r="D186" s="83"/>
      <c r="E186" s="83" t="s">
        <v>266</v>
      </c>
      <c r="F186" s="84">
        <f>SUM(F187:F190)</f>
        <v>0</v>
      </c>
    </row>
    <row r="187" spans="2:6" x14ac:dyDescent="0.3">
      <c r="D187">
        <v>2090</v>
      </c>
      <c r="E187" t="s">
        <v>266</v>
      </c>
      <c r="F187" s="4">
        <f>HLOOKUP($E$4,'5. Bilan'!$F$3:$BF$226,182,0)</f>
        <v>0</v>
      </c>
    </row>
    <row r="188" spans="2:6" x14ac:dyDescent="0.3">
      <c r="D188">
        <v>2091</v>
      </c>
      <c r="E188" t="s">
        <v>449</v>
      </c>
      <c r="F188" s="4">
        <f>HLOOKUP($E$4,'5. Bilan'!$F$3:$BF$226,183,0)</f>
        <v>0</v>
      </c>
    </row>
    <row r="189" spans="2:6" x14ac:dyDescent="0.3">
      <c r="D189">
        <v>2092</v>
      </c>
      <c r="E189" t="s">
        <v>450</v>
      </c>
      <c r="F189" s="4">
        <f>HLOOKUP($E$4,'5. Bilan'!$F$3:$BF$226,184,0)</f>
        <v>0</v>
      </c>
    </row>
    <row r="190" spans="2:6" x14ac:dyDescent="0.3">
      <c r="D190">
        <v>2093</v>
      </c>
      <c r="E190" t="s">
        <v>451</v>
      </c>
      <c r="F190" s="4">
        <f>HLOOKUP($E$4,'5. Bilan'!$F$3:$BF$226,185,0)</f>
        <v>0</v>
      </c>
    </row>
    <row r="191" spans="2:6" x14ac:dyDescent="0.3">
      <c r="F191" s="4"/>
    </row>
    <row r="192" spans="2:6" x14ac:dyDescent="0.3">
      <c r="B192" s="85">
        <v>29</v>
      </c>
      <c r="C192" s="85"/>
      <c r="D192" s="85"/>
      <c r="E192" s="85" t="s">
        <v>267</v>
      </c>
      <c r="F192" s="86">
        <f>HLOOKUP($E$4,'5. Bilan'!$F$3:$BF$226,187,0)</f>
        <v>1379198.75</v>
      </c>
    </row>
    <row r="193" spans="3:6" x14ac:dyDescent="0.3">
      <c r="C193" s="83">
        <v>290</v>
      </c>
      <c r="D193" s="83"/>
      <c r="E193" s="83" t="s">
        <v>268</v>
      </c>
      <c r="F193" s="84">
        <f>SUM(F194)</f>
        <v>760054.2</v>
      </c>
    </row>
    <row r="194" spans="3:6" x14ac:dyDescent="0.3">
      <c r="D194">
        <v>2900</v>
      </c>
      <c r="E194" t="s">
        <v>268</v>
      </c>
      <c r="F194" s="4">
        <f>HLOOKUP($E$4,'5. Bilan'!$F$3:$BF$226,189,0)</f>
        <v>760054.2</v>
      </c>
    </row>
    <row r="195" spans="3:6" x14ac:dyDescent="0.3">
      <c r="F195" s="4"/>
    </row>
    <row r="196" spans="3:6" x14ac:dyDescent="0.3">
      <c r="C196" s="83">
        <v>291</v>
      </c>
      <c r="D196" s="83"/>
      <c r="E196" s="83" t="s">
        <v>269</v>
      </c>
      <c r="F196" s="84">
        <f>SUM(F197:F198)</f>
        <v>0</v>
      </c>
    </row>
    <row r="197" spans="3:6" x14ac:dyDescent="0.3">
      <c r="D197">
        <v>2910</v>
      </c>
      <c r="E197" t="s">
        <v>269</v>
      </c>
      <c r="F197" s="4">
        <f>HLOOKUP($E$4,'5. Bilan'!$F$3:$BF$226,192,0)</f>
        <v>0</v>
      </c>
    </row>
    <row r="198" spans="3:6" x14ac:dyDescent="0.3">
      <c r="D198">
        <v>2911</v>
      </c>
      <c r="E198" t="s">
        <v>452</v>
      </c>
      <c r="F198" s="4">
        <f>HLOOKUP($E$4,'5. Bilan'!$F$3:$BF$226,193,0)</f>
        <v>0</v>
      </c>
    </row>
    <row r="199" spans="3:6" x14ac:dyDescent="0.3">
      <c r="F199" s="4"/>
    </row>
    <row r="200" spans="3:6" x14ac:dyDescent="0.3">
      <c r="C200" s="83">
        <v>292</v>
      </c>
      <c r="D200" s="83"/>
      <c r="E200" s="83" t="s">
        <v>270</v>
      </c>
      <c r="F200" s="84">
        <f>SUM(F201)</f>
        <v>0</v>
      </c>
    </row>
    <row r="201" spans="3:6" x14ac:dyDescent="0.3">
      <c r="D201">
        <v>2920</v>
      </c>
      <c r="E201" t="s">
        <v>270</v>
      </c>
      <c r="F201" s="4">
        <f>HLOOKUP($E$4,'5. Bilan'!$F$3:$BF$226,196,0)</f>
        <v>0</v>
      </c>
    </row>
    <row r="202" spans="3:6" x14ac:dyDescent="0.3">
      <c r="F202" s="4"/>
    </row>
    <row r="203" spans="3:6" x14ac:dyDescent="0.3">
      <c r="C203" s="83">
        <v>293</v>
      </c>
      <c r="D203" s="83"/>
      <c r="E203" s="83" t="s">
        <v>271</v>
      </c>
      <c r="F203" s="84">
        <f>SUM(F204)</f>
        <v>0</v>
      </c>
    </row>
    <row r="204" spans="3:6" x14ac:dyDescent="0.3">
      <c r="D204">
        <v>2930</v>
      </c>
      <c r="E204" t="s">
        <v>271</v>
      </c>
      <c r="F204" s="4">
        <f>HLOOKUP($E$4,'5. Bilan'!$F$3:$BF$226,199,0)</f>
        <v>0</v>
      </c>
    </row>
    <row r="205" spans="3:6" x14ac:dyDescent="0.3">
      <c r="F205" s="4"/>
    </row>
    <row r="206" spans="3:6" x14ac:dyDescent="0.3">
      <c r="C206" s="83">
        <v>294</v>
      </c>
      <c r="D206" s="83"/>
      <c r="E206" s="83" t="s">
        <v>272</v>
      </c>
      <c r="F206" s="84">
        <f>SUM(F207)</f>
        <v>0</v>
      </c>
    </row>
    <row r="207" spans="3:6" x14ac:dyDescent="0.3">
      <c r="D207">
        <v>2940</v>
      </c>
      <c r="E207" t="s">
        <v>272</v>
      </c>
      <c r="F207" s="4">
        <f>HLOOKUP($E$4,'5. Bilan'!$F$3:$BF$226,202,0)</f>
        <v>0</v>
      </c>
    </row>
    <row r="208" spans="3:6" x14ac:dyDescent="0.3">
      <c r="F208" s="4"/>
    </row>
    <row r="209" spans="3:6" x14ac:dyDescent="0.3">
      <c r="C209" s="83">
        <v>295</v>
      </c>
      <c r="D209" s="83"/>
      <c r="E209" s="83" t="s">
        <v>273</v>
      </c>
      <c r="F209" s="84">
        <f>SUM(F210)</f>
        <v>-110449.21</v>
      </c>
    </row>
    <row r="210" spans="3:6" x14ac:dyDescent="0.3">
      <c r="D210">
        <v>2950</v>
      </c>
      <c r="E210" t="s">
        <v>273</v>
      </c>
      <c r="F210" s="4">
        <f>HLOOKUP($E$4,'5. Bilan'!$F$3:$BF$226,205,0)</f>
        <v>-110449.21</v>
      </c>
    </row>
    <row r="211" spans="3:6" x14ac:dyDescent="0.3">
      <c r="F211" s="4"/>
    </row>
    <row r="212" spans="3:6" x14ac:dyDescent="0.3">
      <c r="C212" s="83">
        <v>296</v>
      </c>
      <c r="D212" s="83"/>
      <c r="E212" s="83" t="s">
        <v>274</v>
      </c>
      <c r="F212" s="84">
        <f>SUM(F213)</f>
        <v>361807.95</v>
      </c>
    </row>
    <row r="213" spans="3:6" x14ac:dyDescent="0.3">
      <c r="D213">
        <v>2960</v>
      </c>
      <c r="E213" t="s">
        <v>274</v>
      </c>
      <c r="F213" s="4">
        <f>HLOOKUP($E$4,'5. Bilan'!$F$3:$BF$226,208,0)</f>
        <v>361807.95</v>
      </c>
    </row>
    <row r="214" spans="3:6" x14ac:dyDescent="0.3">
      <c r="F214" s="4"/>
    </row>
    <row r="215" spans="3:6" x14ac:dyDescent="0.3">
      <c r="C215" s="83">
        <v>298</v>
      </c>
      <c r="D215" s="83"/>
      <c r="E215" s="83" t="s">
        <v>275</v>
      </c>
      <c r="F215" s="84">
        <f>SUM(F216)</f>
        <v>0</v>
      </c>
    </row>
    <row r="216" spans="3:6" x14ac:dyDescent="0.3">
      <c r="D216">
        <v>2980</v>
      </c>
      <c r="E216" t="s">
        <v>275</v>
      </c>
      <c r="F216" s="4">
        <f>HLOOKUP($E$4,'5. Bilan'!$F$3:$BF$226,211,0)</f>
        <v>0</v>
      </c>
    </row>
    <row r="217" spans="3:6" x14ac:dyDescent="0.3">
      <c r="F217" s="4"/>
    </row>
    <row r="218" spans="3:6" x14ac:dyDescent="0.3">
      <c r="C218" s="83">
        <v>299</v>
      </c>
      <c r="D218" s="83"/>
      <c r="E218" s="83" t="s">
        <v>453</v>
      </c>
      <c r="F218" s="84">
        <f>SUM(F219:F220)</f>
        <v>367785.81</v>
      </c>
    </row>
    <row r="219" spans="3:6" x14ac:dyDescent="0.3">
      <c r="D219">
        <v>2990</v>
      </c>
      <c r="E219" t="s">
        <v>453</v>
      </c>
      <c r="F219" s="4">
        <f>HLOOKUP($E$4,'5. Bilan'!$F$3:$BF$226,214,0)</f>
        <v>26545.08</v>
      </c>
    </row>
    <row r="220" spans="3:6" x14ac:dyDescent="0.3">
      <c r="D220">
        <v>2999</v>
      </c>
      <c r="E220" t="s">
        <v>595</v>
      </c>
      <c r="F220" s="4">
        <f>HLOOKUP($E$4,'5. Bilan'!$F$3:$BF$226,215,0)</f>
        <v>341240.73</v>
      </c>
    </row>
    <row r="221" spans="3:6" x14ac:dyDescent="0.3">
      <c r="F221" s="4"/>
    </row>
    <row r="222" spans="3:6" x14ac:dyDescent="0.3">
      <c r="C222" s="160"/>
      <c r="D222" s="160"/>
      <c r="E222" s="160" t="s">
        <v>600</v>
      </c>
      <c r="F222" s="178"/>
    </row>
    <row r="223" spans="3:6" x14ac:dyDescent="0.3">
      <c r="D223">
        <v>290</v>
      </c>
      <c r="E223" t="s">
        <v>599</v>
      </c>
      <c r="F223" s="4">
        <f>HLOOKUP($E$4,'5. Bilan'!$F$3:$BF$226,218,0)</f>
        <v>41403.599999999999</v>
      </c>
    </row>
    <row r="224" spans="3:6" x14ac:dyDescent="0.3">
      <c r="D224">
        <v>2990</v>
      </c>
      <c r="E224" t="s">
        <v>603</v>
      </c>
      <c r="F224" s="4">
        <f>HLOOKUP($E$4,'5. Bilan'!$F$3:$BF$226,219,0)</f>
        <v>26545.08</v>
      </c>
    </row>
    <row r="225" spans="5:6" x14ac:dyDescent="0.3">
      <c r="F225" s="4"/>
    </row>
    <row r="226" spans="5:6" x14ac:dyDescent="0.3">
      <c r="E226" s="7" t="s">
        <v>602</v>
      </c>
      <c r="F226" s="4">
        <f>HLOOKUP($E$4,'5. Bilan'!$F$3:$BF$226,221,0)</f>
        <v>67948.679999999993</v>
      </c>
    </row>
    <row r="227" spans="5:6" x14ac:dyDescent="0.3">
      <c r="F227" s="4"/>
    </row>
    <row r="228" spans="5:6" x14ac:dyDescent="0.3">
      <c r="E228" s="60" t="s">
        <v>601</v>
      </c>
      <c r="F228" s="4">
        <f>HLOOKUP($E$4,'5. Bilan'!$F$3:$BF$226,223,0)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60"/>
  <sheetViews>
    <sheetView workbookViewId="0">
      <selection activeCell="C23" sqref="C23"/>
    </sheetView>
  </sheetViews>
  <sheetFormatPr baseColWidth="10" defaultRowHeight="14.4" x14ac:dyDescent="0.3"/>
  <cols>
    <col min="1" max="1" width="31.33203125" customWidth="1"/>
    <col min="2" max="3" width="19.33203125" customWidth="1"/>
  </cols>
  <sheetData>
    <row r="1" spans="1:3" ht="15.6" x14ac:dyDescent="0.3">
      <c r="A1" s="204" t="s">
        <v>781</v>
      </c>
    </row>
    <row r="2" spans="1:3" ht="15.6" x14ac:dyDescent="0.3">
      <c r="A2" s="204"/>
    </row>
    <row r="3" spans="1:3" x14ac:dyDescent="0.3">
      <c r="A3" t="s">
        <v>67</v>
      </c>
      <c r="B3" s="156" t="s">
        <v>782</v>
      </c>
      <c r="C3" s="156" t="s">
        <v>783</v>
      </c>
    </row>
    <row r="4" spans="1:3" x14ac:dyDescent="0.3">
      <c r="A4" s="205" t="s">
        <v>56</v>
      </c>
      <c r="B4" s="101">
        <f>'4.1 Comptes 2020 natures'!AZ153</f>
        <v>79042.83</v>
      </c>
      <c r="C4" s="101">
        <f>'4.9 Comptes 2020 par habitant'!E153</f>
        <v>366.27193932827737</v>
      </c>
    </row>
    <row r="5" spans="1:3" x14ac:dyDescent="0.3">
      <c r="A5" s="205" t="s">
        <v>18</v>
      </c>
      <c r="B5" s="101">
        <f>'4.1 Comptes 2020 natures'!F153</f>
        <v>183367.53000000003</v>
      </c>
      <c r="C5" s="101">
        <f>'4.9 Comptes 2020 par habitant'!F153</f>
        <v>679.13900000000012</v>
      </c>
    </row>
    <row r="6" spans="1:3" x14ac:dyDescent="0.3">
      <c r="A6" s="205" t="s">
        <v>57</v>
      </c>
      <c r="B6" s="101">
        <f>'4.1 Comptes 2020 natures'!G153</f>
        <v>-29321.279999999999</v>
      </c>
      <c r="C6" s="101">
        <f>'4.9 Comptes 2020 par habitant'!G153</f>
        <v>-60.456247422680406</v>
      </c>
    </row>
    <row r="7" spans="1:3" x14ac:dyDescent="0.3">
      <c r="A7" s="205" t="s">
        <v>53</v>
      </c>
      <c r="B7" s="101">
        <f>'4.1 Comptes 2020 natures'!H153</f>
        <v>21653.66</v>
      </c>
      <c r="C7" s="101">
        <f>'4.9 Comptes 2020 par habitant'!H153</f>
        <v>48.550807174887893</v>
      </c>
    </row>
    <row r="8" spans="1:3" x14ac:dyDescent="0.3">
      <c r="A8" s="205" t="s">
        <v>33</v>
      </c>
      <c r="B8" s="101">
        <f>'4.1 Comptes 2020 natures'!I153</f>
        <v>461623.62999999995</v>
      </c>
      <c r="C8" s="101">
        <f>'4.9 Comptes 2020 par habitant'!I153</f>
        <v>127.13402093087302</v>
      </c>
    </row>
    <row r="9" spans="1:3" x14ac:dyDescent="0.3">
      <c r="A9" s="205" t="s">
        <v>10</v>
      </c>
      <c r="B9" s="101">
        <f>'4.1 Comptes 2020 natures'!J153</f>
        <v>1051215.94</v>
      </c>
      <c r="C9" s="101">
        <f>'4.9 Comptes 2020 par habitant'!J153</f>
        <v>317.30031391488075</v>
      </c>
    </row>
    <row r="10" spans="1:3" x14ac:dyDescent="0.3">
      <c r="A10" s="205" t="s">
        <v>15</v>
      </c>
      <c r="B10" s="101">
        <f>'4.1 Comptes 2020 natures'!K153</f>
        <v>253856.48</v>
      </c>
      <c r="C10" s="101">
        <f>'4.9 Comptes 2020 par habitant'!K153</f>
        <v>96.012284417549182</v>
      </c>
    </row>
    <row r="11" spans="1:3" x14ac:dyDescent="0.3">
      <c r="A11" s="205" t="s">
        <v>28</v>
      </c>
      <c r="B11" s="101">
        <f>'4.1 Comptes 2020 natures'!L153</f>
        <v>2089673.1800000002</v>
      </c>
      <c r="C11" s="101">
        <f>'4.9 Comptes 2020 par habitant'!L153</f>
        <v>165.61049136154702</v>
      </c>
    </row>
    <row r="12" spans="1:3" x14ac:dyDescent="0.3">
      <c r="A12" s="205" t="s">
        <v>42</v>
      </c>
      <c r="B12" s="101">
        <f>'4.1 Comptes 2020 natures'!M153</f>
        <v>-1352.8600000000151</v>
      </c>
      <c r="C12" s="101">
        <f>'4.9 Comptes 2020 par habitant'!M153</f>
        <v>-0.98676878191102446</v>
      </c>
    </row>
    <row r="13" spans="1:3" x14ac:dyDescent="0.3">
      <c r="A13" s="205" t="s">
        <v>23</v>
      </c>
      <c r="B13" s="101">
        <f>'4.1 Comptes 2020 natures'!N153</f>
        <v>-63918.92</v>
      </c>
      <c r="C13" s="101">
        <f>'4.9 Comptes 2020 par habitant'!N153</f>
        <v>-541.68576271186441</v>
      </c>
    </row>
    <row r="14" spans="1:3" x14ac:dyDescent="0.3">
      <c r="A14" s="205" t="s">
        <v>22</v>
      </c>
      <c r="B14" s="101">
        <f>'4.1 Comptes 2020 natures'!O153</f>
        <v>-1177403.47</v>
      </c>
      <c r="C14" s="101">
        <f>'4.9 Comptes 2020 par habitant'!O153</f>
        <v>-164.281215292312</v>
      </c>
    </row>
    <row r="15" spans="1:3" x14ac:dyDescent="0.3">
      <c r="A15" s="205" t="s">
        <v>13</v>
      </c>
      <c r="B15" s="101">
        <f>'4.1 Comptes 2020 natures'!P153</f>
        <v>-93731.8</v>
      </c>
      <c r="C15" s="101">
        <f>'4.9 Comptes 2020 par habitant'!P153</f>
        <v>-177.52234848484849</v>
      </c>
    </row>
    <row r="16" spans="1:3" x14ac:dyDescent="0.3">
      <c r="A16" s="205" t="s">
        <v>17</v>
      </c>
      <c r="B16" s="101">
        <f>'4.1 Comptes 2020 natures'!Q153</f>
        <v>-9460.8100000000013</v>
      </c>
      <c r="C16" s="101">
        <f>'4.9 Comptes 2020 par habitant'!Q153</f>
        <v>-87.600092592592631</v>
      </c>
    </row>
    <row r="17" spans="1:3" x14ac:dyDescent="0.3">
      <c r="A17" s="205" t="s">
        <v>43</v>
      </c>
      <c r="B17" s="101">
        <f>'4.1 Comptes 2020 natures'!R153</f>
        <v>-16853.579999999998</v>
      </c>
      <c r="C17" s="101">
        <f>'4.9 Comptes 2020 par habitant'!R153</f>
        <v>-40.611036144578307</v>
      </c>
    </row>
    <row r="18" spans="1:3" x14ac:dyDescent="0.3">
      <c r="A18" s="205" t="s">
        <v>40</v>
      </c>
      <c r="B18" s="101">
        <f>'4.1 Comptes 2020 natures'!S153</f>
        <v>-13071.369999999995</v>
      </c>
      <c r="C18" s="101">
        <f>'4.9 Comptes 2020 par habitant'!S153</f>
        <v>-37.453782234956975</v>
      </c>
    </row>
    <row r="19" spans="1:3" x14ac:dyDescent="0.3">
      <c r="A19" s="205" t="s">
        <v>31</v>
      </c>
      <c r="B19" s="101">
        <f>'4.1 Comptes 2020 natures'!T153</f>
        <v>262757.42</v>
      </c>
      <c r="C19" s="101">
        <f>'4.9 Comptes 2020 par habitant'!T153</f>
        <v>382.47077147016012</v>
      </c>
    </row>
    <row r="20" spans="1:3" x14ac:dyDescent="0.3">
      <c r="A20" s="205" t="s">
        <v>12</v>
      </c>
      <c r="B20" s="101">
        <f>'4.1 Comptes 2020 natures'!U153</f>
        <v>9048.7099999999991</v>
      </c>
      <c r="C20" s="101">
        <f>'4.9 Comptes 2020 par habitant'!U153</f>
        <v>35.485137254901964</v>
      </c>
    </row>
    <row r="21" spans="1:3" x14ac:dyDescent="0.3">
      <c r="A21" s="205" t="s">
        <v>59</v>
      </c>
      <c r="B21" s="101">
        <f>'4.1 Comptes 2020 natures'!V153</f>
        <v>-152377.16</v>
      </c>
      <c r="C21" s="101">
        <f>'4.9 Comptes 2020 par habitant'!V153</f>
        <v>-349.48889908256882</v>
      </c>
    </row>
    <row r="22" spans="1:3" x14ac:dyDescent="0.3">
      <c r="A22" s="205" t="s">
        <v>27</v>
      </c>
      <c r="B22" s="101">
        <f>'4.1 Comptes 2020 natures'!W153</f>
        <v>364711.41000000003</v>
      </c>
      <c r="C22" s="101">
        <f>'4.9 Comptes 2020 par habitant'!W153</f>
        <v>114.32959561128527</v>
      </c>
    </row>
    <row r="23" spans="1:3" x14ac:dyDescent="0.3">
      <c r="A23" s="205" t="s">
        <v>30</v>
      </c>
      <c r="B23" s="101">
        <f>'4.1 Comptes 2020 natures'!X153</f>
        <v>26286.14</v>
      </c>
      <c r="C23" s="101">
        <f>'4.9 Comptes 2020 par habitant'!X153</f>
        <v>81.130061728395063</v>
      </c>
    </row>
    <row r="24" spans="1:3" x14ac:dyDescent="0.3">
      <c r="A24" s="205" t="s">
        <v>20</v>
      </c>
      <c r="B24" s="101">
        <f>'4.1 Comptes 2020 natures'!Y153</f>
        <v>178997.68</v>
      </c>
      <c r="C24" s="101">
        <f>'4.9 Comptes 2020 par habitant'!Y153</f>
        <v>143.65784911717495</v>
      </c>
    </row>
    <row r="25" spans="1:3" x14ac:dyDescent="0.3">
      <c r="A25" s="205" t="s">
        <v>45</v>
      </c>
      <c r="B25" s="101">
        <f>'4.1 Comptes 2020 natures'!Z153</f>
        <v>3517719.9899999998</v>
      </c>
      <c r="C25" s="101">
        <f>'4.9 Comptes 2020 par habitant'!Z153</f>
        <v>2302.1727683246072</v>
      </c>
    </row>
    <row r="26" spans="1:3" x14ac:dyDescent="0.3">
      <c r="A26" s="205" t="s">
        <v>71</v>
      </c>
      <c r="B26" s="101">
        <f>'4.1 Comptes 2020 natures'!AA153</f>
        <v>-11170.27</v>
      </c>
      <c r="C26" s="101">
        <f>'4.9 Comptes 2020 par habitant'!AA153</f>
        <v>-116.35697916666668</v>
      </c>
    </row>
    <row r="27" spans="1:3" x14ac:dyDescent="0.3">
      <c r="A27" s="205" t="s">
        <v>39</v>
      </c>
      <c r="B27" s="101">
        <f>'4.1 Comptes 2020 natures'!AB153</f>
        <v>41421.78</v>
      </c>
      <c r="C27" s="101">
        <f>'4.9 Comptes 2020 par habitant'!AB153</f>
        <v>277.99852348993289</v>
      </c>
    </row>
    <row r="28" spans="1:3" x14ac:dyDescent="0.3">
      <c r="A28" s="205" t="s">
        <v>19</v>
      </c>
      <c r="B28" s="101">
        <f>'4.1 Comptes 2020 natures'!AC153</f>
        <v>-114596.97</v>
      </c>
      <c r="C28" s="101">
        <f>'4.9 Comptes 2020 par habitant'!AC153</f>
        <v>-222.08715116279069</v>
      </c>
    </row>
    <row r="29" spans="1:3" x14ac:dyDescent="0.3">
      <c r="A29" s="205" t="s">
        <v>41</v>
      </c>
      <c r="B29" s="101">
        <f>'4.1 Comptes 2020 natures'!AD153</f>
        <v>-99000.459999999992</v>
      </c>
      <c r="C29" s="101">
        <f>'4.9 Comptes 2020 par habitant'!AD153</f>
        <v>-147.54166915052161</v>
      </c>
    </row>
    <row r="30" spans="1:3" x14ac:dyDescent="0.3">
      <c r="A30" s="205" t="s">
        <v>36</v>
      </c>
      <c r="B30" s="101">
        <f>'4.1 Comptes 2020 natures'!AE153</f>
        <v>-194273.68</v>
      </c>
      <c r="C30" s="101">
        <f>'4.9 Comptes 2020 par habitant'!AE153</f>
        <v>-339.63930069930069</v>
      </c>
    </row>
    <row r="31" spans="1:3" x14ac:dyDescent="0.3">
      <c r="A31" s="205" t="s">
        <v>7</v>
      </c>
      <c r="B31" s="101">
        <f>'4.1 Comptes 2020 natures'!AF153</f>
        <v>122538.76</v>
      </c>
      <c r="C31" s="101">
        <f>'4.9 Comptes 2020 par habitant'!AF153</f>
        <v>250.07910204081634</v>
      </c>
    </row>
    <row r="32" spans="1:3" x14ac:dyDescent="0.3">
      <c r="A32" s="205" t="s">
        <v>55</v>
      </c>
      <c r="B32" s="101">
        <f>'4.1 Comptes 2020 natures'!AG153</f>
        <v>1107210.3</v>
      </c>
      <c r="C32" s="101">
        <f>'4.9 Comptes 2020 par habitant'!AG153</f>
        <v>578.47978056426336</v>
      </c>
    </row>
    <row r="33" spans="1:3" x14ac:dyDescent="0.3">
      <c r="A33" s="205" t="s">
        <v>21</v>
      </c>
      <c r="B33" s="101">
        <f>'4.1 Comptes 2020 natures'!AH153</f>
        <v>243887.35</v>
      </c>
      <c r="C33" s="101">
        <f>'4.9 Comptes 2020 par habitant'!AH153</f>
        <v>93.264760994263867</v>
      </c>
    </row>
    <row r="34" spans="1:3" x14ac:dyDescent="0.3">
      <c r="A34" s="205" t="s">
        <v>6</v>
      </c>
      <c r="B34" s="101">
        <f>'4.1 Comptes 2020 natures'!AI153</f>
        <v>-5355.96</v>
      </c>
      <c r="C34" s="101">
        <f>'4.9 Comptes 2020 par habitant'!AI153</f>
        <v>-23.594537444933923</v>
      </c>
    </row>
    <row r="35" spans="1:3" x14ac:dyDescent="0.3">
      <c r="A35" s="205" t="s">
        <v>34</v>
      </c>
      <c r="B35" s="101">
        <f>'4.1 Comptes 2020 natures'!AJ153</f>
        <v>22586.400000000001</v>
      </c>
      <c r="C35" s="101">
        <f>'4.9 Comptes 2020 par habitant'!AJ153</f>
        <v>172.41526717557252</v>
      </c>
    </row>
    <row r="36" spans="1:3" x14ac:dyDescent="0.3">
      <c r="A36" s="205" t="s">
        <v>52</v>
      </c>
      <c r="B36" s="101">
        <f>'4.1 Comptes 2020 natures'!AK153</f>
        <v>153720</v>
      </c>
      <c r="C36" s="101">
        <f>'4.9 Comptes 2020 par habitant'!AK153</f>
        <v>81.118733509234829</v>
      </c>
    </row>
    <row r="37" spans="1:3" x14ac:dyDescent="0.3">
      <c r="A37" s="205" t="s">
        <v>14</v>
      </c>
      <c r="B37" s="101">
        <f>'4.1 Comptes 2020 natures'!AL153</f>
        <v>-32824.589999999997</v>
      </c>
      <c r="C37" s="101">
        <f>'4.9 Comptes 2020 par habitant'!AL153</f>
        <v>-28.920343612334797</v>
      </c>
    </row>
    <row r="38" spans="1:3" x14ac:dyDescent="0.3">
      <c r="A38" s="205" t="s">
        <v>32</v>
      </c>
      <c r="B38" s="101">
        <f>'4.1 Comptes 2020 natures'!AM153</f>
        <v>-5589.7700000000041</v>
      </c>
      <c r="C38" s="101">
        <f>'4.9 Comptes 2020 par habitant'!AM153</f>
        <v>-4.5042465753424636</v>
      </c>
    </row>
    <row r="39" spans="1:3" x14ac:dyDescent="0.3">
      <c r="A39" s="205" t="s">
        <v>29</v>
      </c>
      <c r="B39" s="101">
        <f>'4.1 Comptes 2020 natures'!AN153</f>
        <v>13711.05</v>
      </c>
      <c r="C39" s="101">
        <f>'4.9 Comptes 2020 par habitant'!AN153</f>
        <v>115.2189075630252</v>
      </c>
    </row>
    <row r="40" spans="1:3" x14ac:dyDescent="0.3">
      <c r="A40" s="205" t="s">
        <v>26</v>
      </c>
      <c r="B40" s="101">
        <f>'4.1 Comptes 2020 natures'!AO153</f>
        <v>341994.52</v>
      </c>
      <c r="C40" s="101">
        <f>'4.9 Comptes 2020 par habitant'!AO153</f>
        <v>286.18788284518831</v>
      </c>
    </row>
    <row r="41" spans="1:3" x14ac:dyDescent="0.3">
      <c r="A41" s="205" t="s">
        <v>48</v>
      </c>
      <c r="B41" s="101">
        <f>'4.1 Comptes 2020 natures'!AP153</f>
        <v>197653.74000000002</v>
      </c>
      <c r="C41" s="101">
        <f>'4.9 Comptes 2020 par habitant'!AP153</f>
        <v>298.12027149321273</v>
      </c>
    </row>
    <row r="42" spans="1:3" x14ac:dyDescent="0.3">
      <c r="A42" s="205" t="s">
        <v>44</v>
      </c>
      <c r="B42" s="101">
        <f>'4.1 Comptes 2020 natures'!AQ153</f>
        <v>23915.769999999997</v>
      </c>
      <c r="C42" s="101">
        <f>'4.9 Comptes 2020 par habitant'!AQ153</f>
        <v>37.078713178294571</v>
      </c>
    </row>
    <row r="43" spans="1:3" x14ac:dyDescent="0.3">
      <c r="A43" s="205" t="s">
        <v>37</v>
      </c>
      <c r="B43" s="101">
        <f>'4.1 Comptes 2020 natures'!AR153</f>
        <v>50671.79</v>
      </c>
      <c r="C43" s="101">
        <f>'4.9 Comptes 2020 par habitant'!AR153</f>
        <v>40.120182106096593</v>
      </c>
    </row>
    <row r="44" spans="1:3" x14ac:dyDescent="0.3">
      <c r="A44" s="205" t="s">
        <v>51</v>
      </c>
      <c r="B44" s="101">
        <f>'4.1 Comptes 2020 natures'!AS153</f>
        <v>52551.100000000006</v>
      </c>
      <c r="C44" s="101">
        <f>'4.9 Comptes 2020 par habitant'!AS153</f>
        <v>71.015000000000001</v>
      </c>
    </row>
    <row r="45" spans="1:3" x14ac:dyDescent="0.3">
      <c r="A45" s="205" t="s">
        <v>8</v>
      </c>
      <c r="B45" s="101">
        <f>'4.1 Comptes 2020 natures'!AT153</f>
        <v>35118.03</v>
      </c>
      <c r="C45" s="101">
        <f>'4.9 Comptes 2020 par habitant'!AT153</f>
        <v>34.161507782101168</v>
      </c>
    </row>
    <row r="46" spans="1:3" x14ac:dyDescent="0.3">
      <c r="A46" s="205" t="s">
        <v>24</v>
      </c>
      <c r="B46" s="101">
        <f>'4.1 Comptes 2020 natures'!AU153</f>
        <v>112815.42</v>
      </c>
      <c r="C46" s="101">
        <f>'4.9 Comptes 2020 par habitant'!AU153</f>
        <v>359.28477707006368</v>
      </c>
    </row>
    <row r="47" spans="1:3" x14ac:dyDescent="0.3">
      <c r="A47" s="205" t="s">
        <v>9</v>
      </c>
      <c r="B47" s="101">
        <f>'4.1 Comptes 2020 natures'!AV153</f>
        <v>-268507.58</v>
      </c>
      <c r="C47" s="101">
        <f>'4.9 Comptes 2020 par habitant'!AV153</f>
        <v>-111.87815833333333</v>
      </c>
    </row>
    <row r="48" spans="1:3" x14ac:dyDescent="0.3">
      <c r="A48" s="205" t="s">
        <v>62</v>
      </c>
      <c r="B48" s="101">
        <f>'4.1 Comptes 2020 natures'!AW153</f>
        <v>-9064.0300000000025</v>
      </c>
      <c r="C48" s="101">
        <f>'4.9 Comptes 2020 par habitant'!AW153</f>
        <v>-12.005337748344374</v>
      </c>
    </row>
    <row r="49" spans="1:3" x14ac:dyDescent="0.3">
      <c r="A49" s="205" t="s">
        <v>46</v>
      </c>
      <c r="B49" s="101">
        <f>'4.1 Comptes 2020 natures'!AX153</f>
        <v>29819.599999999999</v>
      </c>
      <c r="C49" s="101">
        <f>'4.9 Comptes 2020 par habitant'!AX153</f>
        <v>164.74917127071825</v>
      </c>
    </row>
    <row r="50" spans="1:3" x14ac:dyDescent="0.3">
      <c r="A50" s="205" t="s">
        <v>35</v>
      </c>
      <c r="B50" s="101">
        <f>'4.1 Comptes 2020 natures'!AY153</f>
        <v>73689.049999999988</v>
      </c>
      <c r="C50" s="101">
        <f>'4.9 Comptes 2020 par habitant'!AY153</f>
        <v>212.36037463976945</v>
      </c>
    </row>
    <row r="51" spans="1:3" x14ac:dyDescent="0.3">
      <c r="A51" s="205" t="s">
        <v>49</v>
      </c>
      <c r="B51" s="101">
        <f>'4.1 Comptes 2020 natures'!AZ153</f>
        <v>79042.83</v>
      </c>
      <c r="C51" s="101">
        <f>'4.9 Comptes 2020 par habitant'!AZ153</f>
        <v>46.770905325443792</v>
      </c>
    </row>
    <row r="52" spans="1:3" x14ac:dyDescent="0.3">
      <c r="A52" s="205" t="s">
        <v>47</v>
      </c>
      <c r="B52" s="101">
        <f>'4.1 Comptes 2020 natures'!BA153</f>
        <v>160878.04999999999</v>
      </c>
      <c r="C52" s="101">
        <f>'4.9 Comptes 2020 par habitant'!BA153</f>
        <v>415.70555555555558</v>
      </c>
    </row>
    <row r="53" spans="1:3" x14ac:dyDescent="0.3">
      <c r="A53" s="205" t="s">
        <v>58</v>
      </c>
      <c r="B53" s="101">
        <f>'4.1 Comptes 2020 natures'!BB153</f>
        <v>192186.95</v>
      </c>
      <c r="C53" s="101">
        <f>'4.9 Comptes 2020 par habitant'!BB153</f>
        <v>175.3530565693431</v>
      </c>
    </row>
    <row r="54" spans="1:3" x14ac:dyDescent="0.3">
      <c r="A54" s="205" t="s">
        <v>50</v>
      </c>
      <c r="B54" s="101">
        <f>'4.1 Comptes 2020 natures'!BC153</f>
        <v>-14911.230000000001</v>
      </c>
      <c r="C54" s="101">
        <f>'4.9 Comptes 2020 par habitant'!BC153</f>
        <v>-79.315053191489369</v>
      </c>
    </row>
    <row r="55" spans="1:3" x14ac:dyDescent="0.3">
      <c r="A55" s="205" t="s">
        <v>16</v>
      </c>
      <c r="B55" s="101">
        <f>'4.1 Comptes 2020 natures'!BD153</f>
        <v>1253727.51</v>
      </c>
      <c r="C55" s="101">
        <f>'4.9 Comptes 2020 par habitant'!BD153</f>
        <v>194.85973111594654</v>
      </c>
    </row>
    <row r="56" spans="1:3" x14ac:dyDescent="0.3">
      <c r="A56" s="205" t="s">
        <v>25</v>
      </c>
      <c r="B56" s="101">
        <f>'4.1 Comptes 2020 natures'!BE153</f>
        <v>49199.93</v>
      </c>
      <c r="C56" s="101">
        <f>'4.9 Comptes 2020 par habitant'!BE153</f>
        <v>87.857017857142864</v>
      </c>
    </row>
    <row r="57" spans="1:3" x14ac:dyDescent="0.3">
      <c r="A57" s="206" t="s">
        <v>65</v>
      </c>
      <c r="B57" s="101">
        <f>'4.1 Comptes 2020 natures'!BF153</f>
        <v>10804534.910000002</v>
      </c>
      <c r="C57" s="101">
        <f>'4.9 Comptes 2020 par habitant'!BF153</f>
        <v>6305.5353329471554</v>
      </c>
    </row>
    <row r="58" spans="1:3" x14ac:dyDescent="0.3">
      <c r="A58" s="206" t="s">
        <v>214</v>
      </c>
      <c r="B58" s="101">
        <f>'4.1 Comptes 2020 natures'!BG153</f>
        <v>3478485.71</v>
      </c>
      <c r="C58" s="101">
        <f>'4.9 Comptes 2020 par habitant'!BG153</f>
        <v>872.21820871604996</v>
      </c>
    </row>
    <row r="59" spans="1:3" x14ac:dyDescent="0.3">
      <c r="A59" s="206" t="s">
        <v>215</v>
      </c>
      <c r="B59" s="101">
        <f>'4.1 Comptes 2020 natures'!BH153</f>
        <v>4836251.0600000005</v>
      </c>
      <c r="C59" s="101">
        <f>'4.9 Comptes 2020 par habitant'!BH153</f>
        <v>3049.9784758108126</v>
      </c>
    </row>
    <row r="60" spans="1:3" x14ac:dyDescent="0.3">
      <c r="A60" s="206" t="s">
        <v>216</v>
      </c>
      <c r="B60" s="101">
        <f>'4.1 Comptes 2020 natures'!BI153</f>
        <v>2489798.14</v>
      </c>
      <c r="C60" s="101">
        <f>'4.9 Comptes 2020 par habitant'!BI153</f>
        <v>2383.338648420292</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61"/>
  <sheetViews>
    <sheetView workbookViewId="0">
      <selection activeCell="F155" sqref="F155"/>
    </sheetView>
  </sheetViews>
  <sheetFormatPr baseColWidth="10" defaultRowHeight="14.4" x14ac:dyDescent="0.3"/>
  <cols>
    <col min="1" max="1" width="5.6640625" customWidth="1"/>
    <col min="2" max="2" width="50.33203125" customWidth="1"/>
    <col min="3" max="56" width="16.33203125" customWidth="1"/>
    <col min="57" max="59" width="17.88671875" customWidth="1"/>
  </cols>
  <sheetData>
    <row r="1" spans="1:59" ht="25.8" x14ac:dyDescent="0.5">
      <c r="A1" s="42" t="s">
        <v>461</v>
      </c>
      <c r="B1" s="7"/>
    </row>
    <row r="2" spans="1:59" ht="15" customHeight="1" x14ac:dyDescent="0.3">
      <c r="A2" s="183" t="s">
        <v>459</v>
      </c>
      <c r="B2" s="7"/>
    </row>
    <row r="3" spans="1:59" ht="15" customHeight="1" x14ac:dyDescent="0.3">
      <c r="A3" s="7"/>
      <c r="B3" s="7"/>
    </row>
    <row r="4" spans="1:59" ht="15" customHeight="1" x14ac:dyDescent="0.5">
      <c r="A4" s="42"/>
      <c r="B4" s="7"/>
    </row>
    <row r="5" spans="1:59" x14ac:dyDescent="0.3">
      <c r="A5" s="184"/>
      <c r="C5" s="57">
        <f>'Base de données pop.'!C2</f>
        <v>923</v>
      </c>
      <c r="D5" s="57">
        <f>'Base de données pop.'!C3</f>
        <v>270</v>
      </c>
      <c r="E5" s="57">
        <f>'Base de données pop.'!C4</f>
        <v>485</v>
      </c>
      <c r="F5" s="57">
        <f>'Base de données pop.'!C5</f>
        <v>446</v>
      </c>
      <c r="G5" s="57">
        <f>'Base de données pop.'!C6</f>
        <v>3631</v>
      </c>
      <c r="H5" s="57">
        <f>'Base de données pop.'!C7</f>
        <v>3313</v>
      </c>
      <c r="I5" s="57">
        <f>'Base de données pop.'!C8</f>
        <v>2644</v>
      </c>
      <c r="J5" s="57">
        <f>'Base de données pop.'!C9</f>
        <v>12618</v>
      </c>
      <c r="K5" s="57">
        <f>'Base de données pop.'!C10</f>
        <v>1371</v>
      </c>
      <c r="L5" s="57">
        <f>'Base de données pop.'!C11</f>
        <v>118</v>
      </c>
      <c r="M5" s="57">
        <f>'Base de données pop.'!C12</f>
        <v>7167</v>
      </c>
      <c r="N5" s="57">
        <f>'Base de données pop.'!C13</f>
        <v>528</v>
      </c>
      <c r="O5" s="57">
        <f>'Base de données pop.'!C14</f>
        <v>108</v>
      </c>
      <c r="P5" s="57">
        <f>'Base de données pop.'!C15</f>
        <v>415</v>
      </c>
      <c r="Q5" s="57">
        <f>'Base de données pop.'!C16</f>
        <v>349</v>
      </c>
      <c r="R5" s="57">
        <f>'Base de données pop.'!C17</f>
        <v>687</v>
      </c>
      <c r="S5" s="57">
        <f>'Base de données pop.'!C18</f>
        <v>255</v>
      </c>
      <c r="T5" s="57">
        <f>'Base de données pop.'!C19</f>
        <v>436</v>
      </c>
      <c r="U5" s="57">
        <f>'Base de données pop.'!C20</f>
        <v>3190</v>
      </c>
      <c r="V5" s="57">
        <f>'Base de données pop.'!C21</f>
        <v>324</v>
      </c>
      <c r="W5" s="57">
        <f>'Base de données pop.'!C22</f>
        <v>1246</v>
      </c>
      <c r="X5" s="57">
        <f>'Base de données pop.'!C23</f>
        <v>1528</v>
      </c>
      <c r="Y5" s="57">
        <f>'Base de données pop.'!C24</f>
        <v>96</v>
      </c>
      <c r="Z5" s="57">
        <f>'Base de données pop.'!C25</f>
        <v>149</v>
      </c>
      <c r="AA5" s="57">
        <f>'Base de données pop.'!C26</f>
        <v>516</v>
      </c>
      <c r="AB5" s="57">
        <f>'Base de données pop.'!C27</f>
        <v>671</v>
      </c>
      <c r="AC5" s="57">
        <f>'Base de données pop.'!C28</f>
        <v>572</v>
      </c>
      <c r="AD5" s="57">
        <f>'Base de données pop.'!C29</f>
        <v>490</v>
      </c>
      <c r="AE5" s="57">
        <f>'Base de données pop.'!C30</f>
        <v>1914</v>
      </c>
      <c r="AF5" s="57">
        <f>'Base de données pop.'!C31</f>
        <v>2615</v>
      </c>
      <c r="AG5" s="57">
        <f>'Base de données pop.'!C32</f>
        <v>227</v>
      </c>
      <c r="AH5" s="57">
        <f>'Base de données pop.'!C33</f>
        <v>131</v>
      </c>
      <c r="AI5" s="57">
        <f>'Base de données pop.'!C34</f>
        <v>1895</v>
      </c>
      <c r="AJ5" s="57">
        <f>'Base de données pop.'!C35</f>
        <v>1135</v>
      </c>
      <c r="AK5" s="57">
        <f>'Base de données pop.'!C36</f>
        <v>1241</v>
      </c>
      <c r="AL5" s="57">
        <f>'Base de données pop.'!C37</f>
        <v>119</v>
      </c>
      <c r="AM5" s="57">
        <f>'Base de données pop.'!C38</f>
        <v>1195</v>
      </c>
      <c r="AN5" s="57">
        <f>'Base de données pop.'!C39</f>
        <v>663</v>
      </c>
      <c r="AO5" s="57">
        <f>'Base de données pop.'!C40</f>
        <v>645</v>
      </c>
      <c r="AP5" s="57">
        <f>'Base de données pop.'!C41</f>
        <v>1263</v>
      </c>
      <c r="AQ5" s="57">
        <f>'Base de données pop.'!C42</f>
        <v>740</v>
      </c>
      <c r="AR5" s="57">
        <f>'Base de données pop.'!C43</f>
        <v>1028</v>
      </c>
      <c r="AS5" s="57">
        <f>'Base de données pop.'!C44</f>
        <v>314</v>
      </c>
      <c r="AT5" s="57">
        <f>'Base de données pop.'!C45</f>
        <v>2400</v>
      </c>
      <c r="AU5" s="57">
        <f>'Base de données pop.'!C46</f>
        <v>755</v>
      </c>
      <c r="AV5" s="57">
        <f>'Base de données pop.'!C47</f>
        <v>181</v>
      </c>
      <c r="AW5" s="57">
        <f>'Base de données pop.'!C48</f>
        <v>347</v>
      </c>
      <c r="AX5" s="57">
        <f>'Base de données pop.'!C49</f>
        <v>1690</v>
      </c>
      <c r="AY5" s="57">
        <f>'Base de données pop.'!C50</f>
        <v>387</v>
      </c>
      <c r="AZ5" s="57">
        <f>'Base de données pop.'!C51</f>
        <v>1096</v>
      </c>
      <c r="BA5" s="57">
        <f>'Base de données pop.'!C52</f>
        <v>188</v>
      </c>
      <c r="BB5" s="57">
        <f>'Base de données pop.'!C53</f>
        <v>6434</v>
      </c>
      <c r="BC5" s="57">
        <f>'Base de données pop.'!C54</f>
        <v>560</v>
      </c>
      <c r="BD5" s="57">
        <f>SUM(C5:BC5)</f>
        <v>73709</v>
      </c>
      <c r="BE5" s="57">
        <f>SUM(C5:U5)</f>
        <v>38954</v>
      </c>
      <c r="BF5" s="57">
        <f>SUM(V5:AH5)</f>
        <v>10479</v>
      </c>
      <c r="BG5" s="57">
        <f>SUM(AI5:BC5)</f>
        <v>24276</v>
      </c>
    </row>
    <row r="6" spans="1:59" x14ac:dyDescent="0.3">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3">
      <c r="A7" s="67">
        <v>10</v>
      </c>
      <c r="B7" s="67" t="s">
        <v>247</v>
      </c>
      <c r="C7" s="101">
        <f>'5. Bilan'!F5</f>
        <v>6025500.6899999995</v>
      </c>
      <c r="D7" s="101">
        <f>'5. Bilan'!G5</f>
        <v>1369739.14</v>
      </c>
      <c r="E7" s="101">
        <f>'5. Bilan'!H5</f>
        <v>4309212.78</v>
      </c>
      <c r="F7" s="101">
        <f>'5. Bilan'!I5</f>
        <v>4657259.62</v>
      </c>
      <c r="G7" s="101">
        <f>'5. Bilan'!J5</f>
        <v>15173301.85</v>
      </c>
      <c r="H7" s="101">
        <f>'5. Bilan'!K5</f>
        <v>8929891.379999999</v>
      </c>
      <c r="I7" s="101">
        <f>'5. Bilan'!L5</f>
        <v>10459838.139999999</v>
      </c>
      <c r="J7" s="101">
        <f>'5. Bilan'!M5</f>
        <v>48329637.409999996</v>
      </c>
      <c r="K7" s="101">
        <f>'5. Bilan'!N5</f>
        <v>4231787.96</v>
      </c>
      <c r="L7" s="101">
        <f>'5. Bilan'!O5</f>
        <v>401366.44</v>
      </c>
      <c r="M7" s="101">
        <f>'5. Bilan'!P5</f>
        <v>19270794.450000003</v>
      </c>
      <c r="N7" s="101">
        <f>'5. Bilan'!Q5</f>
        <v>2306934.9900000002</v>
      </c>
      <c r="O7" s="101">
        <f>'5. Bilan'!R5</f>
        <v>340332.25000000006</v>
      </c>
      <c r="P7" s="101">
        <f>'5. Bilan'!S5</f>
        <v>1454184.04</v>
      </c>
      <c r="Q7" s="101">
        <f>'5. Bilan'!T5</f>
        <v>2240322.35</v>
      </c>
      <c r="R7" s="101">
        <f>'5. Bilan'!U5</f>
        <v>5578034.3599999994</v>
      </c>
      <c r="S7" s="101">
        <f>'5. Bilan'!V5</f>
        <v>797906.42</v>
      </c>
      <c r="T7" s="101">
        <f>'5. Bilan'!W5</f>
        <v>2606499.7699999996</v>
      </c>
      <c r="U7" s="101">
        <f>'5. Bilan'!X5</f>
        <v>5690503.7400000002</v>
      </c>
      <c r="V7" s="101">
        <f>'5. Bilan'!Y5</f>
        <v>1782334.11</v>
      </c>
      <c r="W7" s="101">
        <f>'5. Bilan'!Z5</f>
        <v>4607305.3099999996</v>
      </c>
      <c r="X7" s="101">
        <f>'5. Bilan'!AA5</f>
        <v>22682781.649999999</v>
      </c>
      <c r="Y7" s="101">
        <f>'5. Bilan'!AB5</f>
        <v>514539.83999999997</v>
      </c>
      <c r="Z7" s="101">
        <f>'5. Bilan'!AC5</f>
        <v>1718422.2500000002</v>
      </c>
      <c r="AA7" s="101">
        <f>'5. Bilan'!AD5</f>
        <v>3153746.6100000003</v>
      </c>
      <c r="AB7" s="101">
        <f>'5. Bilan'!AE5</f>
        <v>3204642.4699999997</v>
      </c>
      <c r="AC7" s="101">
        <f>'5. Bilan'!AF5</f>
        <v>2898436.0999999996</v>
      </c>
      <c r="AD7" s="101">
        <f>'5. Bilan'!AG5</f>
        <v>4936104.3499999996</v>
      </c>
      <c r="AE7" s="101">
        <f>'5. Bilan'!AH5</f>
        <v>9508703.8300000001</v>
      </c>
      <c r="AF7" s="101">
        <f>'5. Bilan'!AI5</f>
        <v>10854436.879999999</v>
      </c>
      <c r="AG7" s="101">
        <f>'5. Bilan'!AJ5</f>
        <v>1895624.56</v>
      </c>
      <c r="AH7" s="101">
        <f>'5. Bilan'!AK5</f>
        <v>2296499.59</v>
      </c>
      <c r="AI7" s="101">
        <f>'5. Bilan'!AL5</f>
        <v>5395628.6899999995</v>
      </c>
      <c r="AJ7" s="101">
        <f>'5. Bilan'!AM5</f>
        <v>5311232.7699999996</v>
      </c>
      <c r="AK7" s="101">
        <f>'5. Bilan'!AN5</f>
        <v>5192149.76</v>
      </c>
      <c r="AL7" s="101">
        <f>'5. Bilan'!AO5</f>
        <v>945916.81999999983</v>
      </c>
      <c r="AM7" s="101">
        <f>'5. Bilan'!AP5</f>
        <v>14951876.23</v>
      </c>
      <c r="AN7" s="101">
        <f>'5. Bilan'!AQ5</f>
        <v>4059251.8099999996</v>
      </c>
      <c r="AO7" s="101">
        <f>'5. Bilan'!AR5</f>
        <v>3653483.9</v>
      </c>
      <c r="AP7" s="101">
        <f>'5. Bilan'!AS5</f>
        <v>12084593.449999999</v>
      </c>
      <c r="AQ7" s="101">
        <f>'5. Bilan'!AT5</f>
        <v>2583134</v>
      </c>
      <c r="AR7" s="101">
        <f>'5. Bilan'!AU5</f>
        <v>4268060.6800000006</v>
      </c>
      <c r="AS7" s="101">
        <f>'5. Bilan'!AV5</f>
        <v>3818782.6800000006</v>
      </c>
      <c r="AT7" s="101">
        <f>'5. Bilan'!AW5</f>
        <v>6505495.3100000005</v>
      </c>
      <c r="AU7" s="101">
        <f>'5. Bilan'!AX5</f>
        <v>3077294.9799999995</v>
      </c>
      <c r="AV7" s="101">
        <f>'5. Bilan'!AY5</f>
        <v>678851.45</v>
      </c>
      <c r="AW7" s="101">
        <f>'5. Bilan'!AZ5</f>
        <v>2359237.4</v>
      </c>
      <c r="AX7" s="101">
        <f>'5. Bilan'!BA5</f>
        <v>4869007.3099999996</v>
      </c>
      <c r="AY7" s="101">
        <f>'5. Bilan'!BB5</f>
        <v>3035892.37</v>
      </c>
      <c r="AZ7" s="101">
        <f>'5. Bilan'!BC5</f>
        <v>4691561.72</v>
      </c>
      <c r="BA7" s="101">
        <f>'5. Bilan'!BD5</f>
        <v>866228.97</v>
      </c>
      <c r="BB7" s="101">
        <f>'5. Bilan'!BE5</f>
        <v>30853239.349999994</v>
      </c>
      <c r="BC7" s="101">
        <f>'5. Bilan'!BF5</f>
        <v>2569790.9000000004</v>
      </c>
      <c r="BD7" s="101">
        <f>SUM(C7:BC7)</f>
        <v>335997335.88</v>
      </c>
      <c r="BE7" s="101">
        <f>SUM(C7:U7)</f>
        <v>144173047.77999997</v>
      </c>
      <c r="BF7" s="101">
        <f>SUM(V7:AH7)</f>
        <v>70053577.550000012</v>
      </c>
      <c r="BG7" s="101">
        <f>SUM(AI7:BC7)</f>
        <v>121770710.55000001</v>
      </c>
    </row>
    <row r="8" spans="1:59" x14ac:dyDescent="0.3">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3">
      <c r="A9" s="67">
        <v>20</v>
      </c>
      <c r="B9" s="67" t="s">
        <v>259</v>
      </c>
      <c r="C9" s="101">
        <f>'5. Bilan'!F121</f>
        <v>9136260.5199999996</v>
      </c>
      <c r="D9" s="101">
        <f>'5. Bilan'!G121</f>
        <v>2523210.25</v>
      </c>
      <c r="E9" s="101">
        <f>'5. Bilan'!H121</f>
        <v>6461558.5199999996</v>
      </c>
      <c r="F9" s="101">
        <f>'5. Bilan'!I121</f>
        <v>4936358.18</v>
      </c>
      <c r="G9" s="101">
        <f>'5. Bilan'!J121</f>
        <v>26343468.57</v>
      </c>
      <c r="H9" s="101">
        <f>'5. Bilan'!K121</f>
        <v>25837679.66</v>
      </c>
      <c r="I9" s="101">
        <f>'5. Bilan'!L121</f>
        <v>11484688.109999999</v>
      </c>
      <c r="J9" s="101">
        <f>'5. Bilan'!M121</f>
        <v>139191397.21999997</v>
      </c>
      <c r="K9" s="101">
        <f>'5. Bilan'!N121</f>
        <v>7307071.8300000001</v>
      </c>
      <c r="L9" s="101">
        <f>'5. Bilan'!O121</f>
        <v>862038.84000000008</v>
      </c>
      <c r="M9" s="154">
        <f>'5. Bilan'!P121</f>
        <v>46214165.719999999</v>
      </c>
      <c r="N9" s="101">
        <f>'5. Bilan'!Q121</f>
        <v>3674228.8800000004</v>
      </c>
      <c r="O9" s="101">
        <f>'5. Bilan'!R121</f>
        <v>585366.75</v>
      </c>
      <c r="P9" s="101">
        <f>'5. Bilan'!S121</f>
        <v>3329882.66</v>
      </c>
      <c r="Q9" s="101">
        <f>'5. Bilan'!T121</f>
        <v>4328768.28</v>
      </c>
      <c r="R9" s="101">
        <f>'5. Bilan'!U121</f>
        <v>5783474.6900000004</v>
      </c>
      <c r="S9" s="101">
        <f>'5. Bilan'!V121</f>
        <v>1064577.6300000001</v>
      </c>
      <c r="T9" s="101">
        <f>'5. Bilan'!W121</f>
        <v>4351613.58</v>
      </c>
      <c r="U9" s="101">
        <f>'5. Bilan'!X121</f>
        <v>16521169.08</v>
      </c>
      <c r="V9" s="101">
        <f>'5. Bilan'!Y121</f>
        <v>701823.61</v>
      </c>
      <c r="W9" s="101">
        <f>'5. Bilan'!Z121</f>
        <v>12393883.23</v>
      </c>
      <c r="X9" s="101">
        <f>'5. Bilan'!AA121</f>
        <v>13352559.84</v>
      </c>
      <c r="Y9" s="101">
        <f>'5. Bilan'!AB121</f>
        <v>650530.85</v>
      </c>
      <c r="Z9" s="101">
        <f>'5. Bilan'!AC121</f>
        <v>1324155.57</v>
      </c>
      <c r="AA9" s="101">
        <f>'5. Bilan'!AD121</f>
        <v>3949290.9899999998</v>
      </c>
      <c r="AB9" s="101">
        <f>'5. Bilan'!AE121</f>
        <v>8603148.8800000008</v>
      </c>
      <c r="AC9" s="101">
        <f>'5. Bilan'!AF121</f>
        <v>4184157.13</v>
      </c>
      <c r="AD9" s="101">
        <f>'5. Bilan'!AG121</f>
        <v>1835141.4</v>
      </c>
      <c r="AE9" s="101">
        <f>'5. Bilan'!AH121</f>
        <v>8867147.3900000006</v>
      </c>
      <c r="AF9" s="101">
        <f>'5. Bilan'!AI121</f>
        <v>21041584.219999999</v>
      </c>
      <c r="AG9" s="101">
        <f>'5. Bilan'!AJ121</f>
        <v>1776842.86</v>
      </c>
      <c r="AH9" s="101">
        <f>'5. Bilan'!AK121</f>
        <v>1181704</v>
      </c>
      <c r="AI9" s="101">
        <f>'5. Bilan'!AL121</f>
        <v>17629904.52</v>
      </c>
      <c r="AJ9" s="101">
        <f>'5. Bilan'!AM121</f>
        <v>10327486.98</v>
      </c>
      <c r="AK9" s="101">
        <f>'5. Bilan'!AN121</f>
        <v>11723916.060000002</v>
      </c>
      <c r="AL9" s="101">
        <f>'5. Bilan'!AO121</f>
        <v>2118226.58</v>
      </c>
      <c r="AM9" s="101">
        <f>'5. Bilan'!AP121</f>
        <v>11108782.970000001</v>
      </c>
      <c r="AN9" s="101">
        <f>'5. Bilan'!AQ121</f>
        <v>5278048.49</v>
      </c>
      <c r="AO9" s="101">
        <f>'5. Bilan'!AR121</f>
        <v>4581585.83</v>
      </c>
      <c r="AP9" s="101">
        <f>'5. Bilan'!AS121</f>
        <v>10511435.380000001</v>
      </c>
      <c r="AQ9" s="101">
        <f>'5. Bilan'!AT121</f>
        <v>5932741.29</v>
      </c>
      <c r="AR9" s="101">
        <f>'5. Bilan'!AU121</f>
        <v>8541645.5500000007</v>
      </c>
      <c r="AS9" s="101">
        <f>'5. Bilan'!AV121</f>
        <v>2009618.6500000001</v>
      </c>
      <c r="AT9" s="101">
        <f>'5. Bilan'!AW121</f>
        <v>14597972.57</v>
      </c>
      <c r="AU9" s="101">
        <f>'5. Bilan'!AX121</f>
        <v>6019600.25</v>
      </c>
      <c r="AV9" s="101">
        <f>'5. Bilan'!AY121</f>
        <v>982153.85</v>
      </c>
      <c r="AW9" s="101">
        <f>'5. Bilan'!AZ121</f>
        <v>2330422.44</v>
      </c>
      <c r="AX9" s="101">
        <f>'5. Bilan'!BA121</f>
        <v>21035834.379999999</v>
      </c>
      <c r="AY9" s="101">
        <f>'5. Bilan'!BB121</f>
        <v>1750180.59</v>
      </c>
      <c r="AZ9" s="101">
        <f>'5. Bilan'!BC121</f>
        <v>10648246.140000001</v>
      </c>
      <c r="BA9" s="101">
        <f>'5. Bilan'!BD121</f>
        <v>295678.96000000002</v>
      </c>
      <c r="BB9" s="101">
        <f>'5. Bilan'!BE121</f>
        <v>69383333.870000005</v>
      </c>
      <c r="BC9" s="101">
        <f>'5. Bilan'!BF121</f>
        <v>4724519.8</v>
      </c>
      <c r="BD9" s="101">
        <f>SUM(C9:BC9)</f>
        <v>621330284.08999991</v>
      </c>
      <c r="BE9" s="101">
        <f t="shared" ref="BE9:BE24" si="0">SUM(C9:U9)</f>
        <v>319936978.96999991</v>
      </c>
      <c r="BF9" s="101">
        <f t="shared" ref="BF9:BF24" si="1">SUM(V9:AH9)</f>
        <v>79861969.969999999</v>
      </c>
      <c r="BG9" s="101">
        <f t="shared" ref="BG9:BG24" si="2">SUM(AI9:BC9)</f>
        <v>221531335.15000001</v>
      </c>
    </row>
    <row r="10" spans="1:59" x14ac:dyDescent="0.3">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3">
      <c r="A11" s="67">
        <v>200</v>
      </c>
      <c r="B11" s="67" t="s">
        <v>460</v>
      </c>
      <c r="C11" s="101">
        <f>'5. Bilan'!F122</f>
        <v>3771.65</v>
      </c>
      <c r="D11" s="101">
        <f>'5. Bilan'!G122</f>
        <v>44599</v>
      </c>
      <c r="E11" s="101">
        <f>'5. Bilan'!H122</f>
        <v>112759.55</v>
      </c>
      <c r="F11" s="101">
        <f>'5. Bilan'!I122</f>
        <v>235227.35</v>
      </c>
      <c r="G11" s="101">
        <f>'5. Bilan'!J122</f>
        <v>600201.06999999995</v>
      </c>
      <c r="H11" s="101">
        <f>'5. Bilan'!K122</f>
        <v>1247071.52</v>
      </c>
      <c r="I11" s="101">
        <f>'5. Bilan'!L122</f>
        <v>201552.2</v>
      </c>
      <c r="J11" s="101">
        <f>'5. Bilan'!M122</f>
        <v>9604614.6600000001</v>
      </c>
      <c r="K11" s="101">
        <f>'5. Bilan'!N122</f>
        <v>409615.93</v>
      </c>
      <c r="L11" s="101">
        <f>'5. Bilan'!O122</f>
        <v>0</v>
      </c>
      <c r="M11" s="101">
        <f>'5. Bilan'!P122</f>
        <v>1453277.2199999997</v>
      </c>
      <c r="N11" s="101">
        <f>'5. Bilan'!Q122</f>
        <v>97190.07</v>
      </c>
      <c r="O11" s="101">
        <f>'5. Bilan'!R122</f>
        <v>25537.75</v>
      </c>
      <c r="P11" s="101">
        <f>'5. Bilan'!S122</f>
        <v>266808.40999999997</v>
      </c>
      <c r="Q11" s="101">
        <f>'5. Bilan'!T122</f>
        <v>563608.91</v>
      </c>
      <c r="R11" s="101">
        <f>'5. Bilan'!U122</f>
        <v>394276.37</v>
      </c>
      <c r="S11" s="101">
        <f>'5. Bilan'!V122</f>
        <v>213190.62</v>
      </c>
      <c r="T11" s="101">
        <f>'5. Bilan'!W122</f>
        <v>221716.44999999998</v>
      </c>
      <c r="U11" s="101">
        <f>'5. Bilan'!X122</f>
        <v>2071297.1199999999</v>
      </c>
      <c r="V11" s="101">
        <f>'5. Bilan'!Y122</f>
        <v>0</v>
      </c>
      <c r="W11" s="101">
        <f>'5. Bilan'!Z122</f>
        <v>8866789.9800000004</v>
      </c>
      <c r="X11" s="101">
        <f>'5. Bilan'!AA122</f>
        <v>3389024.96</v>
      </c>
      <c r="Y11" s="101">
        <f>'5. Bilan'!AB122</f>
        <v>33957.25</v>
      </c>
      <c r="Z11" s="101">
        <f>'5. Bilan'!AC122</f>
        <v>31444.129999999997</v>
      </c>
      <c r="AA11" s="101">
        <f>'5. Bilan'!AD122</f>
        <v>287157.11</v>
      </c>
      <c r="AB11" s="101">
        <f>'5. Bilan'!AE122</f>
        <v>667667.15</v>
      </c>
      <c r="AC11" s="101">
        <f>'5. Bilan'!AF122</f>
        <v>0</v>
      </c>
      <c r="AD11" s="101">
        <f>'5. Bilan'!AG122</f>
        <v>163650.84999999998</v>
      </c>
      <c r="AE11" s="101">
        <f>'5. Bilan'!AH122</f>
        <v>1264494.6400000001</v>
      </c>
      <c r="AF11" s="101">
        <f>'5. Bilan'!AI122</f>
        <v>283596.94999999995</v>
      </c>
      <c r="AG11" s="101">
        <f>'5. Bilan'!AJ122</f>
        <v>613599.80000000005</v>
      </c>
      <c r="AH11" s="101">
        <f>'5. Bilan'!AK122</f>
        <v>43246.05</v>
      </c>
      <c r="AI11" s="101">
        <f>'5. Bilan'!AL122</f>
        <v>341959.9</v>
      </c>
      <c r="AJ11" s="101">
        <f>'5. Bilan'!AM122</f>
        <v>16414.79</v>
      </c>
      <c r="AK11" s="101">
        <f>'5. Bilan'!AN122</f>
        <v>228127.4</v>
      </c>
      <c r="AL11" s="101">
        <f>'5. Bilan'!AO122</f>
        <v>30726.94</v>
      </c>
      <c r="AM11" s="101">
        <f>'5. Bilan'!AP122</f>
        <v>1175364.1000000001</v>
      </c>
      <c r="AN11" s="101">
        <f>'5. Bilan'!AQ122</f>
        <v>422314.19</v>
      </c>
      <c r="AO11" s="101">
        <f>'5. Bilan'!AR122</f>
        <v>135767.88</v>
      </c>
      <c r="AP11" s="101">
        <f>'5. Bilan'!AS122</f>
        <v>322954.8</v>
      </c>
      <c r="AQ11" s="101">
        <f>'5. Bilan'!AT122</f>
        <v>362403.69</v>
      </c>
      <c r="AR11" s="101">
        <f>'5. Bilan'!AU122</f>
        <v>315891.65999999997</v>
      </c>
      <c r="AS11" s="101">
        <f>'5. Bilan'!AV122</f>
        <v>47182.1</v>
      </c>
      <c r="AT11" s="101">
        <f>'5. Bilan'!AW122</f>
        <v>526840.46</v>
      </c>
      <c r="AU11" s="101">
        <f>'5. Bilan'!AX122</f>
        <v>125306.3</v>
      </c>
      <c r="AV11" s="101">
        <f>'5. Bilan'!AY122</f>
        <v>18759.349999999999</v>
      </c>
      <c r="AW11" s="101">
        <f>'5. Bilan'!AZ122</f>
        <v>158646.04999999999</v>
      </c>
      <c r="AX11" s="101">
        <f>'5. Bilan'!BA122</f>
        <v>1392297.75</v>
      </c>
      <c r="AY11" s="101">
        <f>'5. Bilan'!BB122</f>
        <v>34063.440000000002</v>
      </c>
      <c r="AZ11" s="101">
        <f>'5. Bilan'!BC122</f>
        <v>1010318.05</v>
      </c>
      <c r="BA11" s="101">
        <f>'5. Bilan'!BD122</f>
        <v>57543.880000000005</v>
      </c>
      <c r="BB11" s="101">
        <f>'5. Bilan'!BE122</f>
        <v>2286095.0300000003</v>
      </c>
      <c r="BC11" s="101">
        <f>'5. Bilan'!BF122</f>
        <v>403308.85</v>
      </c>
      <c r="BD11" s="101">
        <f>SUM(C11:BC11)</f>
        <v>42823231.329999983</v>
      </c>
      <c r="BE11" s="101">
        <f t="shared" si="0"/>
        <v>17766315.849999998</v>
      </c>
      <c r="BF11" s="101">
        <f t="shared" si="1"/>
        <v>15644628.870000003</v>
      </c>
      <c r="BG11" s="101">
        <f t="shared" si="2"/>
        <v>9412286.6099999994</v>
      </c>
    </row>
    <row r="12" spans="1:59" x14ac:dyDescent="0.3">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3">
      <c r="A13" s="67">
        <v>201</v>
      </c>
      <c r="B13" s="67" t="s">
        <v>261</v>
      </c>
      <c r="C13" s="101">
        <f>'5. Bilan'!F132</f>
        <v>3909040.7600000002</v>
      </c>
      <c r="D13" s="101">
        <f>'5. Bilan'!G132</f>
        <v>112700</v>
      </c>
      <c r="E13" s="101">
        <f>'5. Bilan'!H132</f>
        <v>180090.75</v>
      </c>
      <c r="F13" s="101">
        <f>'5. Bilan'!I132</f>
        <v>352998.32999999996</v>
      </c>
      <c r="G13" s="101">
        <f>'5. Bilan'!J132</f>
        <v>4511771.7</v>
      </c>
      <c r="H13" s="101">
        <f>'5. Bilan'!K132</f>
        <v>5916914</v>
      </c>
      <c r="I13" s="101">
        <f>'5. Bilan'!L132</f>
        <v>0</v>
      </c>
      <c r="J13" s="101">
        <f>'5. Bilan'!M132</f>
        <v>49004578.5</v>
      </c>
      <c r="K13" s="101">
        <f>'5. Bilan'!N132</f>
        <v>267000</v>
      </c>
      <c r="L13" s="101">
        <f>'5. Bilan'!O132</f>
        <v>0</v>
      </c>
      <c r="M13" s="101">
        <f>'5. Bilan'!P132</f>
        <v>12857311.639999999</v>
      </c>
      <c r="N13" s="101">
        <f>'5. Bilan'!Q132</f>
        <v>1264473.8700000001</v>
      </c>
      <c r="O13" s="101">
        <f>'5. Bilan'!R132</f>
        <v>125256.5</v>
      </c>
      <c r="P13" s="101">
        <f>'5. Bilan'!S132</f>
        <v>0</v>
      </c>
      <c r="Q13" s="101">
        <f>'5. Bilan'!T132</f>
        <v>2512156.62</v>
      </c>
      <c r="R13" s="101">
        <f>'5. Bilan'!U132</f>
        <v>0</v>
      </c>
      <c r="S13" s="101">
        <f>'5. Bilan'!V132</f>
        <v>160308.08000000002</v>
      </c>
      <c r="T13" s="101">
        <f>'5. Bilan'!W132</f>
        <v>1963055.37</v>
      </c>
      <c r="U13" s="101">
        <f>'5. Bilan'!X132</f>
        <v>-76048.84</v>
      </c>
      <c r="V13" s="101">
        <f>'5. Bilan'!Y132</f>
        <v>63507.4</v>
      </c>
      <c r="W13" s="101">
        <f>'5. Bilan'!Z132</f>
        <v>0</v>
      </c>
      <c r="X13" s="101">
        <f>'5. Bilan'!AA132</f>
        <v>0</v>
      </c>
      <c r="Y13" s="101">
        <f>'5. Bilan'!AB132</f>
        <v>0</v>
      </c>
      <c r="Z13" s="101">
        <f>'5. Bilan'!AC132</f>
        <v>0</v>
      </c>
      <c r="AA13" s="101">
        <f>'5. Bilan'!AD132</f>
        <v>795091.5</v>
      </c>
      <c r="AB13" s="101">
        <f>'5. Bilan'!AE132</f>
        <v>87760.01</v>
      </c>
      <c r="AC13" s="101">
        <f>'5. Bilan'!AF132</f>
        <v>195428.94</v>
      </c>
      <c r="AD13" s="101">
        <f>'5. Bilan'!AG132</f>
        <v>484090.64999999997</v>
      </c>
      <c r="AE13" s="101">
        <f>'5. Bilan'!AH132</f>
        <v>1436720.75</v>
      </c>
      <c r="AF13" s="101">
        <f>'5. Bilan'!AI132</f>
        <v>7465503.8499999996</v>
      </c>
      <c r="AG13" s="101">
        <f>'5. Bilan'!AJ132</f>
        <v>64804.639999999999</v>
      </c>
      <c r="AH13" s="101">
        <f>'5. Bilan'!AK132</f>
        <v>148300</v>
      </c>
      <c r="AI13" s="101">
        <f>'5. Bilan'!AL132</f>
        <v>0</v>
      </c>
      <c r="AJ13" s="101">
        <f>'5. Bilan'!AM132</f>
        <v>1134925.8399999999</v>
      </c>
      <c r="AK13" s="101">
        <f>'5. Bilan'!AN132</f>
        <v>438479.73</v>
      </c>
      <c r="AL13" s="101">
        <f>'5. Bilan'!AO132</f>
        <v>0</v>
      </c>
      <c r="AM13" s="101">
        <f>'5. Bilan'!AP132</f>
        <v>1000000</v>
      </c>
      <c r="AN13" s="101">
        <f>'5. Bilan'!AQ132</f>
        <v>50050</v>
      </c>
      <c r="AO13" s="101">
        <f>'5. Bilan'!AR132</f>
        <v>334240</v>
      </c>
      <c r="AP13" s="101">
        <f>'5. Bilan'!AS132</f>
        <v>524000</v>
      </c>
      <c r="AQ13" s="101">
        <f>'5. Bilan'!AT132</f>
        <v>333359.06</v>
      </c>
      <c r="AR13" s="101">
        <f>'5. Bilan'!AU132</f>
        <v>276059</v>
      </c>
      <c r="AS13" s="101">
        <f>'5. Bilan'!AV132</f>
        <v>19300</v>
      </c>
      <c r="AT13" s="101">
        <f>'5. Bilan'!AW132</f>
        <v>0</v>
      </c>
      <c r="AU13" s="101">
        <f>'5. Bilan'!AX132</f>
        <v>1227600</v>
      </c>
      <c r="AV13" s="101">
        <f>'5. Bilan'!AY132</f>
        <v>0</v>
      </c>
      <c r="AW13" s="101">
        <f>'5. Bilan'!AZ132</f>
        <v>235243.64</v>
      </c>
      <c r="AX13" s="101">
        <f>'5. Bilan'!BA132</f>
        <v>530829.82999999996</v>
      </c>
      <c r="AY13" s="101">
        <f>'5. Bilan'!BB132</f>
        <v>772673.41</v>
      </c>
      <c r="AZ13" s="101">
        <f>'5. Bilan'!BC132</f>
        <v>988442.09</v>
      </c>
      <c r="BA13" s="101">
        <f>'5. Bilan'!BD132</f>
        <v>0</v>
      </c>
      <c r="BB13" s="101">
        <f>'5. Bilan'!BE132</f>
        <v>10110840.08</v>
      </c>
      <c r="BC13" s="101">
        <f>'5. Bilan'!BF132</f>
        <v>150426</v>
      </c>
      <c r="BD13" s="101">
        <f>SUM(C13:BC13)</f>
        <v>111929283.70000002</v>
      </c>
      <c r="BE13" s="101">
        <f t="shared" si="0"/>
        <v>83061607.280000001</v>
      </c>
      <c r="BF13" s="101">
        <f t="shared" si="1"/>
        <v>10741207.74</v>
      </c>
      <c r="BG13" s="101">
        <f t="shared" si="2"/>
        <v>18126468.68</v>
      </c>
    </row>
    <row r="14" spans="1:59" x14ac:dyDescent="0.3">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3">
      <c r="A15" s="67">
        <v>206</v>
      </c>
      <c r="B15" s="67" t="s">
        <v>264</v>
      </c>
      <c r="C15" s="101">
        <f>'5. Bilan'!F164</f>
        <v>4874949.96</v>
      </c>
      <c r="D15" s="101">
        <f>'5. Bilan'!G164</f>
        <v>2330502.85</v>
      </c>
      <c r="E15" s="101">
        <f>'5. Bilan'!H164</f>
        <v>5359040</v>
      </c>
      <c r="F15" s="101">
        <f>'5. Bilan'!I164</f>
        <v>3992448.21</v>
      </c>
      <c r="G15" s="101">
        <f>'5. Bilan'!J164</f>
        <v>20219956.25</v>
      </c>
      <c r="H15" s="101">
        <f>'5. Bilan'!K164</f>
        <v>16975600</v>
      </c>
      <c r="I15" s="101">
        <f>'5. Bilan'!L164</f>
        <v>10391906.689999999</v>
      </c>
      <c r="J15" s="101">
        <f>'5. Bilan'!M164</f>
        <v>74043576.549999997</v>
      </c>
      <c r="K15" s="101">
        <f>'5. Bilan'!N164</f>
        <v>6416829.75</v>
      </c>
      <c r="L15" s="101">
        <f>'5. Bilan'!O164</f>
        <v>825716.9</v>
      </c>
      <c r="M15" s="101">
        <f>'5. Bilan'!P164</f>
        <v>30426335.699999999</v>
      </c>
      <c r="N15" s="101">
        <f>'5. Bilan'!Q164</f>
        <v>1797463.35</v>
      </c>
      <c r="O15" s="101">
        <f>'5. Bilan'!R164</f>
        <v>385600</v>
      </c>
      <c r="P15" s="101">
        <f>'5. Bilan'!S164</f>
        <v>3046722.25</v>
      </c>
      <c r="Q15" s="101">
        <f>'5. Bilan'!T164</f>
        <v>1129011</v>
      </c>
      <c r="R15" s="101">
        <f>'5. Bilan'!U164</f>
        <v>5103900</v>
      </c>
      <c r="S15" s="101">
        <f>'5. Bilan'!V164</f>
        <v>564750</v>
      </c>
      <c r="T15" s="101">
        <f>'5. Bilan'!W164</f>
        <v>1959468.1</v>
      </c>
      <c r="U15" s="101">
        <f>'5. Bilan'!X164</f>
        <v>13434310</v>
      </c>
      <c r="V15" s="101">
        <f>'5. Bilan'!Y164</f>
        <v>504064</v>
      </c>
      <c r="W15" s="101">
        <f>'5. Bilan'!Z164</f>
        <v>3210200</v>
      </c>
      <c r="X15" s="101">
        <f>'5. Bilan'!AA164</f>
        <v>4729200</v>
      </c>
      <c r="Y15" s="101">
        <f>'5. Bilan'!AB164</f>
        <v>610190</v>
      </c>
      <c r="Z15" s="101">
        <f>'5. Bilan'!AC164</f>
        <v>1200000</v>
      </c>
      <c r="AA15" s="101">
        <f>'5. Bilan'!AD164</f>
        <v>2672245</v>
      </c>
      <c r="AB15" s="101">
        <f>'5. Bilan'!AE164</f>
        <v>7824482.2800000003</v>
      </c>
      <c r="AC15" s="101">
        <f>'5. Bilan'!AF164</f>
        <v>3642000</v>
      </c>
      <c r="AD15" s="101">
        <f>'5. Bilan'!AG164</f>
        <v>515000</v>
      </c>
      <c r="AE15" s="101">
        <f>'5. Bilan'!AH164</f>
        <v>5331400</v>
      </c>
      <c r="AF15" s="101">
        <f>'5. Bilan'!AI164</f>
        <v>11523397.299999999</v>
      </c>
      <c r="AG15" s="101">
        <f>'5. Bilan'!AJ164</f>
        <v>912417.62</v>
      </c>
      <c r="AH15" s="101">
        <f>'5. Bilan'!AK164</f>
        <v>971910</v>
      </c>
      <c r="AI15" s="101">
        <f>'5. Bilan'!AL164</f>
        <v>17252944.620000001</v>
      </c>
      <c r="AJ15" s="101">
        <f>'5. Bilan'!AM164</f>
        <v>8541150</v>
      </c>
      <c r="AK15" s="101">
        <f>'5. Bilan'!AN164</f>
        <v>10805793.380000001</v>
      </c>
      <c r="AL15" s="101">
        <f>'5. Bilan'!AO164</f>
        <v>1600000</v>
      </c>
      <c r="AM15" s="101">
        <f>'5. Bilan'!AP164</f>
        <v>8720525</v>
      </c>
      <c r="AN15" s="101">
        <f>'5. Bilan'!AQ164</f>
        <v>4736229.05</v>
      </c>
      <c r="AO15" s="101">
        <f>'5. Bilan'!AR164</f>
        <v>3968985</v>
      </c>
      <c r="AP15" s="101">
        <f>'5. Bilan'!AS164</f>
        <v>9226404.7300000004</v>
      </c>
      <c r="AQ15" s="101">
        <f>'5. Bilan'!AT164</f>
        <v>5073767.0999999996</v>
      </c>
      <c r="AR15" s="101">
        <f>'5. Bilan'!AU164</f>
        <v>7532739.1200000001</v>
      </c>
      <c r="AS15" s="101">
        <f>'5. Bilan'!AV164</f>
        <v>1825965</v>
      </c>
      <c r="AT15" s="101">
        <f>'5. Bilan'!AW164</f>
        <v>13357775</v>
      </c>
      <c r="AU15" s="101">
        <f>'5. Bilan'!AX164</f>
        <v>4368892</v>
      </c>
      <c r="AV15" s="101">
        <f>'5. Bilan'!AY164</f>
        <v>676480</v>
      </c>
      <c r="AW15" s="101">
        <f>'5. Bilan'!AZ164</f>
        <v>1825900</v>
      </c>
      <c r="AX15" s="101">
        <f>'5. Bilan'!BA164</f>
        <v>18661404.399999999</v>
      </c>
      <c r="AY15" s="101">
        <f>'5. Bilan'!BB164</f>
        <v>871280</v>
      </c>
      <c r="AZ15" s="101">
        <f>'5. Bilan'!BC164</f>
        <v>8226220</v>
      </c>
      <c r="BA15" s="101">
        <f>'5. Bilan'!BD164</f>
        <v>148745.70000000001</v>
      </c>
      <c r="BB15" s="101">
        <f>'5. Bilan'!BE164</f>
        <v>54697562</v>
      </c>
      <c r="BC15" s="101">
        <f>'5. Bilan'!BF164</f>
        <v>3874321.95</v>
      </c>
      <c r="BD15" s="101">
        <f>SUM(C15:BC15)</f>
        <v>432917677.81</v>
      </c>
      <c r="BE15" s="101">
        <f t="shared" si="0"/>
        <v>203278087.55999997</v>
      </c>
      <c r="BF15" s="101">
        <f t="shared" si="1"/>
        <v>43646506.199999996</v>
      </c>
      <c r="BG15" s="101">
        <f t="shared" si="2"/>
        <v>185993084.05000001</v>
      </c>
    </row>
    <row r="16" spans="1:59" x14ac:dyDescent="0.3">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3">
      <c r="A17" s="67">
        <v>2016</v>
      </c>
      <c r="B17" s="67" t="s">
        <v>276</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3">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3">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3">
      <c r="A20" s="67"/>
      <c r="B20" s="99" t="s">
        <v>653</v>
      </c>
      <c r="C20" s="180">
        <f>C11+C13+C15-C17</f>
        <v>8787762.370000001</v>
      </c>
      <c r="D20" s="180">
        <f t="shared" ref="D20:BC20" si="3">D11+D13+D15-D17</f>
        <v>2487801.85</v>
      </c>
      <c r="E20" s="180">
        <f t="shared" si="3"/>
        <v>5651890.2999999998</v>
      </c>
      <c r="F20" s="180">
        <f t="shared" si="3"/>
        <v>4580673.8899999997</v>
      </c>
      <c r="G20" s="180">
        <f t="shared" si="3"/>
        <v>25331929.02</v>
      </c>
      <c r="H20" s="180">
        <f t="shared" si="3"/>
        <v>24139585.52</v>
      </c>
      <c r="I20" s="180">
        <f t="shared" si="3"/>
        <v>10593458.889999999</v>
      </c>
      <c r="J20" s="180">
        <f t="shared" si="3"/>
        <v>132652769.70999999</v>
      </c>
      <c r="K20" s="180">
        <f t="shared" si="3"/>
        <v>7093445.6799999997</v>
      </c>
      <c r="L20" s="180">
        <f t="shared" si="3"/>
        <v>825716.9</v>
      </c>
      <c r="M20" s="180">
        <f t="shared" si="3"/>
        <v>44736924.560000002</v>
      </c>
      <c r="N20" s="180">
        <f t="shared" si="3"/>
        <v>3159127.29</v>
      </c>
      <c r="O20" s="180">
        <f t="shared" si="3"/>
        <v>536394.25</v>
      </c>
      <c r="P20" s="180">
        <f t="shared" si="3"/>
        <v>3313530.66</v>
      </c>
      <c r="Q20" s="180">
        <f t="shared" si="3"/>
        <v>4204776.53</v>
      </c>
      <c r="R20" s="180">
        <f t="shared" si="3"/>
        <v>5498176.3700000001</v>
      </c>
      <c r="S20" s="180">
        <f t="shared" si="3"/>
        <v>938248.7</v>
      </c>
      <c r="T20" s="180">
        <f t="shared" si="3"/>
        <v>4144239.9200000004</v>
      </c>
      <c r="U20" s="180">
        <f t="shared" si="3"/>
        <v>15429558.279999999</v>
      </c>
      <c r="V20" s="180">
        <f t="shared" si="3"/>
        <v>567571.4</v>
      </c>
      <c r="W20" s="180">
        <f t="shared" si="3"/>
        <v>12076989.98</v>
      </c>
      <c r="X20" s="180">
        <f t="shared" si="3"/>
        <v>8118224.96</v>
      </c>
      <c r="Y20" s="180">
        <f t="shared" si="3"/>
        <v>644147.25</v>
      </c>
      <c r="Z20" s="180">
        <f t="shared" si="3"/>
        <v>1231444.1299999999</v>
      </c>
      <c r="AA20" s="180">
        <f t="shared" si="3"/>
        <v>3754493.61</v>
      </c>
      <c r="AB20" s="180">
        <f t="shared" si="3"/>
        <v>8579909.4399999995</v>
      </c>
      <c r="AC20" s="180">
        <f t="shared" si="3"/>
        <v>3837428.94</v>
      </c>
      <c r="AD20" s="180">
        <f t="shared" si="3"/>
        <v>1162741.5</v>
      </c>
      <c r="AE20" s="180">
        <f t="shared" si="3"/>
        <v>8032615.3900000006</v>
      </c>
      <c r="AF20" s="180">
        <f t="shared" si="3"/>
        <v>19272498.099999998</v>
      </c>
      <c r="AG20" s="180">
        <f t="shared" si="3"/>
        <v>1590822.06</v>
      </c>
      <c r="AH20" s="180">
        <f t="shared" si="3"/>
        <v>1163456.05</v>
      </c>
      <c r="AI20" s="180">
        <f t="shared" si="3"/>
        <v>17594904.52</v>
      </c>
      <c r="AJ20" s="180">
        <f t="shared" si="3"/>
        <v>9692490.629999999</v>
      </c>
      <c r="AK20" s="180">
        <f t="shared" si="3"/>
        <v>11472400.510000002</v>
      </c>
      <c r="AL20" s="180">
        <f t="shared" si="3"/>
        <v>1630726.94</v>
      </c>
      <c r="AM20" s="180">
        <f t="shared" si="3"/>
        <v>10895889.1</v>
      </c>
      <c r="AN20" s="180">
        <f t="shared" si="3"/>
        <v>5208593.24</v>
      </c>
      <c r="AO20" s="180">
        <f t="shared" si="3"/>
        <v>4438992.88</v>
      </c>
      <c r="AP20" s="180">
        <f t="shared" si="3"/>
        <v>10073359.530000001</v>
      </c>
      <c r="AQ20" s="180">
        <f t="shared" si="3"/>
        <v>5769529.8499999996</v>
      </c>
      <c r="AR20" s="180">
        <f t="shared" si="3"/>
        <v>8124689.7800000003</v>
      </c>
      <c r="AS20" s="180">
        <f t="shared" si="3"/>
        <v>1892447.1</v>
      </c>
      <c r="AT20" s="180">
        <f t="shared" si="3"/>
        <v>13884615.460000001</v>
      </c>
      <c r="AU20" s="180">
        <f t="shared" si="3"/>
        <v>5721798.2999999998</v>
      </c>
      <c r="AV20" s="180">
        <f t="shared" si="3"/>
        <v>695239.35</v>
      </c>
      <c r="AW20" s="180">
        <f t="shared" si="3"/>
        <v>2219789.69</v>
      </c>
      <c r="AX20" s="180">
        <f t="shared" si="3"/>
        <v>20584531.979999997</v>
      </c>
      <c r="AY20" s="180">
        <f t="shared" si="3"/>
        <v>1678016.85</v>
      </c>
      <c r="AZ20" s="180">
        <f t="shared" si="3"/>
        <v>10224980.140000001</v>
      </c>
      <c r="BA20" s="180">
        <f t="shared" si="3"/>
        <v>206289.58000000002</v>
      </c>
      <c r="BB20" s="180">
        <f t="shared" si="3"/>
        <v>67094497.109999999</v>
      </c>
      <c r="BC20" s="180">
        <f t="shared" si="3"/>
        <v>4428056.8</v>
      </c>
      <c r="BD20" s="180">
        <f>SUM(C20:BC20)</f>
        <v>587670192.84000003</v>
      </c>
      <c r="BE20" s="180">
        <f t="shared" si="0"/>
        <v>304106010.69</v>
      </c>
      <c r="BF20" s="180">
        <f t="shared" si="1"/>
        <v>70032342.809999987</v>
      </c>
      <c r="BG20" s="180">
        <f t="shared" si="2"/>
        <v>213531839.33999997</v>
      </c>
    </row>
    <row r="21" spans="1:59" x14ac:dyDescent="0.3">
      <c r="A21" s="67"/>
      <c r="B21" s="69" t="s">
        <v>458</v>
      </c>
      <c r="C21" s="173">
        <f>C20/C5</f>
        <v>9520.8693066088854</v>
      </c>
      <c r="D21" s="173">
        <f t="shared" ref="D21:BC21" si="4">D20/D5</f>
        <v>9214.0809259259258</v>
      </c>
      <c r="E21" s="173">
        <f t="shared" si="4"/>
        <v>11653.382061855669</v>
      </c>
      <c r="F21" s="173">
        <f t="shared" si="4"/>
        <v>10270.569260089685</v>
      </c>
      <c r="G21" s="173">
        <f t="shared" si="4"/>
        <v>6976.5709226108511</v>
      </c>
      <c r="H21" s="173">
        <f t="shared" si="4"/>
        <v>7286.3222215514634</v>
      </c>
      <c r="I21" s="173">
        <f t="shared" si="4"/>
        <v>4006.6032110438723</v>
      </c>
      <c r="J21" s="173">
        <f t="shared" si="4"/>
        <v>10512.97905452528</v>
      </c>
      <c r="K21" s="173">
        <f t="shared" si="4"/>
        <v>5173.920991976659</v>
      </c>
      <c r="L21" s="173">
        <f t="shared" si="4"/>
        <v>6997.6008474576274</v>
      </c>
      <c r="M21" s="173">
        <f t="shared" si="4"/>
        <v>6242.0712376168558</v>
      </c>
      <c r="N21" s="173">
        <f t="shared" si="4"/>
        <v>5983.1956250000003</v>
      </c>
      <c r="O21" s="173">
        <f t="shared" si="4"/>
        <v>4966.6134259259261</v>
      </c>
      <c r="P21" s="173">
        <f t="shared" si="4"/>
        <v>7984.4112289156628</v>
      </c>
      <c r="Q21" s="173">
        <f t="shared" si="4"/>
        <v>12048.070286532951</v>
      </c>
      <c r="R21" s="173">
        <f t="shared" si="4"/>
        <v>8003.167933042213</v>
      </c>
      <c r="S21" s="173">
        <f t="shared" si="4"/>
        <v>3679.4066666666663</v>
      </c>
      <c r="T21" s="173">
        <f t="shared" si="4"/>
        <v>9505.1374311926611</v>
      </c>
      <c r="U21" s="173">
        <f t="shared" si="4"/>
        <v>4836.8521253918498</v>
      </c>
      <c r="V21" s="173">
        <f t="shared" si="4"/>
        <v>1751.7635802469138</v>
      </c>
      <c r="W21" s="173">
        <f t="shared" si="4"/>
        <v>9692.6083306581058</v>
      </c>
      <c r="X21" s="173">
        <f t="shared" si="4"/>
        <v>5312.9744502617805</v>
      </c>
      <c r="Y21" s="173">
        <f t="shared" si="4"/>
        <v>6709.8671875</v>
      </c>
      <c r="Z21" s="173">
        <f t="shared" si="4"/>
        <v>8264.7257046979867</v>
      </c>
      <c r="AA21" s="173">
        <f t="shared" si="4"/>
        <v>7276.1504069767443</v>
      </c>
      <c r="AB21" s="173">
        <f t="shared" si="4"/>
        <v>12786.750283159463</v>
      </c>
      <c r="AC21" s="173">
        <f t="shared" si="4"/>
        <v>6708.7918531468531</v>
      </c>
      <c r="AD21" s="173">
        <f t="shared" si="4"/>
        <v>2372.9418367346939</v>
      </c>
      <c r="AE21" s="173">
        <f t="shared" si="4"/>
        <v>4196.7687513061655</v>
      </c>
      <c r="AF21" s="173">
        <f t="shared" si="4"/>
        <v>7369.9801529636707</v>
      </c>
      <c r="AG21" s="173">
        <f t="shared" si="4"/>
        <v>7008.0266960352428</v>
      </c>
      <c r="AH21" s="173">
        <f t="shared" si="4"/>
        <v>8881.3438931297715</v>
      </c>
      <c r="AI21" s="173">
        <f t="shared" si="4"/>
        <v>9284.9100369393145</v>
      </c>
      <c r="AJ21" s="173">
        <f t="shared" si="4"/>
        <v>8539.6393215859025</v>
      </c>
      <c r="AK21" s="173">
        <f t="shared" si="4"/>
        <v>9244.4806688154731</v>
      </c>
      <c r="AL21" s="173">
        <f t="shared" si="4"/>
        <v>13703.587731092437</v>
      </c>
      <c r="AM21" s="173">
        <f t="shared" si="4"/>
        <v>9117.8988284518819</v>
      </c>
      <c r="AN21" s="173">
        <f t="shared" si="4"/>
        <v>7856.0984012066365</v>
      </c>
      <c r="AO21" s="173">
        <f t="shared" si="4"/>
        <v>6882.1595038759688</v>
      </c>
      <c r="AP21" s="173">
        <f t="shared" si="4"/>
        <v>7975.7399287410935</v>
      </c>
      <c r="AQ21" s="173">
        <f t="shared" si="4"/>
        <v>7796.6619594594586</v>
      </c>
      <c r="AR21" s="173">
        <f t="shared" si="4"/>
        <v>7903.3947276264598</v>
      </c>
      <c r="AS21" s="173">
        <f t="shared" si="4"/>
        <v>6026.9015923566885</v>
      </c>
      <c r="AT21" s="173">
        <f t="shared" si="4"/>
        <v>5785.2564416666673</v>
      </c>
      <c r="AU21" s="173">
        <f t="shared" si="4"/>
        <v>7578.5407947019867</v>
      </c>
      <c r="AV21" s="173">
        <f t="shared" si="4"/>
        <v>3841.1013812154697</v>
      </c>
      <c r="AW21" s="173">
        <f t="shared" si="4"/>
        <v>6397.0884438040348</v>
      </c>
      <c r="AX21" s="173">
        <f t="shared" si="4"/>
        <v>12180.196437869821</v>
      </c>
      <c r="AY21" s="173">
        <f t="shared" si="4"/>
        <v>4335.9608527131786</v>
      </c>
      <c r="AZ21" s="173">
        <f t="shared" si="4"/>
        <v>9329.3614416058408</v>
      </c>
      <c r="BA21" s="173">
        <f t="shared" si="4"/>
        <v>1097.2850000000001</v>
      </c>
      <c r="BB21" s="173">
        <f t="shared" si="4"/>
        <v>10428.115808206403</v>
      </c>
      <c r="BC21" s="173">
        <f t="shared" si="4"/>
        <v>7907.2442857142851</v>
      </c>
      <c r="BD21" s="173">
        <f>SUM(C21:BC21)</f>
        <v>396406.14147839695</v>
      </c>
      <c r="BE21" s="173">
        <f t="shared" si="0"/>
        <v>144861.82476393069</v>
      </c>
      <c r="BF21" s="173">
        <f t="shared" si="1"/>
        <v>88332.693126817394</v>
      </c>
      <c r="BG21" s="173">
        <f t="shared" si="2"/>
        <v>163211.62358764902</v>
      </c>
    </row>
    <row r="22" spans="1:59" x14ac:dyDescent="0.3">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3">
      <c r="A23" s="67"/>
      <c r="B23" s="99" t="s">
        <v>654</v>
      </c>
      <c r="C23" s="180">
        <f>C9-C7</f>
        <v>3110759.83</v>
      </c>
      <c r="D23" s="180">
        <f t="shared" ref="D23:BC23" si="5">D9-D7</f>
        <v>1153471.1100000001</v>
      </c>
      <c r="E23" s="180">
        <f t="shared" si="5"/>
        <v>2152345.7399999993</v>
      </c>
      <c r="F23" s="180">
        <f t="shared" si="5"/>
        <v>279098.55999999959</v>
      </c>
      <c r="G23" s="180">
        <f t="shared" si="5"/>
        <v>11170166.720000001</v>
      </c>
      <c r="H23" s="180">
        <f t="shared" si="5"/>
        <v>16907788.280000001</v>
      </c>
      <c r="I23" s="180">
        <f t="shared" si="5"/>
        <v>1024849.9700000007</v>
      </c>
      <c r="J23" s="180">
        <f t="shared" si="5"/>
        <v>90861759.809999973</v>
      </c>
      <c r="K23" s="180">
        <f t="shared" si="5"/>
        <v>3075283.87</v>
      </c>
      <c r="L23" s="180">
        <f t="shared" si="5"/>
        <v>460672.40000000008</v>
      </c>
      <c r="M23" s="180">
        <f t="shared" si="5"/>
        <v>26943371.269999996</v>
      </c>
      <c r="N23" s="180">
        <f t="shared" si="5"/>
        <v>1367293.8900000001</v>
      </c>
      <c r="O23" s="180">
        <f t="shared" si="5"/>
        <v>245034.49999999994</v>
      </c>
      <c r="P23" s="180">
        <f t="shared" si="5"/>
        <v>1875698.62</v>
      </c>
      <c r="Q23" s="180">
        <f t="shared" si="5"/>
        <v>2088445.9300000002</v>
      </c>
      <c r="R23" s="180">
        <f t="shared" si="5"/>
        <v>205440.33000000101</v>
      </c>
      <c r="S23" s="180">
        <f t="shared" si="5"/>
        <v>266671.21000000008</v>
      </c>
      <c r="T23" s="180">
        <f t="shared" si="5"/>
        <v>1745113.8100000005</v>
      </c>
      <c r="U23" s="180">
        <f t="shared" si="5"/>
        <v>10830665.34</v>
      </c>
      <c r="V23" s="180">
        <f t="shared" si="5"/>
        <v>-1080510.5</v>
      </c>
      <c r="W23" s="180">
        <f t="shared" si="5"/>
        <v>7786577.9200000009</v>
      </c>
      <c r="X23" s="180">
        <f t="shared" si="5"/>
        <v>-9330221.8099999987</v>
      </c>
      <c r="Y23" s="180">
        <f t="shared" si="5"/>
        <v>135991.01</v>
      </c>
      <c r="Z23" s="180">
        <f t="shared" si="5"/>
        <v>-394266.68000000017</v>
      </c>
      <c r="AA23" s="180">
        <f t="shared" si="5"/>
        <v>795544.37999999942</v>
      </c>
      <c r="AB23" s="180">
        <f t="shared" si="5"/>
        <v>5398506.4100000011</v>
      </c>
      <c r="AC23" s="180">
        <f t="shared" si="5"/>
        <v>1285721.0300000003</v>
      </c>
      <c r="AD23" s="180">
        <f t="shared" si="5"/>
        <v>-3100962.9499999997</v>
      </c>
      <c r="AE23" s="180">
        <f t="shared" si="5"/>
        <v>-641556.43999999948</v>
      </c>
      <c r="AF23" s="180">
        <f t="shared" si="5"/>
        <v>10187147.34</v>
      </c>
      <c r="AG23" s="180">
        <f t="shared" si="5"/>
        <v>-118781.69999999995</v>
      </c>
      <c r="AH23" s="180">
        <f t="shared" si="5"/>
        <v>-1114795.5899999999</v>
      </c>
      <c r="AI23" s="180">
        <f t="shared" si="5"/>
        <v>12234275.83</v>
      </c>
      <c r="AJ23" s="180">
        <f t="shared" si="5"/>
        <v>5016254.2100000009</v>
      </c>
      <c r="AK23" s="180">
        <f t="shared" si="5"/>
        <v>6531766.3000000026</v>
      </c>
      <c r="AL23" s="180">
        <f t="shared" si="5"/>
        <v>1172309.7600000002</v>
      </c>
      <c r="AM23" s="180">
        <f t="shared" si="5"/>
        <v>-3843093.26</v>
      </c>
      <c r="AN23" s="180">
        <f t="shared" si="5"/>
        <v>1218796.6800000006</v>
      </c>
      <c r="AO23" s="180">
        <f t="shared" si="5"/>
        <v>928101.93000000017</v>
      </c>
      <c r="AP23" s="180">
        <f t="shared" si="5"/>
        <v>-1573158.0699999984</v>
      </c>
      <c r="AQ23" s="180">
        <f t="shared" si="5"/>
        <v>3349607.29</v>
      </c>
      <c r="AR23" s="180">
        <f t="shared" si="5"/>
        <v>4273584.87</v>
      </c>
      <c r="AS23" s="180">
        <f t="shared" si="5"/>
        <v>-1809164.0300000005</v>
      </c>
      <c r="AT23" s="180">
        <f t="shared" si="5"/>
        <v>8092477.2599999998</v>
      </c>
      <c r="AU23" s="180">
        <f t="shared" si="5"/>
        <v>2942305.2700000005</v>
      </c>
      <c r="AV23" s="180">
        <f t="shared" si="5"/>
        <v>303302.40000000002</v>
      </c>
      <c r="AW23" s="180">
        <f t="shared" si="5"/>
        <v>-28814.959999999963</v>
      </c>
      <c r="AX23" s="180">
        <f t="shared" si="5"/>
        <v>16166827.07</v>
      </c>
      <c r="AY23" s="180">
        <f t="shared" si="5"/>
        <v>-1285711.78</v>
      </c>
      <c r="AZ23" s="180">
        <f t="shared" si="5"/>
        <v>5956684.4200000009</v>
      </c>
      <c r="BA23" s="180">
        <f t="shared" si="5"/>
        <v>-570550.01</v>
      </c>
      <c r="BB23" s="180">
        <f t="shared" si="5"/>
        <v>38530094.520000011</v>
      </c>
      <c r="BC23" s="180">
        <f t="shared" si="5"/>
        <v>2154728.8999999994</v>
      </c>
      <c r="BD23" s="180">
        <f>SUM(C23:BC23)</f>
        <v>285332948.21000004</v>
      </c>
      <c r="BE23" s="180">
        <f t="shared" si="0"/>
        <v>175763931.19000003</v>
      </c>
      <c r="BF23" s="180">
        <f t="shared" si="1"/>
        <v>9808392.4200000037</v>
      </c>
      <c r="BG23" s="180">
        <f t="shared" si="2"/>
        <v>99760624.600000024</v>
      </c>
    </row>
    <row r="24" spans="1:59" x14ac:dyDescent="0.3">
      <c r="A24" s="67"/>
      <c r="B24" s="69" t="s">
        <v>458</v>
      </c>
      <c r="C24" s="173">
        <f>C23/C5</f>
        <v>3370.2706717226438</v>
      </c>
      <c r="D24" s="173">
        <f t="shared" ref="D24:BC24" si="6">D23/D5</f>
        <v>4272.1152222222227</v>
      </c>
      <c r="E24" s="173">
        <f t="shared" si="6"/>
        <v>4437.8262680412354</v>
      </c>
      <c r="F24" s="173">
        <f t="shared" si="6"/>
        <v>625.78152466367624</v>
      </c>
      <c r="G24" s="173">
        <f t="shared" si="6"/>
        <v>3076.3334398237403</v>
      </c>
      <c r="H24" s="173">
        <f t="shared" si="6"/>
        <v>5103.4676365831574</v>
      </c>
      <c r="I24" s="173">
        <f t="shared" si="6"/>
        <v>387.61345310136181</v>
      </c>
      <c r="J24" s="173">
        <f t="shared" si="6"/>
        <v>7200.9636875891565</v>
      </c>
      <c r="K24" s="173">
        <f t="shared" si="6"/>
        <v>2243.0954558716267</v>
      </c>
      <c r="L24" s="173">
        <f t="shared" si="6"/>
        <v>3904.0033898305091</v>
      </c>
      <c r="M24" s="173">
        <f t="shared" si="6"/>
        <v>3759.3653230082314</v>
      </c>
      <c r="N24" s="173">
        <f t="shared" si="6"/>
        <v>2589.5717613636366</v>
      </c>
      <c r="O24" s="173">
        <f t="shared" si="6"/>
        <v>2268.8379629629626</v>
      </c>
      <c r="P24" s="173">
        <f t="shared" si="6"/>
        <v>4519.7557108433739</v>
      </c>
      <c r="Q24" s="173">
        <f t="shared" si="6"/>
        <v>5984.085759312321</v>
      </c>
      <c r="R24" s="173">
        <f t="shared" si="6"/>
        <v>299.03978165939009</v>
      </c>
      <c r="S24" s="173">
        <f t="shared" si="6"/>
        <v>1045.7694509803925</v>
      </c>
      <c r="T24" s="173">
        <f t="shared" si="6"/>
        <v>4002.5546100917445</v>
      </c>
      <c r="U24" s="173">
        <f t="shared" si="6"/>
        <v>3395.1928965517241</v>
      </c>
      <c r="V24" s="173">
        <f t="shared" si="6"/>
        <v>-3334.9089506172841</v>
      </c>
      <c r="W24" s="173">
        <f t="shared" si="6"/>
        <v>6249.259967897272</v>
      </c>
      <c r="X24" s="173">
        <f t="shared" si="6"/>
        <v>-6106.1661060209417</v>
      </c>
      <c r="Y24" s="173">
        <f t="shared" si="6"/>
        <v>1416.5730208333334</v>
      </c>
      <c r="Z24" s="173">
        <f t="shared" si="6"/>
        <v>-2646.0851006711418</v>
      </c>
      <c r="AA24" s="173">
        <f t="shared" si="6"/>
        <v>1541.7526744186034</v>
      </c>
      <c r="AB24" s="173">
        <f t="shared" si="6"/>
        <v>8045.4640983606578</v>
      </c>
      <c r="AC24" s="173">
        <f t="shared" si="6"/>
        <v>2247.7640384615388</v>
      </c>
      <c r="AD24" s="173">
        <f t="shared" si="6"/>
        <v>-6328.4958163265301</v>
      </c>
      <c r="AE24" s="173">
        <f t="shared" si="6"/>
        <v>-335.19145245559014</v>
      </c>
      <c r="AF24" s="173">
        <f t="shared" si="6"/>
        <v>3895.6586386233271</v>
      </c>
      <c r="AG24" s="173">
        <f t="shared" si="6"/>
        <v>-523.26740088105703</v>
      </c>
      <c r="AH24" s="173">
        <f t="shared" si="6"/>
        <v>-8509.89</v>
      </c>
      <c r="AI24" s="173">
        <f t="shared" si="6"/>
        <v>6456.0822321899741</v>
      </c>
      <c r="AJ24" s="173">
        <f t="shared" si="6"/>
        <v>4419.6072334801765</v>
      </c>
      <c r="AK24" s="173">
        <f t="shared" si="6"/>
        <v>5263.3088638195022</v>
      </c>
      <c r="AL24" s="173">
        <f t="shared" si="6"/>
        <v>9851.342521008406</v>
      </c>
      <c r="AM24" s="173">
        <f t="shared" si="6"/>
        <v>-3215.977623430962</v>
      </c>
      <c r="AN24" s="173">
        <f t="shared" si="6"/>
        <v>1838.3057013574671</v>
      </c>
      <c r="AO24" s="173">
        <f t="shared" si="6"/>
        <v>1438.9177209302329</v>
      </c>
      <c r="AP24" s="173">
        <f t="shared" si="6"/>
        <v>-1245.5725019794129</v>
      </c>
      <c r="AQ24" s="173">
        <f t="shared" si="6"/>
        <v>4526.4963378378379</v>
      </c>
      <c r="AR24" s="173">
        <f t="shared" si="6"/>
        <v>4157.183725680934</v>
      </c>
      <c r="AS24" s="173">
        <f t="shared" si="6"/>
        <v>-5761.6688853503201</v>
      </c>
      <c r="AT24" s="173">
        <f t="shared" si="6"/>
        <v>3371.8655249999997</v>
      </c>
      <c r="AU24" s="173">
        <f t="shared" si="6"/>
        <v>3897.0930728476828</v>
      </c>
      <c r="AV24" s="173">
        <f t="shared" si="6"/>
        <v>1675.7038674033151</v>
      </c>
      <c r="AW24" s="173">
        <f t="shared" si="6"/>
        <v>-83.040230547550323</v>
      </c>
      <c r="AX24" s="173">
        <f t="shared" si="6"/>
        <v>9566.1698639053247</v>
      </c>
      <c r="AY24" s="173">
        <f t="shared" si="6"/>
        <v>-3322.2526614987082</v>
      </c>
      <c r="AZ24" s="173">
        <f t="shared" si="6"/>
        <v>5434.9310401459861</v>
      </c>
      <c r="BA24" s="173">
        <f t="shared" si="6"/>
        <v>-3034.8404787234044</v>
      </c>
      <c r="BB24" s="173">
        <f t="shared" si="6"/>
        <v>5988.513291886853</v>
      </c>
      <c r="BC24" s="173">
        <f t="shared" si="6"/>
        <v>3847.7301785714276</v>
      </c>
      <c r="BD24" s="173">
        <f>SUM(C24:BC24)</f>
        <v>113168.01041238003</v>
      </c>
      <c r="BE24" s="173">
        <f t="shared" si="0"/>
        <v>62485.644006223112</v>
      </c>
      <c r="BF24" s="173">
        <f t="shared" si="1"/>
        <v>-4387.5323883778119</v>
      </c>
      <c r="BG24" s="173">
        <f t="shared" si="2"/>
        <v>55069.898794534776</v>
      </c>
    </row>
    <row r="25" spans="1:59" x14ac:dyDescent="0.3">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3">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3">
      <c r="A27" s="7" t="s">
        <v>652</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3">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3">
      <c r="A29" s="67">
        <v>10</v>
      </c>
      <c r="B29" s="67" t="s">
        <v>247</v>
      </c>
      <c r="C29" s="101">
        <f>'Base de données indicateurs1'!E5</f>
        <v>5729343.4000000004</v>
      </c>
      <c r="D29" s="101">
        <f>'Base de données indicateurs1'!F5</f>
        <v>1313751.3999999999</v>
      </c>
      <c r="E29" s="101">
        <f>'Base de données indicateurs1'!G5</f>
        <v>4291473.13</v>
      </c>
      <c r="F29" s="101">
        <f>'Base de données indicateurs1'!H5</f>
        <v>4279580.0599999996</v>
      </c>
      <c r="G29" s="101">
        <f>'Base de données indicateurs1'!I5</f>
        <v>15173301</v>
      </c>
      <c r="H29" s="101">
        <f>'Base de données indicateurs1'!J5</f>
        <v>8024691.8499999996</v>
      </c>
      <c r="I29" s="101">
        <f>'Base de données indicateurs1'!K5</f>
        <v>10459838.140000001</v>
      </c>
      <c r="J29" s="101">
        <f>'Base de données indicateurs1'!L5</f>
        <v>55034877.579999998</v>
      </c>
      <c r="K29" s="101">
        <f>'Base de données indicateurs1'!M5</f>
        <v>3743166.68</v>
      </c>
      <c r="L29" s="101">
        <f>'Base de données indicateurs1'!N5</f>
        <v>0</v>
      </c>
      <c r="M29" s="101">
        <f>'Base de données indicateurs1'!O5</f>
        <v>17870825.219999999</v>
      </c>
      <c r="N29" s="101">
        <f>'Base de données indicateurs1'!P5</f>
        <v>2306934.9900000002</v>
      </c>
      <c r="O29" s="101">
        <f>'Base de données indicateurs1'!Q5</f>
        <v>340332.25</v>
      </c>
      <c r="P29" s="101">
        <f>'Base de données indicateurs1'!R5</f>
        <v>1454384.04</v>
      </c>
      <c r="Q29" s="101">
        <f>'Base de données indicateurs1'!S5</f>
        <v>2174540.65</v>
      </c>
      <c r="R29" s="101">
        <f>'Base de données indicateurs1'!T5</f>
        <v>5578034.3600000003</v>
      </c>
      <c r="S29" s="101">
        <f>'Base de données indicateurs1'!U5</f>
        <v>771790.42</v>
      </c>
      <c r="T29" s="101">
        <f>'Base de données indicateurs1'!V5</f>
        <v>2513060.25</v>
      </c>
      <c r="U29" s="101">
        <f>'Base de données indicateurs1'!W5</f>
        <v>5690503.7400000002</v>
      </c>
      <c r="V29" s="101">
        <f>'Base de données indicateurs1'!X5</f>
        <v>1782334</v>
      </c>
      <c r="W29" s="101">
        <f>'Base de données indicateurs1'!Y5</f>
        <v>4607305.3099999996</v>
      </c>
      <c r="X29" s="101">
        <f>'Base de données indicateurs1'!Z5</f>
        <v>22337836.73</v>
      </c>
      <c r="Y29" s="101">
        <f>'Base de données indicateurs1'!AA5</f>
        <v>514539</v>
      </c>
      <c r="Z29" s="101">
        <f>'Base de données indicateurs1'!AB5</f>
        <v>1164911.31</v>
      </c>
      <c r="AA29" s="101">
        <f>'Base de données indicateurs1'!AC5</f>
        <v>3000469.46</v>
      </c>
      <c r="AB29" s="101">
        <f>'Base de données indicateurs1'!AD5</f>
        <v>1298160.8999999999</v>
      </c>
      <c r="AC29" s="101">
        <f>'Base de données indicateurs1'!AE5</f>
        <v>2898436.1</v>
      </c>
      <c r="AD29" s="101">
        <f>'Base de données indicateurs1'!AF5</f>
        <v>4936104.3499999996</v>
      </c>
      <c r="AE29" s="101">
        <f>'Base de données indicateurs1'!AG5</f>
        <v>8990815.1799999997</v>
      </c>
      <c r="AF29" s="101">
        <f>'Base de données indicateurs1'!AH5</f>
        <v>10854437</v>
      </c>
      <c r="AG29" s="101">
        <f>'Base de données indicateurs1'!AI5</f>
        <v>907440</v>
      </c>
      <c r="AH29" s="101">
        <f>'Base de données indicateurs1'!AJ5</f>
        <v>1868313.05</v>
      </c>
      <c r="AI29" s="101">
        <f>'Base de données indicateurs1'!AK5</f>
        <v>5849957.46</v>
      </c>
      <c r="AJ29" s="101">
        <f>'Base de données indicateurs1'!AL5</f>
        <v>3398783</v>
      </c>
      <c r="AK29" s="101">
        <f>'Base de données indicateurs1'!AM5</f>
        <v>4876876.1100000003</v>
      </c>
      <c r="AL29" s="101">
        <f>'Base de données indicateurs1'!AN5</f>
        <v>529407.81999999995</v>
      </c>
      <c r="AM29" s="101">
        <f>'Base de données indicateurs1'!AO5</f>
        <v>14951876</v>
      </c>
      <c r="AN29" s="101">
        <f>'Base de données indicateurs1'!AP5</f>
        <v>3720554.4</v>
      </c>
      <c r="AO29" s="101">
        <f>'Base de données indicateurs1'!AQ5</f>
        <v>3653484</v>
      </c>
      <c r="AP29" s="101">
        <f>'Base de données indicateurs1'!AR5</f>
        <v>11819557.02</v>
      </c>
      <c r="AQ29" s="101">
        <f>'Base de données indicateurs1'!AS5</f>
        <v>2533324.2999999998</v>
      </c>
      <c r="AR29" s="101">
        <f>'Base de données indicateurs1'!AT5</f>
        <v>3348405.97</v>
      </c>
      <c r="AS29" s="101">
        <f>'Base de données indicateurs1'!AU5</f>
        <v>3818782.68</v>
      </c>
      <c r="AT29" s="101">
        <f>'Base de données indicateurs1'!AV5</f>
        <v>4797496.66</v>
      </c>
      <c r="AU29" s="101">
        <f>'Base de données indicateurs1'!AW5</f>
        <v>3077294.98</v>
      </c>
      <c r="AV29" s="101">
        <f>'Base de données indicateurs1'!AX5</f>
        <v>678851.45</v>
      </c>
      <c r="AW29" s="101">
        <f>'Base de données indicateurs1'!AY5</f>
        <v>2029594.24</v>
      </c>
      <c r="AX29" s="101">
        <f>'Base de données indicateurs1'!AZ5</f>
        <v>4272308.3099999996</v>
      </c>
      <c r="AY29" s="101">
        <f>'Base de données indicateurs1'!BA5</f>
        <v>1690939.23</v>
      </c>
      <c r="AZ29" s="101">
        <f>'Base de données indicateurs1'!BB5</f>
        <v>4279723.32</v>
      </c>
      <c r="BA29" s="101">
        <f>'Base de données indicateurs1'!BC5</f>
        <v>866229.02</v>
      </c>
      <c r="BB29" s="101">
        <f>'Base de données indicateurs1'!BD5</f>
        <v>28478770</v>
      </c>
      <c r="BC29" s="101">
        <f>'Base de données indicateurs1'!BE5</f>
        <v>2581993.19</v>
      </c>
      <c r="BD29" s="101">
        <f>SUM(C29:BC29)</f>
        <v>323165740.7100001</v>
      </c>
      <c r="BE29" s="101">
        <f>SUM(C29:U29)</f>
        <v>146750429.16000003</v>
      </c>
      <c r="BF29" s="101">
        <f>SUM(V29:AH29)</f>
        <v>65161102.390000001</v>
      </c>
      <c r="BG29" s="101">
        <f>SUM(AI29:BC29)</f>
        <v>111254209.16000001</v>
      </c>
    </row>
    <row r="30" spans="1:59" x14ac:dyDescent="0.3">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3">
      <c r="A31" s="67">
        <v>20</v>
      </c>
      <c r="B31" s="67" t="s">
        <v>259</v>
      </c>
      <c r="C31" s="101">
        <f>'Base de données indicateurs1'!E8</f>
        <v>7710885.7000000002</v>
      </c>
      <c r="D31" s="101">
        <f>'Base de données indicateurs1'!F8</f>
        <v>1661251.45</v>
      </c>
      <c r="E31" s="101">
        <f>'Base de données indicateurs1'!G8</f>
        <v>6404558.5199999996</v>
      </c>
      <c r="F31" s="101">
        <f>'Base de données indicateurs1'!H8</f>
        <v>4613400.9400000004</v>
      </c>
      <c r="G31" s="101">
        <f>'Base de données indicateurs1'!I8</f>
        <v>26343468</v>
      </c>
      <c r="H31" s="101">
        <f>'Base de données indicateurs1'!J8</f>
        <v>21137174.780000001</v>
      </c>
      <c r="I31" s="101">
        <f>'Base de données indicateurs1'!K8</f>
        <v>11484688.109999999</v>
      </c>
      <c r="J31" s="101">
        <f>'Base de données indicateurs1'!L8</f>
        <v>125557688.95</v>
      </c>
      <c r="K31" s="101">
        <f>'Base de données indicateurs1'!M8</f>
        <v>5868070.6299999999</v>
      </c>
      <c r="L31" s="101">
        <f>'Base de données indicateurs1'!N8</f>
        <v>0</v>
      </c>
      <c r="M31" s="101">
        <f>'Base de données indicateurs1'!O8</f>
        <v>39464606.920000002</v>
      </c>
      <c r="N31" s="101">
        <f>'Base de données indicateurs1'!P8</f>
        <v>3674228.88</v>
      </c>
      <c r="O31" s="101">
        <f>'Base de données indicateurs1'!Q8</f>
        <v>585366.75</v>
      </c>
      <c r="P31" s="101">
        <f>'Base de données indicateurs1'!R8</f>
        <v>3329882.66</v>
      </c>
      <c r="Q31" s="101">
        <f>'Base de données indicateurs1'!S8</f>
        <v>4328768.28</v>
      </c>
      <c r="R31" s="101">
        <f>'Base de données indicateurs1'!T8</f>
        <v>5790676.8899999997</v>
      </c>
      <c r="S31" s="101">
        <f>'Base de données indicateurs1'!U8</f>
        <v>1064577.6299999999</v>
      </c>
      <c r="T31" s="101">
        <f>'Base de données indicateurs1'!V8</f>
        <v>2952271.95</v>
      </c>
      <c r="U31" s="101">
        <f>'Base de données indicateurs1'!W8</f>
        <v>16108731.58</v>
      </c>
      <c r="V31" s="101">
        <f>'Base de données indicateurs1'!X8</f>
        <v>701824</v>
      </c>
      <c r="W31" s="101">
        <f>'Base de données indicateurs1'!Y8</f>
        <v>12393883.23</v>
      </c>
      <c r="X31" s="101">
        <f>'Base de données indicateurs1'!Z8</f>
        <v>13352559.84</v>
      </c>
      <c r="Y31" s="101">
        <f>'Base de données indicateurs1'!AA8</f>
        <v>650530</v>
      </c>
      <c r="Z31" s="101">
        <f>'Base de données indicateurs1'!AB8</f>
        <v>1324155.57</v>
      </c>
      <c r="AA31" s="101">
        <f>'Base de données indicateurs1'!AC8</f>
        <v>3262180.61</v>
      </c>
      <c r="AB31" s="101">
        <f>'Base de données indicateurs1'!AD8</f>
        <v>7901506.1299999999</v>
      </c>
      <c r="AC31" s="101">
        <f>'Base de données indicateurs1'!AE8</f>
        <v>4184157.13</v>
      </c>
      <c r="AD31" s="101">
        <f>'Base de données indicateurs1'!AF8</f>
        <v>1835141.4</v>
      </c>
      <c r="AE31" s="101">
        <f>'Base de données indicateurs1'!AG8</f>
        <v>7913147.3899999997</v>
      </c>
      <c r="AF31" s="101">
        <f>'Base de données indicateurs1'!AH8</f>
        <v>21041584</v>
      </c>
      <c r="AG31" s="101">
        <f>'Base de données indicateurs1'!AI8</f>
        <v>1029453</v>
      </c>
      <c r="AH31" s="101">
        <f>'Base de données indicateurs1'!AJ8</f>
        <v>737274</v>
      </c>
      <c r="AI31" s="101">
        <f>'Base de données indicateurs1'!AK8</f>
        <v>17215810.02</v>
      </c>
      <c r="AJ31" s="101">
        <f>'Base de données indicateurs1'!AL8</f>
        <v>16414</v>
      </c>
      <c r="AK31" s="101">
        <f>'Base de données indicateurs1'!AM8</f>
        <v>11723916.060000001</v>
      </c>
      <c r="AL31" s="101">
        <f>'Base de données indicateurs1'!AN8</f>
        <v>11500</v>
      </c>
      <c r="AM31" s="101">
        <f>'Base de données indicateurs1'!AO8</f>
        <v>11108782.970000001</v>
      </c>
      <c r="AN31" s="101">
        <f>'Base de données indicateurs1'!AP8</f>
        <v>5180403.1399999997</v>
      </c>
      <c r="AO31" s="101">
        <f>'Base de données indicateurs1'!AQ8</f>
        <v>4581586</v>
      </c>
      <c r="AP31" s="101">
        <f>'Base de données indicateurs1'!AR8</f>
        <v>9798705.8300000001</v>
      </c>
      <c r="AQ31" s="101">
        <f>'Base de données indicateurs1'!AS8</f>
        <v>5672676.1900000004</v>
      </c>
      <c r="AR31" s="101">
        <f>'Base de données indicateurs1'!AT8</f>
        <v>8438512.1400000006</v>
      </c>
      <c r="AS31" s="101">
        <f>'Base de données indicateurs1'!AU8</f>
        <v>2009618.65</v>
      </c>
      <c r="AT31" s="101">
        <f>'Base de données indicateurs1'!AV8</f>
        <v>14597972.57</v>
      </c>
      <c r="AU31" s="101">
        <f>'Base de données indicateurs1'!AW8</f>
        <v>6019600.25</v>
      </c>
      <c r="AV31" s="101">
        <f>'Base de données indicateurs1'!AX8</f>
        <v>982153.85</v>
      </c>
      <c r="AW31" s="101">
        <f>'Base de données indicateurs1'!AY8</f>
        <v>2091959</v>
      </c>
      <c r="AX31" s="101">
        <f>'Base de données indicateurs1'!AZ8</f>
        <v>21006891.079999998</v>
      </c>
      <c r="AY31" s="101">
        <f>'Base de données indicateurs1'!BA8</f>
        <v>1270560.3899999999</v>
      </c>
      <c r="AZ31" s="101">
        <f>'Base de données indicateurs1'!BB8</f>
        <v>10609246.140000001</v>
      </c>
      <c r="BA31" s="101">
        <f>'Base de données indicateurs1'!BC8</f>
        <v>295678.96000000002</v>
      </c>
      <c r="BB31" s="101">
        <f>'Base de données indicateurs1'!BD8</f>
        <v>69341997.879999995</v>
      </c>
      <c r="BC31" s="101">
        <f>'Base de données indicateurs1'!BE8</f>
        <v>4724519.8</v>
      </c>
      <c r="BD31" s="101">
        <f t="shared" ref="BD31:BD39" si="7">SUM(C31:BC31)</f>
        <v>571106199.83999968</v>
      </c>
      <c r="BE31" s="101">
        <f t="shared" ref="BE31:BE39" si="8">SUM(C31:U31)</f>
        <v>288080298.61999995</v>
      </c>
      <c r="BF31" s="101">
        <f t="shared" ref="BF31:BF39" si="9">SUM(V31:AH31)</f>
        <v>76327396.300000012</v>
      </c>
      <c r="BG31" s="101">
        <f t="shared" ref="BG31:BG39" si="10">SUM(AI31:BC31)</f>
        <v>206698504.91999999</v>
      </c>
    </row>
    <row r="32" spans="1:59" x14ac:dyDescent="0.3">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3">
      <c r="A33" s="67">
        <v>200</v>
      </c>
      <c r="B33" s="67" t="s">
        <v>460</v>
      </c>
      <c r="C33" s="101">
        <f>'Base de données indicateurs1'!E9</f>
        <v>3771.65</v>
      </c>
      <c r="D33" s="101">
        <f>'Base de données indicateurs1'!F9</f>
        <v>44599</v>
      </c>
      <c r="E33" s="101">
        <f>'Base de données indicateurs1'!G9</f>
        <v>112759.55</v>
      </c>
      <c r="F33" s="101">
        <f>'Base de données indicateurs1'!H9</f>
        <v>233640.35</v>
      </c>
      <c r="G33" s="101">
        <f>'Base de données indicateurs1'!I9</f>
        <v>600201</v>
      </c>
      <c r="H33" s="101">
        <f>'Base de données indicateurs1'!J9</f>
        <v>950985.5</v>
      </c>
      <c r="I33" s="101">
        <f>'Base de données indicateurs1'!K9</f>
        <v>201552.2</v>
      </c>
      <c r="J33" s="101">
        <f>'Base de données indicateurs1'!L9</f>
        <v>3705859.12</v>
      </c>
      <c r="K33" s="101">
        <f>'Base de données indicateurs1'!M9</f>
        <v>242544.73</v>
      </c>
      <c r="L33" s="101">
        <f>'Base de données indicateurs1'!N9</f>
        <v>0</v>
      </c>
      <c r="M33" s="101">
        <f>'Base de données indicateurs1'!O9</f>
        <v>1453277.22</v>
      </c>
      <c r="N33" s="101">
        <f>'Base de données indicateurs1'!P9</f>
        <v>91190.97</v>
      </c>
      <c r="O33" s="101">
        <f>'Base de données indicateurs1'!Q9</f>
        <v>25537.75</v>
      </c>
      <c r="P33" s="101">
        <f>'Base de données indicateurs1'!R9</f>
        <v>266808.40999999997</v>
      </c>
      <c r="Q33" s="101">
        <f>'Base de données indicateurs1'!S9</f>
        <v>563608.91</v>
      </c>
      <c r="R33" s="101">
        <f>'Base de données indicateurs1'!T9</f>
        <v>401478.57</v>
      </c>
      <c r="S33" s="101">
        <f>'Base de données indicateurs1'!U9</f>
        <v>213190.62</v>
      </c>
      <c r="T33" s="101">
        <f>'Base de données indicateurs1'!V9</f>
        <v>221716.45</v>
      </c>
      <c r="U33" s="101">
        <f>'Base de données indicateurs1'!W9</f>
        <v>2071297.12</v>
      </c>
      <c r="V33" s="101">
        <f>'Base de données indicateurs1'!X9</f>
        <v>135</v>
      </c>
      <c r="W33" s="101">
        <f>'Base de données indicateurs1'!Y9</f>
        <v>8866789.9800000004</v>
      </c>
      <c r="X33" s="101">
        <f>'Base de données indicateurs1'!Z9</f>
        <v>3389024.96</v>
      </c>
      <c r="Y33" s="101">
        <f>'Base de données indicateurs1'!AA9</f>
        <v>33957</v>
      </c>
      <c r="Z33" s="101">
        <f>'Base de données indicateurs1'!AB9</f>
        <v>31444.13</v>
      </c>
      <c r="AA33" s="101">
        <f>'Base de données indicateurs1'!AC9</f>
        <v>287157.11</v>
      </c>
      <c r="AB33" s="101">
        <f>'Base de données indicateurs1'!AD9</f>
        <v>640852.55000000005</v>
      </c>
      <c r="AC33" s="101">
        <f>'Base de données indicateurs1'!AE9</f>
        <v>0</v>
      </c>
      <c r="AD33" s="101">
        <f>'Base de données indicateurs1'!AF9</f>
        <v>163650.85</v>
      </c>
      <c r="AE33" s="101">
        <f>'Base de données indicateurs1'!AG9</f>
        <v>1264494.6399999999</v>
      </c>
      <c r="AF33" s="101">
        <f>'Base de données indicateurs1'!AH9</f>
        <v>283597</v>
      </c>
      <c r="AG33" s="101">
        <f>'Base de données indicateurs1'!AI9</f>
        <v>74.5</v>
      </c>
      <c r="AH33" s="101">
        <f>'Base de données indicateurs1'!AJ9</f>
        <v>43246.05</v>
      </c>
      <c r="AI33" s="101">
        <f>'Base de données indicateurs1'!AK9</f>
        <v>341865.4</v>
      </c>
      <c r="AJ33" s="101">
        <f>'Base de données indicateurs1'!AL9</f>
        <v>320246</v>
      </c>
      <c r="AK33" s="101">
        <f>'Base de données indicateurs1'!AM9</f>
        <v>179595.55</v>
      </c>
      <c r="AL33" s="101">
        <f>'Base de données indicateurs1'!AN9</f>
        <v>30726.94</v>
      </c>
      <c r="AM33" s="101">
        <f>'Base de données indicateurs1'!AO9</f>
        <v>1175364.1000000001</v>
      </c>
      <c r="AN33" s="101">
        <f>'Base de données indicateurs1'!AP9</f>
        <v>352732.84</v>
      </c>
      <c r="AO33" s="101">
        <f>'Base de données indicateurs1'!AQ9</f>
        <v>135768</v>
      </c>
      <c r="AP33" s="101">
        <f>'Base de données indicateurs1'!AR9</f>
        <v>320325.25</v>
      </c>
      <c r="AQ33" s="101">
        <f>'Base de données indicateurs1'!AS9</f>
        <v>362403.69</v>
      </c>
      <c r="AR33" s="101">
        <f>'Base de données indicateurs1'!AT9</f>
        <v>212758.25</v>
      </c>
      <c r="AS33" s="101">
        <f>'Base de données indicateurs1'!AU9</f>
        <v>47182.1</v>
      </c>
      <c r="AT33" s="101">
        <f>'Base de données indicateurs1'!AV9</f>
        <v>526840.46</v>
      </c>
      <c r="AU33" s="101">
        <f>'Base de données indicateurs1'!AW9</f>
        <v>125306.3</v>
      </c>
      <c r="AV33" s="101">
        <f>'Base de données indicateurs1'!AX9</f>
        <v>18759.349999999999</v>
      </c>
      <c r="AW33" s="101">
        <f>'Base de données indicateurs1'!AY9</f>
        <v>110841.3</v>
      </c>
      <c r="AX33" s="101">
        <f>'Base de données indicateurs1'!AZ9</f>
        <v>1391754.4</v>
      </c>
      <c r="AY33" s="101">
        <f>'Base de données indicateurs1'!BA9</f>
        <v>34063.440000000002</v>
      </c>
      <c r="AZ33" s="101">
        <f>'Base de données indicateurs1'!BB9</f>
        <v>1010318.05</v>
      </c>
      <c r="BA33" s="101">
        <f>'Base de données indicateurs1'!BC9</f>
        <v>57543.88</v>
      </c>
      <c r="BB33" s="101">
        <f>'Base de données indicateurs1'!BD9</f>
        <v>2244759.54</v>
      </c>
      <c r="BC33" s="101">
        <f>'Base de données indicateurs1'!BE9</f>
        <v>403308.85</v>
      </c>
      <c r="BD33" s="101">
        <f t="shared" si="7"/>
        <v>35810906.580000013</v>
      </c>
      <c r="BE33" s="101">
        <f t="shared" si="8"/>
        <v>11404019.119999997</v>
      </c>
      <c r="BF33" s="101">
        <f t="shared" si="9"/>
        <v>15004423.770000003</v>
      </c>
      <c r="BG33" s="101">
        <f t="shared" si="10"/>
        <v>9402463.6899999995</v>
      </c>
    </row>
    <row r="34" spans="1:59" x14ac:dyDescent="0.3">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3">
      <c r="A35" s="67">
        <v>201</v>
      </c>
      <c r="B35" s="67" t="s">
        <v>261</v>
      </c>
      <c r="C35" s="101">
        <f>'Base de données indicateurs1'!E10</f>
        <v>3909040.76</v>
      </c>
      <c r="D35" s="101">
        <f>'Base de données indicateurs1'!F10</f>
        <v>74260</v>
      </c>
      <c r="E35" s="101">
        <f>'Base de données indicateurs1'!G10</f>
        <v>180090.75</v>
      </c>
      <c r="F35" s="101">
        <f>'Base de données indicateurs1'!H10</f>
        <v>352998.33</v>
      </c>
      <c r="G35" s="101">
        <f>'Base de données indicateurs1'!I10</f>
        <v>4511771</v>
      </c>
      <c r="H35" s="101">
        <f>'Base de données indicateurs1'!J10</f>
        <v>5336550</v>
      </c>
      <c r="I35" s="101">
        <f>'Base de données indicateurs1'!K10</f>
        <v>0</v>
      </c>
      <c r="J35" s="101">
        <f>'Base de données indicateurs1'!L10</f>
        <v>49004578.5</v>
      </c>
      <c r="K35" s="101">
        <f>'Base de données indicateurs1'!M10</f>
        <v>213200</v>
      </c>
      <c r="L35" s="101">
        <f>'Base de données indicateurs1'!N10</f>
        <v>0</v>
      </c>
      <c r="M35" s="101">
        <f>'Base de données indicateurs1'!O10</f>
        <v>3586455.24</v>
      </c>
      <c r="N35" s="101">
        <f>'Base de données indicateurs1'!P10</f>
        <v>1264473.8700000001</v>
      </c>
      <c r="O35" s="101">
        <f>'Base de données indicateurs1'!Q10</f>
        <v>125256.5</v>
      </c>
      <c r="P35" s="101">
        <f>'Base de données indicateurs1'!R10</f>
        <v>0</v>
      </c>
      <c r="Q35" s="101">
        <f>'Base de données indicateurs1'!S10</f>
        <v>2512156.62</v>
      </c>
      <c r="R35" s="101">
        <f>'Base de données indicateurs1'!T10</f>
        <v>0</v>
      </c>
      <c r="S35" s="101">
        <f>'Base de données indicateurs1'!U10</f>
        <v>160308.07999999999</v>
      </c>
      <c r="T35" s="101">
        <f>'Base de données indicateurs1'!V10</f>
        <v>675483.74</v>
      </c>
      <c r="U35" s="101">
        <f>'Base de données indicateurs1'!W10</f>
        <v>0</v>
      </c>
      <c r="V35" s="101">
        <f>'Base de données indicateurs1'!X10</f>
        <v>63507</v>
      </c>
      <c r="W35" s="101">
        <f>'Base de données indicateurs1'!Y10</f>
        <v>0</v>
      </c>
      <c r="X35" s="101">
        <f>'Base de données indicateurs1'!Z10</f>
        <v>0</v>
      </c>
      <c r="Y35" s="101">
        <f>'Base de données indicateurs1'!AA10</f>
        <v>0</v>
      </c>
      <c r="Z35" s="101">
        <f>'Base de données indicateurs1'!AB10</f>
        <v>0</v>
      </c>
      <c r="AA35" s="101">
        <f>'Base de données indicateurs1'!AC10</f>
        <v>795091.5</v>
      </c>
      <c r="AB35" s="101">
        <f>'Base de données indicateurs1'!AD10</f>
        <v>87760.01</v>
      </c>
      <c r="AC35" s="101">
        <f>'Base de données indicateurs1'!AE10</f>
        <v>195428.94</v>
      </c>
      <c r="AD35" s="101">
        <f>'Base de données indicateurs1'!AF10</f>
        <v>484090.65</v>
      </c>
      <c r="AE35" s="101">
        <f>'Base de données indicateurs1'!AG10</f>
        <v>1436720.75</v>
      </c>
      <c r="AF35" s="101">
        <f>'Base de données indicateurs1'!AH10</f>
        <v>7465504</v>
      </c>
      <c r="AG35" s="101">
        <f>'Base de données indicateurs1'!AI10</f>
        <v>-28418</v>
      </c>
      <c r="AH35" s="101">
        <f>'Base de données indicateurs1'!AJ10</f>
        <v>16520</v>
      </c>
      <c r="AI35" s="101">
        <f>'Base de données indicateurs1'!AK10</f>
        <v>0</v>
      </c>
      <c r="AJ35" s="101">
        <f>'Base de données indicateurs1'!AL10</f>
        <v>512379</v>
      </c>
      <c r="AK35" s="101">
        <f>'Base de données indicateurs1'!AM10</f>
        <v>438479.73</v>
      </c>
      <c r="AL35" s="101">
        <f>'Base de données indicateurs1'!AN10</f>
        <v>0</v>
      </c>
      <c r="AM35" s="101">
        <f>'Base de données indicateurs1'!AO10</f>
        <v>1000000</v>
      </c>
      <c r="AN35" s="101">
        <f>'Base de données indicateurs1'!AP10</f>
        <v>50050</v>
      </c>
      <c r="AO35" s="101">
        <f>'Base de données indicateurs1'!AQ10</f>
        <v>334240</v>
      </c>
      <c r="AP35" s="101">
        <f>'Base de données indicateurs1'!AR10</f>
        <v>32000</v>
      </c>
      <c r="AQ35" s="101">
        <f>'Base de données indicateurs1'!AS10</f>
        <v>333359.06</v>
      </c>
      <c r="AR35" s="101">
        <f>'Base de données indicateurs1'!AT10</f>
        <v>276059</v>
      </c>
      <c r="AS35" s="101">
        <f>'Base de données indicateurs1'!AU10</f>
        <v>19300</v>
      </c>
      <c r="AT35" s="101">
        <f>'Base de données indicateurs1'!AV10</f>
        <v>0</v>
      </c>
      <c r="AU35" s="101">
        <f>'Base de données indicateurs1'!AW10</f>
        <v>1227600</v>
      </c>
      <c r="AV35" s="101">
        <f>'Base de données indicateurs1'!AX10</f>
        <v>10000</v>
      </c>
      <c r="AW35" s="101">
        <f>'Base de données indicateurs1'!AY10</f>
        <v>235243.64</v>
      </c>
      <c r="AX35" s="101">
        <f>'Base de données indicateurs1'!AZ10</f>
        <v>530829.82999999996</v>
      </c>
      <c r="AY35" s="101">
        <f>'Base de données indicateurs1'!BA10</f>
        <v>306582.07</v>
      </c>
      <c r="AZ35" s="101">
        <f>'Base de données indicateurs1'!BB10</f>
        <v>725276.54</v>
      </c>
      <c r="BA35" s="101">
        <f>'Base de données indicateurs1'!BC10</f>
        <v>0</v>
      </c>
      <c r="BB35" s="101">
        <f>'Base de données indicateurs1'!BD10</f>
        <v>10110840.08</v>
      </c>
      <c r="BC35" s="101">
        <f>'Base de données indicateurs1'!BE10</f>
        <v>150426</v>
      </c>
      <c r="BD35" s="101">
        <f t="shared" si="7"/>
        <v>98715493.190000013</v>
      </c>
      <c r="BE35" s="101">
        <f t="shared" si="8"/>
        <v>71906623.390000001</v>
      </c>
      <c r="BF35" s="101">
        <f t="shared" si="9"/>
        <v>10516204.85</v>
      </c>
      <c r="BG35" s="101">
        <f t="shared" si="10"/>
        <v>16292664.949999999</v>
      </c>
    </row>
    <row r="36" spans="1:59" x14ac:dyDescent="0.3">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3">
      <c r="A37" s="67">
        <v>206</v>
      </c>
      <c r="B37" s="67" t="s">
        <v>264</v>
      </c>
      <c r="C37" s="101">
        <f>'Base de données indicateurs1'!E12</f>
        <v>3449574.66</v>
      </c>
      <c r="D37" s="101">
        <f>'Base de données indicateurs1'!F12</f>
        <v>1575200.85</v>
      </c>
      <c r="E37" s="101">
        <f>'Base de données indicateurs1'!G12</f>
        <v>5302040</v>
      </c>
      <c r="F37" s="101">
        <f>'Base de données indicateurs1'!H12</f>
        <v>3739314.97</v>
      </c>
      <c r="G37" s="101">
        <f>'Base de données indicateurs1'!I12</f>
        <v>17801406</v>
      </c>
      <c r="H37" s="101">
        <f>'Base de données indicateurs1'!J12</f>
        <v>14552620</v>
      </c>
      <c r="I37" s="101">
        <f>'Base de données indicateurs1'!K12</f>
        <v>6615738.4900000002</v>
      </c>
      <c r="J37" s="101">
        <f>'Base de données indicateurs1'!L12</f>
        <v>66513986.549999997</v>
      </c>
      <c r="K37" s="101">
        <f>'Base de données indicateurs1'!M12</f>
        <v>5198699.75</v>
      </c>
      <c r="L37" s="101">
        <f>'Base de données indicateurs1'!N12</f>
        <v>0</v>
      </c>
      <c r="M37" s="101">
        <f>'Base de données indicateurs1'!O12</f>
        <v>32997633.300000001</v>
      </c>
      <c r="N37" s="101">
        <f>'Base de données indicateurs1'!P12</f>
        <v>1797463.35</v>
      </c>
      <c r="O37" s="101">
        <f>'Base de données indicateurs1'!Q12</f>
        <v>385600</v>
      </c>
      <c r="P37" s="101">
        <f>'Base de données indicateurs1'!R12</f>
        <v>3046722.25</v>
      </c>
      <c r="Q37" s="101">
        <f>'Base de données indicateurs1'!S12</f>
        <v>1129011</v>
      </c>
      <c r="R37" s="101">
        <f>'Base de données indicateurs1'!T12</f>
        <v>5103900</v>
      </c>
      <c r="S37" s="101">
        <f>'Base de données indicateurs1'!U12</f>
        <v>280221.77</v>
      </c>
      <c r="T37" s="101">
        <f>'Base de données indicateurs1'!V12</f>
        <v>1847698.1</v>
      </c>
      <c r="U37" s="101">
        <f>'Base de données indicateurs1'!W12</f>
        <v>12761720</v>
      </c>
      <c r="V37" s="101">
        <f>'Base de données indicateurs1'!X12</f>
        <v>504064</v>
      </c>
      <c r="W37" s="101">
        <f>'Base de données indicateurs1'!Y12</f>
        <v>3210200</v>
      </c>
      <c r="X37" s="101">
        <f>'Base de données indicateurs1'!Z12</f>
        <v>4729200</v>
      </c>
      <c r="Y37" s="101">
        <f>'Base de données indicateurs1'!AA12</f>
        <v>610190</v>
      </c>
      <c r="Z37" s="101">
        <f>'Base de données indicateurs1'!AB12</f>
        <v>1200000</v>
      </c>
      <c r="AA37" s="101">
        <f>'Base de données indicateurs1'!AC12</f>
        <v>1985134.62</v>
      </c>
      <c r="AB37" s="101">
        <f>'Base de données indicateurs1'!AD12</f>
        <v>6970357.2800000003</v>
      </c>
      <c r="AC37" s="101">
        <f>'Base de données indicateurs1'!AE12</f>
        <v>3642000</v>
      </c>
      <c r="AD37" s="101">
        <f>'Base de données indicateurs1'!AF12</f>
        <v>515000</v>
      </c>
      <c r="AE37" s="101">
        <f>'Base de données indicateurs1'!AG12</f>
        <v>4377400</v>
      </c>
      <c r="AF37" s="101">
        <f>'Base de données indicateurs1'!AH12</f>
        <v>11523397</v>
      </c>
      <c r="AG37" s="101">
        <f>'Base de données indicateurs1'!AI12</f>
        <v>913401</v>
      </c>
      <c r="AH37" s="101">
        <f>'Base de données indicateurs1'!AJ12</f>
        <v>659260</v>
      </c>
      <c r="AI37" s="101">
        <f>'Base de données indicateurs1'!AK12</f>
        <v>16838944.620000001</v>
      </c>
      <c r="AJ37" s="101">
        <f>'Base de données indicateurs1'!AL12</f>
        <v>5808800</v>
      </c>
      <c r="AK37" s="101">
        <f>'Base de données indicateurs1'!AM12</f>
        <v>10805793.380000001</v>
      </c>
      <c r="AL37" s="101">
        <f>'Base de données indicateurs1'!AN12</f>
        <v>1600000</v>
      </c>
      <c r="AM37" s="101">
        <f>'Base de données indicateurs1'!AO12</f>
        <v>7922475</v>
      </c>
      <c r="AN37" s="101">
        <f>'Base de données indicateurs1'!AP12</f>
        <v>4736229.05</v>
      </c>
      <c r="AO37" s="101">
        <f>'Base de données indicateurs1'!AQ12</f>
        <v>3968985</v>
      </c>
      <c r="AP37" s="101">
        <f>'Base de données indicateurs1'!AR12</f>
        <v>9008304.7300000004</v>
      </c>
      <c r="AQ37" s="101">
        <f>'Base de données indicateurs1'!AS12</f>
        <v>4813702</v>
      </c>
      <c r="AR37" s="101">
        <f>'Base de données indicateurs1'!AT12</f>
        <v>7532739.1200000001</v>
      </c>
      <c r="AS37" s="101">
        <f>'Base de données indicateurs1'!AU12</f>
        <v>1825965</v>
      </c>
      <c r="AT37" s="101">
        <f>'Base de données indicateurs1'!AV12</f>
        <v>13357775</v>
      </c>
      <c r="AU37" s="101">
        <f>'Base de données indicateurs1'!AW12</f>
        <v>4368892</v>
      </c>
      <c r="AV37" s="101">
        <f>'Base de données indicateurs1'!AX12</f>
        <v>798406.85</v>
      </c>
      <c r="AW37" s="101">
        <f>'Base de données indicateurs1'!AY12</f>
        <v>1660900</v>
      </c>
      <c r="AX37" s="101">
        <f>'Base de données indicateurs1'!AZ12</f>
        <v>18633004.399999999</v>
      </c>
      <c r="AY37" s="101">
        <f>'Base de données indicateurs1'!BA12</f>
        <v>871280</v>
      </c>
      <c r="AZ37" s="101">
        <f>'Base de données indicateurs1'!BB12</f>
        <v>8489385.5500000007</v>
      </c>
      <c r="BA37" s="101">
        <f>'Base de données indicateurs1'!BC12</f>
        <v>148745.70000000001</v>
      </c>
      <c r="BB37" s="101">
        <f>'Base de données indicateurs1'!BD12</f>
        <v>52347931</v>
      </c>
      <c r="BC37" s="101">
        <f>'Base de données indicateurs1'!BE12</f>
        <v>3874321.95</v>
      </c>
      <c r="BD37" s="101">
        <f t="shared" si="7"/>
        <v>404350735.29000002</v>
      </c>
      <c r="BE37" s="101">
        <f t="shared" si="8"/>
        <v>184098551.04000002</v>
      </c>
      <c r="BF37" s="101">
        <f t="shared" si="9"/>
        <v>40839603.900000006</v>
      </c>
      <c r="BG37" s="101">
        <f t="shared" si="10"/>
        <v>179412580.34999999</v>
      </c>
    </row>
    <row r="38" spans="1:59" x14ac:dyDescent="0.3">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3">
      <c r="A39" s="67">
        <v>2016</v>
      </c>
      <c r="B39" s="67" t="s">
        <v>276</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162300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7"/>
        <v>162300</v>
      </c>
      <c r="BE39" s="101">
        <f t="shared" si="8"/>
        <v>0</v>
      </c>
      <c r="BF39" s="101">
        <f t="shared" si="9"/>
        <v>0</v>
      </c>
      <c r="BG39" s="101">
        <f t="shared" si="10"/>
        <v>162300</v>
      </c>
    </row>
    <row r="40" spans="1:59" x14ac:dyDescent="0.3">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3">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3">
      <c r="A42" s="67"/>
      <c r="B42" s="99" t="s">
        <v>655</v>
      </c>
      <c r="C42" s="100">
        <f>C33+C35+C37-C39</f>
        <v>7362387.0700000003</v>
      </c>
      <c r="D42" s="100">
        <f t="shared" ref="D42:BC42" si="11">D33+D35+D37-D39</f>
        <v>1694059.85</v>
      </c>
      <c r="E42" s="100">
        <f t="shared" si="11"/>
        <v>5594890.2999999998</v>
      </c>
      <c r="F42" s="100">
        <f t="shared" si="11"/>
        <v>4325953.6500000004</v>
      </c>
      <c r="G42" s="100">
        <f t="shared" si="11"/>
        <v>22913378</v>
      </c>
      <c r="H42" s="100">
        <f t="shared" si="11"/>
        <v>20840155.5</v>
      </c>
      <c r="I42" s="100">
        <f t="shared" si="11"/>
        <v>6817290.6900000004</v>
      </c>
      <c r="J42" s="100">
        <f t="shared" si="11"/>
        <v>119224424.16999999</v>
      </c>
      <c r="K42" s="100">
        <f t="shared" si="11"/>
        <v>5654444.4800000004</v>
      </c>
      <c r="L42" s="100">
        <f t="shared" si="11"/>
        <v>0</v>
      </c>
      <c r="M42" s="100">
        <f t="shared" si="11"/>
        <v>38037365.759999998</v>
      </c>
      <c r="N42" s="100">
        <f t="shared" si="11"/>
        <v>3153128.1900000004</v>
      </c>
      <c r="O42" s="100">
        <f t="shared" si="11"/>
        <v>536394.25</v>
      </c>
      <c r="P42" s="100">
        <f t="shared" si="11"/>
        <v>3313530.66</v>
      </c>
      <c r="Q42" s="100">
        <f t="shared" si="11"/>
        <v>4204776.53</v>
      </c>
      <c r="R42" s="100">
        <f t="shared" si="11"/>
        <v>5505378.5700000003</v>
      </c>
      <c r="S42" s="100">
        <f t="shared" si="11"/>
        <v>653720.47</v>
      </c>
      <c r="T42" s="100">
        <f t="shared" si="11"/>
        <v>2744898.29</v>
      </c>
      <c r="U42" s="100">
        <f t="shared" si="11"/>
        <v>14833017.120000001</v>
      </c>
      <c r="V42" s="100">
        <f t="shared" si="11"/>
        <v>567706</v>
      </c>
      <c r="W42" s="100">
        <f t="shared" si="11"/>
        <v>12076989.98</v>
      </c>
      <c r="X42" s="100">
        <f t="shared" si="11"/>
        <v>8118224.96</v>
      </c>
      <c r="Y42" s="100">
        <f t="shared" si="11"/>
        <v>644147</v>
      </c>
      <c r="Z42" s="100">
        <f t="shared" si="11"/>
        <v>1231444.1299999999</v>
      </c>
      <c r="AA42" s="100">
        <f t="shared" si="11"/>
        <v>3067383.23</v>
      </c>
      <c r="AB42" s="100">
        <f t="shared" si="11"/>
        <v>7698969.8399999999</v>
      </c>
      <c r="AC42" s="100">
        <f t="shared" si="11"/>
        <v>3837428.94</v>
      </c>
      <c r="AD42" s="100">
        <f t="shared" si="11"/>
        <v>1162741.5</v>
      </c>
      <c r="AE42" s="100">
        <f t="shared" si="11"/>
        <v>7078615.3899999997</v>
      </c>
      <c r="AF42" s="100">
        <f t="shared" si="11"/>
        <v>19272498</v>
      </c>
      <c r="AG42" s="100">
        <f t="shared" si="11"/>
        <v>885057.5</v>
      </c>
      <c r="AH42" s="100">
        <f t="shared" si="11"/>
        <v>719026.05</v>
      </c>
      <c r="AI42" s="100">
        <f t="shared" si="11"/>
        <v>17180810.02</v>
      </c>
      <c r="AJ42" s="100">
        <f t="shared" si="11"/>
        <v>6479125</v>
      </c>
      <c r="AK42" s="100">
        <f t="shared" si="11"/>
        <v>11423868.66</v>
      </c>
      <c r="AL42" s="100">
        <f t="shared" si="11"/>
        <v>1630726.94</v>
      </c>
      <c r="AM42" s="100">
        <f t="shared" si="11"/>
        <v>10097839.1</v>
      </c>
      <c r="AN42" s="100">
        <f t="shared" si="11"/>
        <v>5139011.8899999997</v>
      </c>
      <c r="AO42" s="100">
        <f t="shared" si="11"/>
        <v>4438993</v>
      </c>
      <c r="AP42" s="100">
        <f t="shared" si="11"/>
        <v>9360629.9800000004</v>
      </c>
      <c r="AQ42" s="100">
        <f t="shared" si="11"/>
        <v>5509464.75</v>
      </c>
      <c r="AR42" s="100">
        <f t="shared" si="11"/>
        <v>8021556.3700000001</v>
      </c>
      <c r="AS42" s="100">
        <f t="shared" si="11"/>
        <v>1892447.1</v>
      </c>
      <c r="AT42" s="100">
        <f t="shared" si="11"/>
        <v>13884615.460000001</v>
      </c>
      <c r="AU42" s="100">
        <f t="shared" si="11"/>
        <v>5721798.2999999998</v>
      </c>
      <c r="AV42" s="100">
        <f t="shared" si="11"/>
        <v>827166.2</v>
      </c>
      <c r="AW42" s="100">
        <f t="shared" si="11"/>
        <v>2006984.94</v>
      </c>
      <c r="AX42" s="100">
        <f t="shared" si="11"/>
        <v>20555588.629999999</v>
      </c>
      <c r="AY42" s="100">
        <f t="shared" si="11"/>
        <v>1211925.51</v>
      </c>
      <c r="AZ42" s="100">
        <f t="shared" si="11"/>
        <v>10224980.140000001</v>
      </c>
      <c r="BA42" s="100">
        <f t="shared" si="11"/>
        <v>206289.58000000002</v>
      </c>
      <c r="BB42" s="100">
        <f t="shared" si="11"/>
        <v>64703530.620000005</v>
      </c>
      <c r="BC42" s="100">
        <f t="shared" si="11"/>
        <v>4428056.8</v>
      </c>
      <c r="BD42" s="180">
        <f>SUM(C42:BC42)</f>
        <v>538714835.05999994</v>
      </c>
      <c r="BE42" s="180">
        <f t="shared" ref="BE42" si="12">SUM(C42:U42)</f>
        <v>267409193.54999995</v>
      </c>
      <c r="BF42" s="180">
        <f t="shared" ref="BF42" si="13">SUM(V42:AH42)</f>
        <v>66360232.519999996</v>
      </c>
      <c r="BG42" s="180">
        <f t="shared" ref="BG42" si="14">SUM(AI42:BC42)</f>
        <v>204945408.99000004</v>
      </c>
    </row>
    <row r="43" spans="1:59" x14ac:dyDescent="0.3">
      <c r="A43" s="67"/>
      <c r="B43" s="69" t="s">
        <v>458</v>
      </c>
      <c r="C43" s="70">
        <f>C42/C5</f>
        <v>7976.5840411700974</v>
      </c>
      <c r="D43" s="70">
        <f t="shared" ref="D43:BC43" si="15">D42/D5</f>
        <v>6274.2957407407412</v>
      </c>
      <c r="E43" s="70">
        <f t="shared" si="15"/>
        <v>11535.856288659794</v>
      </c>
      <c r="F43" s="70">
        <f t="shared" si="15"/>
        <v>9699.4476457399105</v>
      </c>
      <c r="G43" s="70">
        <f t="shared" si="15"/>
        <v>6310.4869182043512</v>
      </c>
      <c r="H43" s="70">
        <f t="shared" si="15"/>
        <v>6290.4182010262602</v>
      </c>
      <c r="I43" s="70">
        <f t="shared" si="15"/>
        <v>2578.4004122541605</v>
      </c>
      <c r="J43" s="70">
        <f t="shared" si="15"/>
        <v>9448.7576612775392</v>
      </c>
      <c r="K43" s="70">
        <f t="shared" si="15"/>
        <v>4124.3212837345009</v>
      </c>
      <c r="L43" s="70">
        <f t="shared" si="15"/>
        <v>0</v>
      </c>
      <c r="M43" s="70">
        <f t="shared" si="15"/>
        <v>5307.2925575554618</v>
      </c>
      <c r="N43" s="70">
        <f t="shared" si="15"/>
        <v>5971.8336931818194</v>
      </c>
      <c r="O43" s="70">
        <f t="shared" si="15"/>
        <v>4966.6134259259261</v>
      </c>
      <c r="P43" s="70">
        <f t="shared" si="15"/>
        <v>7984.4112289156628</v>
      </c>
      <c r="Q43" s="70">
        <f t="shared" si="15"/>
        <v>12048.070286532951</v>
      </c>
      <c r="R43" s="70">
        <f t="shared" si="15"/>
        <v>8013.6514847161579</v>
      </c>
      <c r="S43" s="70">
        <f t="shared" si="15"/>
        <v>2563.6096862745098</v>
      </c>
      <c r="T43" s="70">
        <f t="shared" si="15"/>
        <v>6295.6382798165141</v>
      </c>
      <c r="U43" s="70">
        <f t="shared" si="15"/>
        <v>4649.8486269592477</v>
      </c>
      <c r="V43" s="70">
        <f t="shared" si="15"/>
        <v>1752.179012345679</v>
      </c>
      <c r="W43" s="70">
        <f t="shared" si="15"/>
        <v>9692.6083306581058</v>
      </c>
      <c r="X43" s="70">
        <f t="shared" si="15"/>
        <v>5312.9744502617805</v>
      </c>
      <c r="Y43" s="70">
        <f t="shared" si="15"/>
        <v>6709.864583333333</v>
      </c>
      <c r="Z43" s="70">
        <f t="shared" si="15"/>
        <v>8264.7257046979867</v>
      </c>
      <c r="AA43" s="70">
        <f t="shared" si="15"/>
        <v>5944.5411434108528</v>
      </c>
      <c r="AB43" s="70">
        <f t="shared" si="15"/>
        <v>11473.874575260805</v>
      </c>
      <c r="AC43" s="70">
        <f t="shared" si="15"/>
        <v>6708.7918531468531</v>
      </c>
      <c r="AD43" s="70">
        <f t="shared" si="15"/>
        <v>2372.9418367346939</v>
      </c>
      <c r="AE43" s="70">
        <f t="shared" si="15"/>
        <v>3698.3361494252872</v>
      </c>
      <c r="AF43" s="70">
        <f t="shared" si="15"/>
        <v>7369.9801147227536</v>
      </c>
      <c r="AG43" s="70">
        <f t="shared" si="15"/>
        <v>3898.931718061674</v>
      </c>
      <c r="AH43" s="70">
        <f t="shared" si="15"/>
        <v>5488.7484732824432</v>
      </c>
      <c r="AI43" s="70">
        <f t="shared" si="15"/>
        <v>9066.390511873351</v>
      </c>
      <c r="AJ43" s="70">
        <f t="shared" si="15"/>
        <v>5708.4801762114539</v>
      </c>
      <c r="AK43" s="70">
        <f t="shared" si="15"/>
        <v>9205.37361804996</v>
      </c>
      <c r="AL43" s="70">
        <f t="shared" si="15"/>
        <v>13703.587731092437</v>
      </c>
      <c r="AM43" s="70">
        <f t="shared" si="15"/>
        <v>8450.0745606694563</v>
      </c>
      <c r="AN43" s="70">
        <f t="shared" si="15"/>
        <v>7751.1491553544492</v>
      </c>
      <c r="AO43" s="70">
        <f t="shared" si="15"/>
        <v>6882.1596899224805</v>
      </c>
      <c r="AP43" s="70">
        <f t="shared" si="15"/>
        <v>7411.4251623119562</v>
      </c>
      <c r="AQ43" s="70">
        <f t="shared" si="15"/>
        <v>7445.2226351351355</v>
      </c>
      <c r="AR43" s="70">
        <f t="shared" si="15"/>
        <v>7803.070398832685</v>
      </c>
      <c r="AS43" s="70">
        <f t="shared" si="15"/>
        <v>6026.9015923566885</v>
      </c>
      <c r="AT43" s="70">
        <f t="shared" si="15"/>
        <v>5785.2564416666673</v>
      </c>
      <c r="AU43" s="70">
        <f t="shared" si="15"/>
        <v>7578.5407947019867</v>
      </c>
      <c r="AV43" s="70">
        <f t="shared" si="15"/>
        <v>4569.9790055248613</v>
      </c>
      <c r="AW43" s="70">
        <f t="shared" si="15"/>
        <v>5783.8182708933718</v>
      </c>
      <c r="AX43" s="70">
        <f t="shared" si="15"/>
        <v>12163.070195266271</v>
      </c>
      <c r="AY43" s="70">
        <f t="shared" si="15"/>
        <v>3131.5904651162791</v>
      </c>
      <c r="AZ43" s="70">
        <f t="shared" si="15"/>
        <v>9329.3614416058408</v>
      </c>
      <c r="BA43" s="70">
        <f t="shared" si="15"/>
        <v>1097.2850000000001</v>
      </c>
      <c r="BB43" s="70">
        <f t="shared" si="15"/>
        <v>10056.501495181847</v>
      </c>
      <c r="BC43" s="70">
        <f t="shared" si="15"/>
        <v>7907.2442857142851</v>
      </c>
      <c r="BD43" s="173">
        <f>BD42/BD5</f>
        <v>7308.6710586224199</v>
      </c>
      <c r="BE43" s="173">
        <f>BE42/BE5</f>
        <v>6864.7428646608805</v>
      </c>
      <c r="BF43" s="173">
        <f>BF42/BF5</f>
        <v>6332.6875198015077</v>
      </c>
      <c r="BG43" s="173">
        <f>BG42/BG5</f>
        <v>8442.3055276816631</v>
      </c>
    </row>
    <row r="44" spans="1:59" x14ac:dyDescent="0.3">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3">
      <c r="A45" s="67"/>
      <c r="B45" s="99" t="s">
        <v>656</v>
      </c>
      <c r="C45" s="100">
        <f>C31-C29</f>
        <v>1981542.2999999998</v>
      </c>
      <c r="D45" s="100">
        <f t="shared" ref="D45:BG45" si="16">D31-D29</f>
        <v>347500.05000000005</v>
      </c>
      <c r="E45" s="100">
        <f t="shared" si="16"/>
        <v>2113085.3899999997</v>
      </c>
      <c r="F45" s="100">
        <f t="shared" si="16"/>
        <v>333820.88000000082</v>
      </c>
      <c r="G45" s="100">
        <f t="shared" si="16"/>
        <v>11170167</v>
      </c>
      <c r="H45" s="100">
        <f t="shared" si="16"/>
        <v>13112482.930000002</v>
      </c>
      <c r="I45" s="100">
        <f t="shared" si="16"/>
        <v>1024849.9699999988</v>
      </c>
      <c r="J45" s="100">
        <f t="shared" si="16"/>
        <v>70522811.370000005</v>
      </c>
      <c r="K45" s="100">
        <f t="shared" si="16"/>
        <v>2124903.9499999997</v>
      </c>
      <c r="L45" s="100">
        <f t="shared" si="16"/>
        <v>0</v>
      </c>
      <c r="M45" s="100">
        <f t="shared" si="16"/>
        <v>21593781.700000003</v>
      </c>
      <c r="N45" s="100">
        <f t="shared" si="16"/>
        <v>1367293.8899999997</v>
      </c>
      <c r="O45" s="100">
        <f t="shared" si="16"/>
        <v>245034.5</v>
      </c>
      <c r="P45" s="100">
        <f t="shared" si="16"/>
        <v>1875498.62</v>
      </c>
      <c r="Q45" s="100">
        <f t="shared" si="16"/>
        <v>2154227.6300000004</v>
      </c>
      <c r="R45" s="100">
        <f t="shared" si="16"/>
        <v>212642.52999999933</v>
      </c>
      <c r="S45" s="100">
        <f t="shared" si="16"/>
        <v>292787.20999999985</v>
      </c>
      <c r="T45" s="100">
        <f t="shared" si="16"/>
        <v>439211.70000000019</v>
      </c>
      <c r="U45" s="100">
        <f t="shared" si="16"/>
        <v>10418227.84</v>
      </c>
      <c r="V45" s="100">
        <f t="shared" si="16"/>
        <v>-1080510</v>
      </c>
      <c r="W45" s="100">
        <f t="shared" si="16"/>
        <v>7786577.9200000009</v>
      </c>
      <c r="X45" s="100">
        <f t="shared" si="16"/>
        <v>-8985276.8900000006</v>
      </c>
      <c r="Y45" s="100">
        <f t="shared" si="16"/>
        <v>135991</v>
      </c>
      <c r="Z45" s="100">
        <f t="shared" si="16"/>
        <v>159244.26</v>
      </c>
      <c r="AA45" s="100">
        <f t="shared" si="16"/>
        <v>261711.14999999991</v>
      </c>
      <c r="AB45" s="100">
        <f t="shared" si="16"/>
        <v>6603345.2300000004</v>
      </c>
      <c r="AC45" s="100">
        <f t="shared" si="16"/>
        <v>1285721.0299999998</v>
      </c>
      <c r="AD45" s="100">
        <f t="shared" si="16"/>
        <v>-3100962.9499999997</v>
      </c>
      <c r="AE45" s="100">
        <f t="shared" si="16"/>
        <v>-1077667.79</v>
      </c>
      <c r="AF45" s="100">
        <f t="shared" si="16"/>
        <v>10187147</v>
      </c>
      <c r="AG45" s="100">
        <f t="shared" si="16"/>
        <v>122013</v>
      </c>
      <c r="AH45" s="100">
        <f t="shared" si="16"/>
        <v>-1131039.05</v>
      </c>
      <c r="AI45" s="100">
        <f t="shared" si="16"/>
        <v>11365852.559999999</v>
      </c>
      <c r="AJ45" s="100">
        <f t="shared" si="16"/>
        <v>-3382369</v>
      </c>
      <c r="AK45" s="100">
        <f t="shared" si="16"/>
        <v>6847039.9500000002</v>
      </c>
      <c r="AL45" s="100">
        <f t="shared" si="16"/>
        <v>-517907.81999999995</v>
      </c>
      <c r="AM45" s="100">
        <f t="shared" si="16"/>
        <v>-3843093.0299999993</v>
      </c>
      <c r="AN45" s="100">
        <f t="shared" si="16"/>
        <v>1459848.7399999998</v>
      </c>
      <c r="AO45" s="100">
        <f t="shared" si="16"/>
        <v>928102</v>
      </c>
      <c r="AP45" s="100">
        <f t="shared" si="16"/>
        <v>-2020851.1899999995</v>
      </c>
      <c r="AQ45" s="100">
        <f t="shared" si="16"/>
        <v>3139351.8900000006</v>
      </c>
      <c r="AR45" s="100">
        <f t="shared" si="16"/>
        <v>5090106.17</v>
      </c>
      <c r="AS45" s="100">
        <f t="shared" si="16"/>
        <v>-1809164.0300000003</v>
      </c>
      <c r="AT45" s="100">
        <f t="shared" si="16"/>
        <v>9800475.9100000001</v>
      </c>
      <c r="AU45" s="100">
        <f t="shared" si="16"/>
        <v>2942305.27</v>
      </c>
      <c r="AV45" s="100">
        <f t="shared" si="16"/>
        <v>303302.40000000002</v>
      </c>
      <c r="AW45" s="100">
        <f t="shared" si="16"/>
        <v>62364.760000000009</v>
      </c>
      <c r="AX45" s="100">
        <f t="shared" si="16"/>
        <v>16734582.77</v>
      </c>
      <c r="AY45" s="100">
        <f t="shared" si="16"/>
        <v>-420378.84000000008</v>
      </c>
      <c r="AZ45" s="100">
        <f t="shared" si="16"/>
        <v>6329522.8200000003</v>
      </c>
      <c r="BA45" s="100">
        <f t="shared" si="16"/>
        <v>-570550.06000000006</v>
      </c>
      <c r="BB45" s="100">
        <f t="shared" si="16"/>
        <v>40863227.879999995</v>
      </c>
      <c r="BC45" s="100">
        <f t="shared" si="16"/>
        <v>2142526.61</v>
      </c>
      <c r="BD45" s="100">
        <f t="shared" si="16"/>
        <v>247940459.12999958</v>
      </c>
      <c r="BE45" s="180">
        <f t="shared" si="16"/>
        <v>141329869.45999992</v>
      </c>
      <c r="BF45" s="180">
        <f t="shared" si="16"/>
        <v>11166293.910000011</v>
      </c>
      <c r="BG45" s="180">
        <f t="shared" si="16"/>
        <v>95444295.759999976</v>
      </c>
    </row>
    <row r="46" spans="1:59" x14ac:dyDescent="0.3">
      <c r="A46" s="67"/>
      <c r="B46" s="69" t="s">
        <v>458</v>
      </c>
      <c r="C46" s="70">
        <f>C45/C5</f>
        <v>2146.8497291440954</v>
      </c>
      <c r="D46" s="70">
        <f t="shared" ref="D46:BC46" si="17">D45/D5</f>
        <v>1287.0372222222225</v>
      </c>
      <c r="E46" s="70">
        <f t="shared" si="17"/>
        <v>4356.8770927835048</v>
      </c>
      <c r="F46" s="70">
        <f t="shared" si="17"/>
        <v>748.47730941704219</v>
      </c>
      <c r="G46" s="70">
        <f t="shared" si="17"/>
        <v>3076.3335169374827</v>
      </c>
      <c r="H46" s="70">
        <f t="shared" si="17"/>
        <v>3957.8879957742233</v>
      </c>
      <c r="I46" s="70">
        <f t="shared" si="17"/>
        <v>387.61345310136113</v>
      </c>
      <c r="J46" s="70">
        <f t="shared" si="17"/>
        <v>5589.0641440798863</v>
      </c>
      <c r="K46" s="70">
        <f t="shared" si="17"/>
        <v>1549.8934719183076</v>
      </c>
      <c r="L46" s="70">
        <f t="shared" si="17"/>
        <v>0</v>
      </c>
      <c r="M46" s="70">
        <f t="shared" si="17"/>
        <v>3012.9456815962053</v>
      </c>
      <c r="N46" s="70">
        <f t="shared" si="17"/>
        <v>2589.5717613636357</v>
      </c>
      <c r="O46" s="70">
        <f t="shared" si="17"/>
        <v>2268.837962962963</v>
      </c>
      <c r="P46" s="70">
        <f t="shared" si="17"/>
        <v>4519.2737831325303</v>
      </c>
      <c r="Q46" s="70">
        <f t="shared" si="17"/>
        <v>6172.5720057306598</v>
      </c>
      <c r="R46" s="70">
        <f t="shared" si="17"/>
        <v>309.52333333333235</v>
      </c>
      <c r="S46" s="70">
        <f t="shared" si="17"/>
        <v>1148.1851372549013</v>
      </c>
      <c r="T46" s="70">
        <f t="shared" si="17"/>
        <v>1007.3662844036702</v>
      </c>
      <c r="U46" s="70">
        <f t="shared" si="17"/>
        <v>3265.9021442006269</v>
      </c>
      <c r="V46" s="70">
        <f t="shared" si="17"/>
        <v>-3334.9074074074074</v>
      </c>
      <c r="W46" s="70">
        <f t="shared" si="17"/>
        <v>6249.259967897272</v>
      </c>
      <c r="X46" s="70">
        <f t="shared" si="17"/>
        <v>-5880.4168128272258</v>
      </c>
      <c r="Y46" s="70">
        <f t="shared" si="17"/>
        <v>1416.5729166666667</v>
      </c>
      <c r="Z46" s="70">
        <f t="shared" si="17"/>
        <v>1068.7534228187919</v>
      </c>
      <c r="AA46" s="70">
        <f t="shared" si="17"/>
        <v>507.19215116279054</v>
      </c>
      <c r="AB46" s="70">
        <f t="shared" si="17"/>
        <v>9841.0510134128181</v>
      </c>
      <c r="AC46" s="70">
        <f t="shared" si="17"/>
        <v>2247.7640384615379</v>
      </c>
      <c r="AD46" s="70">
        <f t="shared" si="17"/>
        <v>-6328.4958163265301</v>
      </c>
      <c r="AE46" s="70">
        <f t="shared" si="17"/>
        <v>-563.04482236154649</v>
      </c>
      <c r="AF46" s="70">
        <f t="shared" si="17"/>
        <v>3895.6585086042064</v>
      </c>
      <c r="AG46" s="70">
        <f t="shared" si="17"/>
        <v>537.50220264317181</v>
      </c>
      <c r="AH46" s="70">
        <f t="shared" si="17"/>
        <v>-8633.8858778625963</v>
      </c>
      <c r="AI46" s="70">
        <f t="shared" si="17"/>
        <v>5997.8113773087061</v>
      </c>
      <c r="AJ46" s="70">
        <f t="shared" si="17"/>
        <v>-2980.0607929515418</v>
      </c>
      <c r="AK46" s="70">
        <f t="shared" si="17"/>
        <v>5517.3569298952461</v>
      </c>
      <c r="AL46" s="70">
        <f t="shared" si="17"/>
        <v>-4352.1665546218483</v>
      </c>
      <c r="AM46" s="70">
        <f t="shared" si="17"/>
        <v>-3215.9774309623426</v>
      </c>
      <c r="AN46" s="70">
        <f t="shared" si="17"/>
        <v>2201.8834690799395</v>
      </c>
      <c r="AO46" s="70">
        <f t="shared" si="17"/>
        <v>1438.9178294573644</v>
      </c>
      <c r="AP46" s="70">
        <f t="shared" si="17"/>
        <v>-1600.0405304829767</v>
      </c>
      <c r="AQ46" s="70">
        <f t="shared" si="17"/>
        <v>4242.3674189189196</v>
      </c>
      <c r="AR46" s="70">
        <f t="shared" si="17"/>
        <v>4951.465145914397</v>
      </c>
      <c r="AS46" s="70">
        <f t="shared" si="17"/>
        <v>-5761.6688853503192</v>
      </c>
      <c r="AT46" s="70">
        <f t="shared" si="17"/>
        <v>4083.5316291666668</v>
      </c>
      <c r="AU46" s="70">
        <f t="shared" si="17"/>
        <v>3897.0930728476819</v>
      </c>
      <c r="AV46" s="70">
        <f t="shared" si="17"/>
        <v>1675.7038674033151</v>
      </c>
      <c r="AW46" s="70">
        <f t="shared" si="17"/>
        <v>179.72553314121041</v>
      </c>
      <c r="AX46" s="70">
        <f t="shared" si="17"/>
        <v>9902.1199822485196</v>
      </c>
      <c r="AY46" s="70">
        <f t="shared" si="17"/>
        <v>-1086.2502325581397</v>
      </c>
      <c r="AZ46" s="70">
        <f t="shared" si="17"/>
        <v>5775.112062043796</v>
      </c>
      <c r="BA46" s="70">
        <f t="shared" si="17"/>
        <v>-3034.8407446808515</v>
      </c>
      <c r="BB46" s="70">
        <f t="shared" si="17"/>
        <v>6351.1389306807578</v>
      </c>
      <c r="BC46" s="70">
        <f t="shared" si="17"/>
        <v>3825.9403749999997</v>
      </c>
      <c r="BD46" s="70">
        <f>BD45/BD5</f>
        <v>3363.7745611797686</v>
      </c>
      <c r="BE46" s="173">
        <f>BE45/BE5</f>
        <v>3628.1221302048548</v>
      </c>
      <c r="BF46" s="173">
        <f>BF45/BF5</f>
        <v>1065.5877383338116</v>
      </c>
      <c r="BG46" s="173">
        <f>BG45/BG5</f>
        <v>3931.6318899324424</v>
      </c>
    </row>
    <row r="47" spans="1:59" x14ac:dyDescent="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6"/>
  <sheetViews>
    <sheetView workbookViewId="0">
      <selection activeCell="F155" sqref="F155"/>
    </sheetView>
  </sheetViews>
  <sheetFormatPr baseColWidth="10" defaultRowHeight="14.4" x14ac:dyDescent="0.3"/>
  <cols>
    <col min="1" max="1" width="5.6640625" customWidth="1"/>
    <col min="2" max="2" width="50.33203125" customWidth="1"/>
    <col min="3" max="3" width="22.88671875" customWidth="1"/>
  </cols>
  <sheetData>
    <row r="1" spans="1:3" ht="25.8" x14ac:dyDescent="0.5">
      <c r="A1" s="42" t="s">
        <v>760</v>
      </c>
      <c r="B1" s="7"/>
    </row>
    <row r="2" spans="1:3" ht="15" customHeight="1" x14ac:dyDescent="0.5">
      <c r="A2" s="42"/>
      <c r="B2" s="7"/>
    </row>
    <row r="3" spans="1:3" ht="15" customHeight="1" thickBot="1" x14ac:dyDescent="0.35">
      <c r="A3" s="7"/>
      <c r="B3" s="7"/>
    </row>
    <row r="4" spans="1:3" ht="15" customHeight="1" thickBot="1" x14ac:dyDescent="0.55000000000000004">
      <c r="A4" s="42"/>
      <c r="B4" s="179" t="s">
        <v>14</v>
      </c>
    </row>
    <row r="5" spans="1:3" ht="15" customHeight="1" x14ac:dyDescent="0.3">
      <c r="C5" s="65"/>
    </row>
    <row r="6" spans="1:3" ht="15" customHeight="1" x14ac:dyDescent="0.3">
      <c r="C6" s="182" t="s">
        <v>205</v>
      </c>
    </row>
    <row r="7" spans="1:3" x14ac:dyDescent="0.3">
      <c r="A7" s="67">
        <v>10</v>
      </c>
      <c r="B7" s="67" t="s">
        <v>247</v>
      </c>
      <c r="C7" s="4">
        <f>HLOOKUP($B$4,'5.4 Tableau de l''endettement'!$C$6:$BC$24,2,0)</f>
        <v>5311232.7699999996</v>
      </c>
    </row>
    <row r="8" spans="1:3" x14ac:dyDescent="0.3">
      <c r="A8" s="67"/>
      <c r="B8" s="67"/>
      <c r="C8" s="4"/>
    </row>
    <row r="9" spans="1:3" x14ac:dyDescent="0.3">
      <c r="A9" s="67">
        <v>20</v>
      </c>
      <c r="B9" s="67" t="s">
        <v>259</v>
      </c>
      <c r="C9" s="4">
        <f>HLOOKUP($B$4,'5.4 Tableau de l''endettement'!$C$6:$BC$24,4,0)</f>
        <v>10327486.98</v>
      </c>
    </row>
    <row r="10" spans="1:3" x14ac:dyDescent="0.3">
      <c r="A10" s="67"/>
      <c r="B10" s="67"/>
      <c r="C10" s="4"/>
    </row>
    <row r="11" spans="1:3" x14ac:dyDescent="0.3">
      <c r="A11" s="67">
        <v>200</v>
      </c>
      <c r="B11" s="67" t="s">
        <v>460</v>
      </c>
      <c r="C11" s="4">
        <f>HLOOKUP($B$4,'5.4 Tableau de l''endettement'!$C$6:$BC$24,6,0)</f>
        <v>16414.79</v>
      </c>
    </row>
    <row r="12" spans="1:3" x14ac:dyDescent="0.3">
      <c r="A12" s="67"/>
      <c r="B12" s="67"/>
      <c r="C12" s="4"/>
    </row>
    <row r="13" spans="1:3" x14ac:dyDescent="0.3">
      <c r="A13" s="67">
        <v>201</v>
      </c>
      <c r="B13" s="67" t="s">
        <v>261</v>
      </c>
      <c r="C13" s="4">
        <f>HLOOKUP($B$4,'5.4 Tableau de l''endettement'!$C$6:$BC$24,8,0)</f>
        <v>1134925.8399999999</v>
      </c>
    </row>
    <row r="14" spans="1:3" x14ac:dyDescent="0.3">
      <c r="A14" s="67"/>
      <c r="B14" s="67"/>
      <c r="C14" s="4"/>
    </row>
    <row r="15" spans="1:3" x14ac:dyDescent="0.3">
      <c r="A15" s="67">
        <v>206</v>
      </c>
      <c r="B15" s="67" t="s">
        <v>264</v>
      </c>
      <c r="C15" s="4">
        <f>HLOOKUP($B$4,'5.4 Tableau de l''endettement'!$C$6:$BC$24,10,0)</f>
        <v>8541150</v>
      </c>
    </row>
    <row r="16" spans="1:3" x14ac:dyDescent="0.3">
      <c r="A16" s="67"/>
      <c r="B16" s="67"/>
      <c r="C16" s="4"/>
    </row>
    <row r="17" spans="1:3" x14ac:dyDescent="0.3">
      <c r="A17" s="67">
        <v>2016</v>
      </c>
      <c r="B17" s="67" t="s">
        <v>276</v>
      </c>
      <c r="C17" s="4">
        <f>HLOOKUP($B$4,'5.4 Tableau de l''endettement'!$C$6:$BC$24,12,0)</f>
        <v>0</v>
      </c>
    </row>
    <row r="18" spans="1:3" x14ac:dyDescent="0.3">
      <c r="A18" s="67"/>
      <c r="B18" s="67"/>
      <c r="C18" s="4"/>
    </row>
    <row r="19" spans="1:3" x14ac:dyDescent="0.3">
      <c r="A19" s="67"/>
      <c r="B19" s="67"/>
      <c r="C19" s="4"/>
    </row>
    <row r="20" spans="1:3" x14ac:dyDescent="0.3">
      <c r="A20" s="67"/>
      <c r="B20" s="99" t="s">
        <v>653</v>
      </c>
      <c r="C20" s="100">
        <f>HLOOKUP($B$4,'5.4 Tableau de l''endettement'!$C$6:$BC$24,15,0)</f>
        <v>9692490.629999999</v>
      </c>
    </row>
    <row r="21" spans="1:3" x14ac:dyDescent="0.3">
      <c r="A21" s="67"/>
      <c r="B21" s="69" t="s">
        <v>458</v>
      </c>
      <c r="C21" s="70">
        <f>HLOOKUP($B$4,'5.4 Tableau de l''endettement'!$C$6:$BC$24,16,0)</f>
        <v>8539.6393215859025</v>
      </c>
    </row>
    <row r="22" spans="1:3" x14ac:dyDescent="0.3">
      <c r="A22" s="67"/>
      <c r="B22" s="7"/>
      <c r="C22" s="4"/>
    </row>
    <row r="23" spans="1:3" x14ac:dyDescent="0.3">
      <c r="A23" s="67"/>
      <c r="B23" s="99" t="s">
        <v>654</v>
      </c>
      <c r="C23" s="100">
        <f>HLOOKUP($B$4,'5.4 Tableau de l''endettement'!$C$6:$BC$24,18,0)</f>
        <v>5016254.2100000009</v>
      </c>
    </row>
    <row r="24" spans="1:3" x14ac:dyDescent="0.3">
      <c r="A24" s="67"/>
      <c r="B24" s="69" t="s">
        <v>458</v>
      </c>
      <c r="C24" s="70">
        <f>HLOOKUP($B$4,'5.4 Tableau de l''endettement'!$C$6:$BC$24,19,0)</f>
        <v>4419.6072334801765</v>
      </c>
    </row>
    <row r="25" spans="1:3" x14ac:dyDescent="0.3">
      <c r="A25" s="67"/>
      <c r="B25" s="67"/>
    </row>
    <row r="26" spans="1:3" x14ac:dyDescent="0.3">
      <c r="A26" s="67"/>
      <c r="B26" s="67"/>
    </row>
    <row r="27" spans="1:3" x14ac:dyDescent="0.3">
      <c r="A27" s="7" t="s">
        <v>652</v>
      </c>
      <c r="B27" s="67"/>
    </row>
    <row r="28" spans="1:3" x14ac:dyDescent="0.3">
      <c r="A28" s="67"/>
      <c r="B28" s="67"/>
    </row>
    <row r="29" spans="1:3" x14ac:dyDescent="0.3">
      <c r="A29" s="67">
        <v>10</v>
      </c>
      <c r="B29" s="67" t="s">
        <v>247</v>
      </c>
      <c r="C29" s="4">
        <f>HLOOKUP($B$4,'5.4 Tableau de l''endettement'!$C$6:$BC$49,24,0)</f>
        <v>3398783</v>
      </c>
    </row>
    <row r="30" spans="1:3" x14ac:dyDescent="0.3">
      <c r="A30" s="67"/>
      <c r="B30" s="67"/>
      <c r="C30" s="4"/>
    </row>
    <row r="31" spans="1:3" x14ac:dyDescent="0.3">
      <c r="A31" s="67">
        <v>20</v>
      </c>
      <c r="B31" s="67" t="s">
        <v>259</v>
      </c>
      <c r="C31" s="4">
        <f>HLOOKUP($B$4,'5.4 Tableau de l''endettement'!$C$6:$BC$49,26,0)</f>
        <v>16414</v>
      </c>
    </row>
    <row r="32" spans="1:3" x14ac:dyDescent="0.3">
      <c r="A32" s="67"/>
      <c r="B32" s="67"/>
      <c r="C32" s="4"/>
    </row>
    <row r="33" spans="1:3" x14ac:dyDescent="0.3">
      <c r="A33" s="67">
        <v>200</v>
      </c>
      <c r="B33" s="67" t="s">
        <v>460</v>
      </c>
      <c r="C33" s="4">
        <f>HLOOKUP($B$4,'5.4 Tableau de l''endettement'!$C$6:$BC$49,28,0)</f>
        <v>320246</v>
      </c>
    </row>
    <row r="34" spans="1:3" x14ac:dyDescent="0.3">
      <c r="A34" s="67"/>
      <c r="B34" s="67"/>
      <c r="C34" s="4"/>
    </row>
    <row r="35" spans="1:3" x14ac:dyDescent="0.3">
      <c r="A35" s="67">
        <v>201</v>
      </c>
      <c r="B35" s="67" t="s">
        <v>261</v>
      </c>
      <c r="C35" s="4">
        <f>HLOOKUP($B$4,'5.4 Tableau de l''endettement'!$C$6:$BC$49,30,0)</f>
        <v>512379</v>
      </c>
    </row>
    <row r="36" spans="1:3" x14ac:dyDescent="0.3">
      <c r="A36" s="67"/>
      <c r="B36" s="67"/>
      <c r="C36" s="4"/>
    </row>
    <row r="37" spans="1:3" x14ac:dyDescent="0.3">
      <c r="A37" s="67">
        <v>206</v>
      </c>
      <c r="B37" s="67" t="s">
        <v>264</v>
      </c>
      <c r="C37" s="4">
        <f>HLOOKUP($B$4,'5.4 Tableau de l''endettement'!$C$6:$BC$49,32,0)</f>
        <v>5808800</v>
      </c>
    </row>
    <row r="38" spans="1:3" x14ac:dyDescent="0.3">
      <c r="A38" s="67"/>
      <c r="B38" s="67"/>
      <c r="C38" s="4"/>
    </row>
    <row r="39" spans="1:3" x14ac:dyDescent="0.3">
      <c r="A39" s="67">
        <v>2016</v>
      </c>
      <c r="B39" s="67" t="s">
        <v>276</v>
      </c>
      <c r="C39" s="4">
        <f>HLOOKUP($B$4,'5.4 Tableau de l''endettement'!$C$6:$BC$49,34,0)</f>
        <v>162300</v>
      </c>
    </row>
    <row r="40" spans="1:3" x14ac:dyDescent="0.3">
      <c r="A40" s="67"/>
      <c r="B40" s="67"/>
      <c r="C40" s="4"/>
    </row>
    <row r="41" spans="1:3" x14ac:dyDescent="0.3">
      <c r="A41" s="67"/>
      <c r="B41" s="67"/>
      <c r="C41" s="4"/>
    </row>
    <row r="42" spans="1:3" x14ac:dyDescent="0.3">
      <c r="A42" s="67"/>
      <c r="B42" s="99" t="s">
        <v>655</v>
      </c>
      <c r="C42" s="100">
        <f>HLOOKUP($B$4,'5.4 Tableau de l''endettement'!$C$6:$BC$49,37,0)</f>
        <v>6479125</v>
      </c>
    </row>
    <row r="43" spans="1:3" x14ac:dyDescent="0.3">
      <c r="A43" s="67"/>
      <c r="B43" s="69" t="s">
        <v>458</v>
      </c>
      <c r="C43" s="70">
        <f>HLOOKUP($B$4,'5.4 Tableau de l''endettement'!$C$6:$BC$49,38,0)</f>
        <v>5708.4801762114539</v>
      </c>
    </row>
    <row r="44" spans="1:3" x14ac:dyDescent="0.3">
      <c r="A44" s="67"/>
      <c r="B44" s="7"/>
      <c r="C44" s="4"/>
    </row>
    <row r="45" spans="1:3" x14ac:dyDescent="0.3">
      <c r="A45" s="67"/>
      <c r="B45" s="99" t="s">
        <v>656</v>
      </c>
      <c r="C45" s="100">
        <f>HLOOKUP($B$4,'5.4 Tableau de l''endettement'!$C$6:$BC$49,40,0)</f>
        <v>-3382369</v>
      </c>
    </row>
    <row r="46" spans="1:3" x14ac:dyDescent="0.3">
      <c r="A46" s="67"/>
      <c r="B46" s="69" t="s">
        <v>458</v>
      </c>
      <c r="C46" s="70">
        <f>HLOOKUP($B$4,'5.4 Tableau de l''endettement'!$C$6:$BC$49,41,0)</f>
        <v>-2980.0607929515418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C23" sqref="C23"/>
    </sheetView>
  </sheetViews>
  <sheetFormatPr baseColWidth="10" defaultRowHeight="14.4" x14ac:dyDescent="0.3"/>
  <cols>
    <col min="1" max="2" width="5.6640625" customWidth="1"/>
    <col min="3" max="3" width="9" customWidth="1"/>
    <col min="4" max="4" width="63.5546875" customWidth="1"/>
    <col min="5" max="5" width="23" customWidth="1"/>
  </cols>
  <sheetData>
    <row r="2" spans="1:5" ht="25.8" x14ac:dyDescent="0.5">
      <c r="A2" s="42" t="s">
        <v>199</v>
      </c>
      <c r="B2" s="7"/>
      <c r="C2" s="7"/>
      <c r="D2" s="7"/>
    </row>
    <row r="4" spans="1:5" ht="15" thickBot="1" x14ac:dyDescent="0.35"/>
    <row r="5" spans="1:5" ht="15" thickBot="1" x14ac:dyDescent="0.35">
      <c r="A5" t="s">
        <v>648</v>
      </c>
      <c r="D5" s="174" t="s">
        <v>35</v>
      </c>
    </row>
    <row r="7" spans="1:5" x14ac:dyDescent="0.3">
      <c r="E7" s="65" t="s">
        <v>205</v>
      </c>
    </row>
    <row r="8" spans="1:5" ht="21" x14ac:dyDescent="0.4">
      <c r="A8" s="92">
        <v>3</v>
      </c>
      <c r="B8" s="92"/>
      <c r="C8" s="92"/>
      <c r="D8" s="92" t="s">
        <v>60</v>
      </c>
      <c r="E8" s="171">
        <f>HLOOKUP(D5,'4.1 Comptes 2020 natures'!$E$3:$BE$158,2,0)</f>
        <v>1487464.8</v>
      </c>
    </row>
    <row r="9" spans="1:5" x14ac:dyDescent="0.3">
      <c r="A9" s="94"/>
      <c r="B9" s="94">
        <v>30</v>
      </c>
      <c r="C9" s="94"/>
      <c r="D9" s="94" t="s">
        <v>61</v>
      </c>
      <c r="E9" s="95">
        <f>HLOOKUP($D$5,'4.1 Comptes 2020 natures'!$E$3:$BE$158,3,0)</f>
        <v>141865.75</v>
      </c>
    </row>
    <row r="10" spans="1:5" x14ac:dyDescent="0.3">
      <c r="C10">
        <v>300</v>
      </c>
      <c r="D10" t="s">
        <v>80</v>
      </c>
      <c r="E10" s="89">
        <f>HLOOKUP($D$5,'4.1 Comptes 2020 natures'!$E$3:$BE$158,4,0)</f>
        <v>13207.6</v>
      </c>
    </row>
    <row r="11" spans="1:5" x14ac:dyDescent="0.3">
      <c r="C11">
        <v>301</v>
      </c>
      <c r="D11" t="s">
        <v>81</v>
      </c>
      <c r="E11" s="89">
        <f>HLOOKUP($D$5,'4.1 Comptes 2020 natures'!$E$3:$BE$158,5,0)</f>
        <v>109173</v>
      </c>
    </row>
    <row r="12" spans="1:5" x14ac:dyDescent="0.3">
      <c r="C12">
        <v>302</v>
      </c>
      <c r="D12" t="s">
        <v>82</v>
      </c>
      <c r="E12" s="89">
        <f>HLOOKUP($D$5,'4.1 Comptes 2020 natures'!$E$3:$BE$158,6,0)</f>
        <v>0</v>
      </c>
    </row>
    <row r="13" spans="1:5" x14ac:dyDescent="0.3">
      <c r="C13">
        <v>303</v>
      </c>
      <c r="D13" t="s">
        <v>83</v>
      </c>
      <c r="E13" s="89">
        <f>HLOOKUP($D$5,'4.1 Comptes 2020 natures'!$E$3:$BE$158,7,0)</f>
        <v>0</v>
      </c>
    </row>
    <row r="14" spans="1:5" x14ac:dyDescent="0.3">
      <c r="C14">
        <v>304</v>
      </c>
      <c r="D14" t="s">
        <v>596</v>
      </c>
      <c r="E14" s="89">
        <f>HLOOKUP($D$5,'4.1 Comptes 2020 natures'!$E$3:$BE$158,8,0)</f>
        <v>0</v>
      </c>
    </row>
    <row r="15" spans="1:5" x14ac:dyDescent="0.3">
      <c r="C15">
        <v>305</v>
      </c>
      <c r="D15" t="s">
        <v>84</v>
      </c>
      <c r="E15" s="89">
        <f>HLOOKUP($D$5,'4.1 Comptes 2020 natures'!$E$3:$BE$158,9,0)</f>
        <v>19018.849999999999</v>
      </c>
    </row>
    <row r="16" spans="1:5" x14ac:dyDescent="0.3">
      <c r="C16">
        <v>306</v>
      </c>
      <c r="D16" t="s">
        <v>85</v>
      </c>
      <c r="E16" s="89">
        <f>HLOOKUP($D$5,'4.1 Comptes 2020 natures'!$E$3:$BE$158,10,0)</f>
        <v>0</v>
      </c>
    </row>
    <row r="17" spans="2:5" x14ac:dyDescent="0.3">
      <c r="C17">
        <v>309</v>
      </c>
      <c r="D17" t="s">
        <v>86</v>
      </c>
      <c r="E17" s="89">
        <f>HLOOKUP($D$5,'4.1 Comptes 2020 natures'!$E$3:$BE$158,11,0)</f>
        <v>466.3</v>
      </c>
    </row>
    <row r="18" spans="2:5" x14ac:dyDescent="0.3">
      <c r="E18" s="4"/>
    </row>
    <row r="19" spans="2:5" x14ac:dyDescent="0.3">
      <c r="B19" s="94">
        <v>31</v>
      </c>
      <c r="C19" s="94"/>
      <c r="D19" s="94" t="s">
        <v>87</v>
      </c>
      <c r="E19" s="95">
        <f>SUM(E20:E29)</f>
        <v>386145.29000000004</v>
      </c>
    </row>
    <row r="20" spans="2:5" x14ac:dyDescent="0.3">
      <c r="C20">
        <v>310</v>
      </c>
      <c r="D20" t="s">
        <v>88</v>
      </c>
      <c r="E20" s="89">
        <f>HLOOKUP($D$5,'4.1 Comptes 2020 natures'!$E$3:$BE$158,14,0)</f>
        <v>84169.05</v>
      </c>
    </row>
    <row r="21" spans="2:5" x14ac:dyDescent="0.3">
      <c r="C21">
        <v>311</v>
      </c>
      <c r="D21" t="s">
        <v>462</v>
      </c>
      <c r="E21" s="89">
        <f>HLOOKUP($D$5,'4.1 Comptes 2020 natures'!$E$3:$BE$158,15,0)</f>
        <v>5603.1</v>
      </c>
    </row>
    <row r="22" spans="2:5" x14ac:dyDescent="0.3">
      <c r="C22">
        <v>312</v>
      </c>
      <c r="D22" t="s">
        <v>90</v>
      </c>
      <c r="E22" s="89">
        <f>HLOOKUP($D$5,'4.1 Comptes 2020 natures'!$E$3:$BE$158,16,0)</f>
        <v>82644.850000000006</v>
      </c>
    </row>
    <row r="23" spans="2:5" x14ac:dyDescent="0.3">
      <c r="C23">
        <v>313</v>
      </c>
      <c r="D23" t="s">
        <v>91</v>
      </c>
      <c r="E23" s="89">
        <f>HLOOKUP($D$5,'4.1 Comptes 2020 natures'!$E$3:$BE$158,17,0)</f>
        <v>102946.94</v>
      </c>
    </row>
    <row r="24" spans="2:5" x14ac:dyDescent="0.3">
      <c r="C24">
        <v>314</v>
      </c>
      <c r="D24" t="s">
        <v>92</v>
      </c>
      <c r="E24" s="89">
        <f>HLOOKUP($D$5,'4.1 Comptes 2020 natures'!$E$3:$BE$158,18,0)</f>
        <v>68794.2</v>
      </c>
    </row>
    <row r="25" spans="2:5" x14ac:dyDescent="0.3">
      <c r="C25">
        <v>315</v>
      </c>
      <c r="D25" t="s">
        <v>93</v>
      </c>
      <c r="E25" s="89">
        <f>HLOOKUP($D$5,'4.1 Comptes 2020 natures'!$E$3:$BE$158,19,0)</f>
        <v>12657.45</v>
      </c>
    </row>
    <row r="26" spans="2:5" x14ac:dyDescent="0.3">
      <c r="C26">
        <v>316</v>
      </c>
      <c r="D26" t="s">
        <v>94</v>
      </c>
      <c r="E26" s="89">
        <f>HLOOKUP($D$5,'4.1 Comptes 2020 natures'!$E$3:$BE$158,20,0)</f>
        <v>2739.7</v>
      </c>
    </row>
    <row r="27" spans="2:5" x14ac:dyDescent="0.3">
      <c r="C27">
        <v>317</v>
      </c>
      <c r="D27" t="s">
        <v>95</v>
      </c>
      <c r="E27" s="89">
        <f>HLOOKUP($D$5,'4.1 Comptes 2020 natures'!$E$3:$BE$158,21,0)</f>
        <v>3792.7</v>
      </c>
    </row>
    <row r="28" spans="2:5" x14ac:dyDescent="0.3">
      <c r="C28">
        <v>318</v>
      </c>
      <c r="D28" t="s">
        <v>96</v>
      </c>
      <c r="E28" s="89">
        <f>HLOOKUP($D$5,'4.1 Comptes 2020 natures'!$E$3:$BE$158,22,0)</f>
        <v>22797.3</v>
      </c>
    </row>
    <row r="29" spans="2:5" x14ac:dyDescent="0.3">
      <c r="C29">
        <v>319</v>
      </c>
      <c r="D29" t="s">
        <v>97</v>
      </c>
      <c r="E29" s="89">
        <f>HLOOKUP($D$5,'4.1 Comptes 2020 natures'!$E$3:$BE$158,23,0)</f>
        <v>0</v>
      </c>
    </row>
    <row r="30" spans="2:5" x14ac:dyDescent="0.3">
      <c r="E30" s="4"/>
    </row>
    <row r="31" spans="2:5" x14ac:dyDescent="0.3">
      <c r="B31" s="94">
        <v>33</v>
      </c>
      <c r="C31" s="94"/>
      <c r="D31" s="94" t="s">
        <v>98</v>
      </c>
      <c r="E31" s="95">
        <f>SUM(E32:E33)</f>
        <v>186165</v>
      </c>
    </row>
    <row r="32" spans="2:5" x14ac:dyDescent="0.3">
      <c r="C32">
        <v>330</v>
      </c>
      <c r="D32" t="s">
        <v>100</v>
      </c>
      <c r="E32" s="89">
        <f>HLOOKUP($D$5,'4.1 Comptes 2020 natures'!$E$3:$BE$158,26,0)</f>
        <v>181665</v>
      </c>
    </row>
    <row r="33" spans="2:5" x14ac:dyDescent="0.3">
      <c r="C33">
        <v>332</v>
      </c>
      <c r="D33" t="s">
        <v>99</v>
      </c>
      <c r="E33" s="89">
        <f>HLOOKUP($D$5,'4.1 Comptes 2020 natures'!$E$3:$BE$158,27,0)</f>
        <v>4500</v>
      </c>
    </row>
    <row r="34" spans="2:5" x14ac:dyDescent="0.3">
      <c r="E34" s="4"/>
    </row>
    <row r="35" spans="2:5" x14ac:dyDescent="0.3">
      <c r="B35" s="94">
        <v>34</v>
      </c>
      <c r="C35" s="94"/>
      <c r="D35" s="94" t="s">
        <v>101</v>
      </c>
      <c r="E35" s="95">
        <f>SUM(E36:E41)</f>
        <v>16514.060000000001</v>
      </c>
    </row>
    <row r="36" spans="2:5" x14ac:dyDescent="0.3">
      <c r="C36">
        <v>340</v>
      </c>
      <c r="D36" t="s">
        <v>102</v>
      </c>
      <c r="E36" s="89">
        <f>HLOOKUP($D$5,'4.1 Comptes 2020 natures'!$E$3:$BE$158,30,0)</f>
        <v>16514.060000000001</v>
      </c>
    </row>
    <row r="37" spans="2:5" x14ac:dyDescent="0.3">
      <c r="C37">
        <v>341</v>
      </c>
      <c r="D37" t="s">
        <v>103</v>
      </c>
      <c r="E37" s="89">
        <f>HLOOKUP($D$5,'4.1 Comptes 2020 natures'!$E$3:$BE$158,31,0)</f>
        <v>0</v>
      </c>
    </row>
    <row r="38" spans="2:5" x14ac:dyDescent="0.3">
      <c r="C38">
        <v>342</v>
      </c>
      <c r="D38" t="s">
        <v>104</v>
      </c>
      <c r="E38" s="89">
        <f>HLOOKUP($D$5,'4.1 Comptes 2020 natures'!$E$3:$BE$158,32,0)</f>
        <v>0</v>
      </c>
    </row>
    <row r="39" spans="2:5" x14ac:dyDescent="0.3">
      <c r="C39">
        <v>343</v>
      </c>
      <c r="D39" t="s">
        <v>105</v>
      </c>
      <c r="E39" s="89">
        <f>HLOOKUP($D$5,'4.1 Comptes 2020 natures'!$E$3:$BE$158,33,0)</f>
        <v>0</v>
      </c>
    </row>
    <row r="40" spans="2:5" x14ac:dyDescent="0.3">
      <c r="C40">
        <v>344</v>
      </c>
      <c r="D40" t="s">
        <v>106</v>
      </c>
      <c r="E40" s="89">
        <f>HLOOKUP($D$5,'4.1 Comptes 2020 natures'!$E$3:$BE$158,34,0)</f>
        <v>0</v>
      </c>
    </row>
    <row r="41" spans="2:5" x14ac:dyDescent="0.3">
      <c r="C41">
        <v>349</v>
      </c>
      <c r="D41" t="s">
        <v>107</v>
      </c>
      <c r="E41" s="89">
        <f>HLOOKUP($D$5,'4.1 Comptes 2020 natures'!$E$3:$BE$158,35,0)</f>
        <v>0</v>
      </c>
    </row>
    <row r="42" spans="2:5" x14ac:dyDescent="0.3">
      <c r="E42" s="4"/>
    </row>
    <row r="43" spans="2:5" x14ac:dyDescent="0.3">
      <c r="B43" s="94">
        <v>35</v>
      </c>
      <c r="C43" s="94"/>
      <c r="D43" s="94" t="s">
        <v>109</v>
      </c>
      <c r="E43" s="95">
        <f>SUM(E44:E45)</f>
        <v>310</v>
      </c>
    </row>
    <row r="44" spans="2:5" x14ac:dyDescent="0.3">
      <c r="C44">
        <v>350</v>
      </c>
      <c r="D44" t="s">
        <v>109</v>
      </c>
      <c r="E44" s="89">
        <f>HLOOKUP($D$5,'4.1 Comptes 2020 natures'!$E$3:$BE$158,38,0)</f>
        <v>0</v>
      </c>
    </row>
    <row r="45" spans="2:5" x14ac:dyDescent="0.3">
      <c r="C45">
        <v>351</v>
      </c>
      <c r="D45" t="s">
        <v>108</v>
      </c>
      <c r="E45" s="89">
        <f>HLOOKUP($D$5,'4.1 Comptes 2020 natures'!$E$3:$BE$158,39,0)</f>
        <v>310</v>
      </c>
    </row>
    <row r="46" spans="2:5" x14ac:dyDescent="0.3">
      <c r="E46" s="4"/>
    </row>
    <row r="47" spans="2:5" x14ac:dyDescent="0.3">
      <c r="B47" s="94">
        <v>36</v>
      </c>
      <c r="C47" s="94"/>
      <c r="D47" s="94" t="s">
        <v>110</v>
      </c>
      <c r="E47" s="95">
        <f>SUM(E48:E55)</f>
        <v>698464.7</v>
      </c>
    </row>
    <row r="48" spans="2:5" x14ac:dyDescent="0.3">
      <c r="C48">
        <v>360</v>
      </c>
      <c r="D48" t="s">
        <v>111</v>
      </c>
      <c r="E48" s="89">
        <f>HLOOKUP($D$5,'4.1 Comptes 2020 natures'!$E$3:$BE$158,42,0)</f>
        <v>1723.2</v>
      </c>
    </row>
    <row r="49" spans="2:5" x14ac:dyDescent="0.3">
      <c r="C49">
        <v>361</v>
      </c>
      <c r="D49" t="s">
        <v>112</v>
      </c>
      <c r="E49" s="89">
        <f>HLOOKUP($D$5,'4.1 Comptes 2020 natures'!$E$3:$BE$158,43,0)</f>
        <v>519829.25</v>
      </c>
    </row>
    <row r="50" spans="2:5" x14ac:dyDescent="0.3">
      <c r="C50">
        <v>362</v>
      </c>
      <c r="D50" t="s">
        <v>113</v>
      </c>
      <c r="E50" s="89">
        <f>HLOOKUP($D$5,'4.1 Comptes 2020 natures'!$E$3:$BE$158,44,0)</f>
        <v>0</v>
      </c>
    </row>
    <row r="51" spans="2:5" x14ac:dyDescent="0.3">
      <c r="C51">
        <v>363</v>
      </c>
      <c r="D51" t="s">
        <v>114</v>
      </c>
      <c r="E51" s="89">
        <f>HLOOKUP($D$5,'4.1 Comptes 2020 natures'!$E$3:$BE$158,45,0)</f>
        <v>173933.25</v>
      </c>
    </row>
    <row r="52" spans="2:5" x14ac:dyDescent="0.3">
      <c r="C52">
        <v>364</v>
      </c>
      <c r="D52" t="s">
        <v>115</v>
      </c>
      <c r="E52" s="89">
        <f>HLOOKUP($D$5,'4.1 Comptes 2020 natures'!$E$3:$BE$158,46,0)</f>
        <v>0</v>
      </c>
    </row>
    <row r="53" spans="2:5" x14ac:dyDescent="0.3">
      <c r="C53">
        <v>365</v>
      </c>
      <c r="D53" t="s">
        <v>116</v>
      </c>
      <c r="E53" s="89">
        <f>HLOOKUP($D$5,'4.1 Comptes 2020 natures'!$E$3:$BE$158,47,0)</f>
        <v>0</v>
      </c>
    </row>
    <row r="54" spans="2:5" x14ac:dyDescent="0.3">
      <c r="C54">
        <v>366</v>
      </c>
      <c r="D54" t="s">
        <v>117</v>
      </c>
      <c r="E54" s="89">
        <f>HLOOKUP($D$5,'4.1 Comptes 2020 natures'!$E$3:$BE$158,48,0)</f>
        <v>0</v>
      </c>
    </row>
    <row r="55" spans="2:5" x14ac:dyDescent="0.3">
      <c r="C55">
        <v>369</v>
      </c>
      <c r="D55" t="s">
        <v>118</v>
      </c>
      <c r="E55" s="89">
        <f>HLOOKUP($D$5,'4.1 Comptes 2020 natures'!$E$3:$BE$158,49,0)</f>
        <v>2979</v>
      </c>
    </row>
    <row r="56" spans="2:5" x14ac:dyDescent="0.3">
      <c r="E56" s="4"/>
    </row>
    <row r="57" spans="2:5" x14ac:dyDescent="0.3">
      <c r="B57" s="94">
        <v>37</v>
      </c>
      <c r="C57" s="94"/>
      <c r="D57" s="94" t="s">
        <v>119</v>
      </c>
      <c r="E57" s="95">
        <f>SUM(E58)</f>
        <v>0</v>
      </c>
    </row>
    <row r="58" spans="2:5" x14ac:dyDescent="0.3">
      <c r="C58">
        <v>370</v>
      </c>
      <c r="D58" t="s">
        <v>120</v>
      </c>
      <c r="E58" s="89">
        <f>HLOOKUP($D$5,'4.1 Comptes 2020 natures'!$E$3:$BE$158,52,0)</f>
        <v>0</v>
      </c>
    </row>
    <row r="59" spans="2:5" x14ac:dyDescent="0.3">
      <c r="E59" s="4"/>
    </row>
    <row r="60" spans="2:5" x14ac:dyDescent="0.3">
      <c r="B60" s="94">
        <v>38</v>
      </c>
      <c r="C60" s="94"/>
      <c r="D60" s="94" t="s">
        <v>121</v>
      </c>
      <c r="E60" s="95">
        <f>SUM(E61:E66)</f>
        <v>58000</v>
      </c>
    </row>
    <row r="61" spans="2:5" x14ac:dyDescent="0.3">
      <c r="C61">
        <v>380</v>
      </c>
      <c r="D61" t="s">
        <v>122</v>
      </c>
      <c r="E61" s="89">
        <f>HLOOKUP($D$5,'4.1 Comptes 2020 natures'!$E$3:$BE$158,55,0)</f>
        <v>0</v>
      </c>
    </row>
    <row r="62" spans="2:5" x14ac:dyDescent="0.3">
      <c r="C62">
        <v>381</v>
      </c>
      <c r="D62" t="s">
        <v>123</v>
      </c>
      <c r="E62" s="89">
        <f>HLOOKUP($D$5,'4.1 Comptes 2020 natures'!$E$3:$BE$158,56,0)</f>
        <v>0</v>
      </c>
    </row>
    <row r="63" spans="2:5" x14ac:dyDescent="0.3">
      <c r="C63">
        <v>384</v>
      </c>
      <c r="D63" t="s">
        <v>124</v>
      </c>
      <c r="E63" s="89">
        <f>HLOOKUP($D$5,'4.1 Comptes 2020 natures'!$E$3:$BE$158,57,0)</f>
        <v>0</v>
      </c>
    </row>
    <row r="64" spans="2:5" x14ac:dyDescent="0.3">
      <c r="C64">
        <v>385</v>
      </c>
      <c r="D64" t="s">
        <v>125</v>
      </c>
      <c r="E64" s="89">
        <f>HLOOKUP($D$5,'4.1 Comptes 2020 natures'!$E$3:$BE$158,58,0)</f>
        <v>0</v>
      </c>
    </row>
    <row r="65" spans="1:5" x14ac:dyDescent="0.3">
      <c r="C65">
        <v>386</v>
      </c>
      <c r="D65" t="s">
        <v>126</v>
      </c>
      <c r="E65" s="89">
        <f>HLOOKUP($D$5,'4.1 Comptes 2020 natures'!$E$3:$BE$158,59,0)</f>
        <v>0</v>
      </c>
    </row>
    <row r="66" spans="1:5" x14ac:dyDescent="0.3">
      <c r="C66">
        <v>389</v>
      </c>
      <c r="D66" t="s">
        <v>297</v>
      </c>
      <c r="E66" s="89">
        <f>HLOOKUP($D$5,'4.1 Comptes 2020 natures'!$E$3:$BE$158,60,0)</f>
        <v>58000</v>
      </c>
    </row>
    <row r="67" spans="1:5" x14ac:dyDescent="0.3">
      <c r="E67" s="4"/>
    </row>
    <row r="68" spans="1:5" x14ac:dyDescent="0.3">
      <c r="B68" s="94">
        <v>39</v>
      </c>
      <c r="C68" s="94"/>
      <c r="D68" s="94" t="s">
        <v>128</v>
      </c>
      <c r="E68" s="95">
        <f>SUM(E69:E76)</f>
        <v>0</v>
      </c>
    </row>
    <row r="69" spans="1:5" x14ac:dyDescent="0.3">
      <c r="C69">
        <v>390</v>
      </c>
      <c r="D69" t="s">
        <v>129</v>
      </c>
      <c r="E69" s="89">
        <f>HLOOKUP($D$5,'4.1 Comptes 2020 natures'!$E$3:$BE$158,63,0)</f>
        <v>0</v>
      </c>
    </row>
    <row r="70" spans="1:5" x14ac:dyDescent="0.3">
      <c r="C70">
        <v>391</v>
      </c>
      <c r="D70" t="s">
        <v>130</v>
      </c>
      <c r="E70" s="89">
        <f>HLOOKUP($D$5,'4.1 Comptes 2020 natures'!$E$3:$BE$158,64,0)</f>
        <v>0</v>
      </c>
    </row>
    <row r="71" spans="1:5" x14ac:dyDescent="0.3">
      <c r="C71">
        <v>392</v>
      </c>
      <c r="D71" t="s">
        <v>131</v>
      </c>
      <c r="E71" s="89">
        <f>HLOOKUP($D$5,'4.1 Comptes 2020 natures'!$E$3:$BE$158,65,0)</f>
        <v>0</v>
      </c>
    </row>
    <row r="72" spans="1:5" x14ac:dyDescent="0.3">
      <c r="C72">
        <v>393</v>
      </c>
      <c r="D72" t="s">
        <v>132</v>
      </c>
      <c r="E72" s="89">
        <f>HLOOKUP($D$5,'4.1 Comptes 2020 natures'!$E$3:$BE$158,66,0)</f>
        <v>0</v>
      </c>
    </row>
    <row r="73" spans="1:5" x14ac:dyDescent="0.3">
      <c r="C73">
        <v>394</v>
      </c>
      <c r="D73" t="s">
        <v>133</v>
      </c>
      <c r="E73" s="89">
        <f>HLOOKUP($D$5,'4.1 Comptes 2020 natures'!$E$3:$BE$158,67,0)</f>
        <v>0</v>
      </c>
    </row>
    <row r="74" spans="1:5" x14ac:dyDescent="0.3">
      <c r="C74">
        <v>395</v>
      </c>
      <c r="D74" t="s">
        <v>134</v>
      </c>
      <c r="E74" s="89">
        <f>HLOOKUP($D$5,'4.1 Comptes 2020 natures'!$E$3:$BE$158,68,0)</f>
        <v>0</v>
      </c>
    </row>
    <row r="75" spans="1:5" x14ac:dyDescent="0.3">
      <c r="C75">
        <v>398</v>
      </c>
      <c r="D75" t="s">
        <v>135</v>
      </c>
      <c r="E75" s="89">
        <f>HLOOKUP($D$5,'4.1 Comptes 2020 natures'!$E$3:$BE$158,69,0)</f>
        <v>0</v>
      </c>
    </row>
    <row r="76" spans="1:5" x14ac:dyDescent="0.3">
      <c r="C76">
        <v>399</v>
      </c>
      <c r="D76" t="s">
        <v>136</v>
      </c>
      <c r="E76" s="89">
        <f>HLOOKUP($D$5,'4.1 Comptes 2020 natures'!$E$3:$BE$158,70,0)</f>
        <v>0</v>
      </c>
    </row>
    <row r="77" spans="1:5" x14ac:dyDescent="0.3">
      <c r="E77" s="4"/>
    </row>
    <row r="78" spans="1:5" x14ac:dyDescent="0.3">
      <c r="E78" s="4"/>
    </row>
    <row r="79" spans="1:5" ht="21" x14ac:dyDescent="0.4">
      <c r="A79" s="98">
        <v>4</v>
      </c>
      <c r="B79" s="98"/>
      <c r="C79" s="98"/>
      <c r="D79" s="98" t="s">
        <v>137</v>
      </c>
      <c r="E79" s="172">
        <f>HLOOKUP($D$5,'4.1 Comptes 2020 natures'!$E$3:$BE$158,73,0)</f>
        <v>1561153.8499999999</v>
      </c>
    </row>
    <row r="80" spans="1:5" x14ac:dyDescent="0.3">
      <c r="A80" s="7"/>
      <c r="B80" s="96">
        <v>40</v>
      </c>
      <c r="C80" s="96"/>
      <c r="D80" s="96" t="s">
        <v>79</v>
      </c>
      <c r="E80" s="91">
        <f>SUM(E81:E84)</f>
        <v>902646.45</v>
      </c>
    </row>
    <row r="81" spans="2:5" x14ac:dyDescent="0.3">
      <c r="C81">
        <v>400</v>
      </c>
      <c r="D81" t="s">
        <v>138</v>
      </c>
      <c r="E81" s="89">
        <f>HLOOKUP($D$5,'4.1 Comptes 2020 natures'!$E$3:$BE$158,75,0)</f>
        <v>756659.25</v>
      </c>
    </row>
    <row r="82" spans="2:5" x14ac:dyDescent="0.3">
      <c r="C82">
        <v>401</v>
      </c>
      <c r="D82" t="s">
        <v>139</v>
      </c>
      <c r="E82" s="89">
        <f>HLOOKUP($D$5,'4.1 Comptes 2020 natures'!$E$3:$BE$158,76,0)</f>
        <v>20567.45</v>
      </c>
    </row>
    <row r="83" spans="2:5" x14ac:dyDescent="0.3">
      <c r="C83">
        <v>402</v>
      </c>
      <c r="D83" t="s">
        <v>140</v>
      </c>
      <c r="E83" s="89">
        <f>HLOOKUP($D$5,'4.1 Comptes 2020 natures'!$E$3:$BE$158,77,0)</f>
        <v>118839.75</v>
      </c>
    </row>
    <row r="84" spans="2:5" x14ac:dyDescent="0.3">
      <c r="C84">
        <v>403</v>
      </c>
      <c r="D84" t="s">
        <v>141</v>
      </c>
      <c r="E84" s="89">
        <f>HLOOKUP($D$5,'4.1 Comptes 2020 natures'!$E$3:$BE$158,78,0)</f>
        <v>6580</v>
      </c>
    </row>
    <row r="85" spans="2:5" x14ac:dyDescent="0.3">
      <c r="E85" s="4"/>
    </row>
    <row r="86" spans="2:5" x14ac:dyDescent="0.3">
      <c r="B86" s="96">
        <v>41</v>
      </c>
      <c r="C86" s="96"/>
      <c r="D86" s="96" t="s">
        <v>142</v>
      </c>
      <c r="E86" s="91">
        <f>SUM(E87:E90)</f>
        <v>0</v>
      </c>
    </row>
    <row r="87" spans="2:5" x14ac:dyDescent="0.3">
      <c r="C87">
        <v>410</v>
      </c>
      <c r="D87" t="s">
        <v>143</v>
      </c>
      <c r="E87" s="89">
        <f>HLOOKUP($D$5,'4.1 Comptes 2020 natures'!$E$3:$BE$158,81,0)</f>
        <v>0</v>
      </c>
    </row>
    <row r="88" spans="2:5" x14ac:dyDescent="0.3">
      <c r="C88">
        <v>411</v>
      </c>
      <c r="D88" t="s">
        <v>144</v>
      </c>
      <c r="E88" s="89">
        <f>HLOOKUP($D$5,'4.1 Comptes 2020 natures'!$E$3:$BE$158,82,0)</f>
        <v>0</v>
      </c>
    </row>
    <row r="89" spans="2:5" x14ac:dyDescent="0.3">
      <c r="C89">
        <v>412</v>
      </c>
      <c r="D89" t="s">
        <v>145</v>
      </c>
      <c r="E89" s="89">
        <f>HLOOKUP($D$5,'4.1 Comptes 2020 natures'!$E$3:$BE$158,83,0)</f>
        <v>0</v>
      </c>
    </row>
    <row r="90" spans="2:5" x14ac:dyDescent="0.3">
      <c r="C90">
        <v>413</v>
      </c>
      <c r="D90" t="s">
        <v>146</v>
      </c>
      <c r="E90" s="89">
        <f>HLOOKUP($D$5,'4.1 Comptes 2020 natures'!$E$3:$BE$158,84,0)</f>
        <v>0</v>
      </c>
    </row>
    <row r="91" spans="2:5" x14ac:dyDescent="0.3">
      <c r="E91" s="4"/>
    </row>
    <row r="92" spans="2:5" x14ac:dyDescent="0.3">
      <c r="B92" s="96">
        <v>42</v>
      </c>
      <c r="C92" s="96"/>
      <c r="D92" s="96" t="s">
        <v>147</v>
      </c>
      <c r="E92" s="91">
        <f>SUM(E93:E101)</f>
        <v>231811.59999999998</v>
      </c>
    </row>
    <row r="93" spans="2:5" x14ac:dyDescent="0.3">
      <c r="C93">
        <v>420</v>
      </c>
      <c r="D93" t="s">
        <v>148</v>
      </c>
      <c r="E93" s="89">
        <f>HLOOKUP($D$5,'4.1 Comptes 2020 natures'!$E$3:$BE$158,87,0)</f>
        <v>7683.05</v>
      </c>
    </row>
    <row r="94" spans="2:5" x14ac:dyDescent="0.3">
      <c r="C94">
        <v>421</v>
      </c>
      <c r="D94" t="s">
        <v>149</v>
      </c>
      <c r="E94" s="89">
        <f>HLOOKUP($D$5,'4.1 Comptes 2020 natures'!$E$3:$BE$158,88,0)</f>
        <v>1001.25</v>
      </c>
    </row>
    <row r="95" spans="2:5" x14ac:dyDescent="0.3">
      <c r="C95">
        <v>422</v>
      </c>
      <c r="D95" t="s">
        <v>150</v>
      </c>
      <c r="E95" s="89">
        <f>HLOOKUP($D$5,'4.1 Comptes 2020 natures'!$E$3:$BE$158,89,0)</f>
        <v>0</v>
      </c>
    </row>
    <row r="96" spans="2:5" x14ac:dyDescent="0.3">
      <c r="C96">
        <v>423</v>
      </c>
      <c r="D96" t="s">
        <v>151</v>
      </c>
      <c r="E96" s="89">
        <f>HLOOKUP($D$5,'4.1 Comptes 2020 natures'!$E$3:$BE$158,90,0)</f>
        <v>0</v>
      </c>
    </row>
    <row r="97" spans="2:5" x14ac:dyDescent="0.3">
      <c r="C97">
        <v>424</v>
      </c>
      <c r="D97" t="s">
        <v>152</v>
      </c>
      <c r="E97" s="89">
        <f>HLOOKUP($D$5,'4.1 Comptes 2020 natures'!$E$3:$BE$158,91,0)</f>
        <v>221905.3</v>
      </c>
    </row>
    <row r="98" spans="2:5" x14ac:dyDescent="0.3">
      <c r="C98">
        <v>425</v>
      </c>
      <c r="D98" t="s">
        <v>153</v>
      </c>
      <c r="E98" s="89">
        <f>HLOOKUP($D$5,'4.1 Comptes 2020 natures'!$E$3:$BE$158,92,0)</f>
        <v>624</v>
      </c>
    </row>
    <row r="99" spans="2:5" x14ac:dyDescent="0.3">
      <c r="C99">
        <v>426</v>
      </c>
      <c r="D99" t="s">
        <v>154</v>
      </c>
      <c r="E99" s="89">
        <f>HLOOKUP($D$5,'4.1 Comptes 2020 natures'!$E$3:$BE$158,93,0)</f>
        <v>598</v>
      </c>
    </row>
    <row r="100" spans="2:5" x14ac:dyDescent="0.3">
      <c r="C100">
        <v>427</v>
      </c>
      <c r="D100" t="s">
        <v>155</v>
      </c>
      <c r="E100" s="89">
        <f>HLOOKUP($D$5,'4.1 Comptes 2020 natures'!$E$3:$BE$158,94,0)</f>
        <v>0</v>
      </c>
    </row>
    <row r="101" spans="2:5" x14ac:dyDescent="0.3">
      <c r="C101">
        <v>429</v>
      </c>
      <c r="D101" t="s">
        <v>156</v>
      </c>
      <c r="E101" s="89">
        <f>HLOOKUP($D$5,'4.1 Comptes 2020 natures'!$E$3:$BE$158,95,0)</f>
        <v>0</v>
      </c>
    </row>
    <row r="102" spans="2:5" x14ac:dyDescent="0.3">
      <c r="E102" s="4"/>
    </row>
    <row r="103" spans="2:5" x14ac:dyDescent="0.3">
      <c r="B103" s="96">
        <v>43</v>
      </c>
      <c r="C103" s="96"/>
      <c r="D103" s="96" t="s">
        <v>157</v>
      </c>
      <c r="E103" s="91">
        <f>SUM(E104:E107)</f>
        <v>0</v>
      </c>
    </row>
    <row r="104" spans="2:5" x14ac:dyDescent="0.3">
      <c r="C104">
        <v>430</v>
      </c>
      <c r="D104" t="s">
        <v>158</v>
      </c>
      <c r="E104" s="89">
        <f>HLOOKUP($D$5,'4.1 Comptes 2020 natures'!$E$3:$BE$158,98,0)</f>
        <v>0</v>
      </c>
    </row>
    <row r="105" spans="2:5" x14ac:dyDescent="0.3">
      <c r="C105">
        <v>431</v>
      </c>
      <c r="D105" t="s">
        <v>159</v>
      </c>
      <c r="E105" s="89">
        <f>HLOOKUP($D$5,'4.1 Comptes 2020 natures'!$E$3:$BE$158,99,0)</f>
        <v>0</v>
      </c>
    </row>
    <row r="106" spans="2:5" x14ac:dyDescent="0.3">
      <c r="C106">
        <v>432</v>
      </c>
      <c r="D106" t="s">
        <v>160</v>
      </c>
      <c r="E106" s="89">
        <f>HLOOKUP($D$5,'4.1 Comptes 2020 natures'!$E$3:$BE$158,100,0)</f>
        <v>0</v>
      </c>
    </row>
    <row r="107" spans="2:5" x14ac:dyDescent="0.3">
      <c r="C107">
        <v>439</v>
      </c>
      <c r="D107" t="s">
        <v>161</v>
      </c>
      <c r="E107" s="89">
        <f>HLOOKUP($D$5,'4.1 Comptes 2020 natures'!$E$3:$BE$158,101,0)</f>
        <v>0</v>
      </c>
    </row>
    <row r="108" spans="2:5" x14ac:dyDescent="0.3">
      <c r="E108" s="4"/>
    </row>
    <row r="109" spans="2:5" x14ac:dyDescent="0.3">
      <c r="B109" s="96">
        <v>44</v>
      </c>
      <c r="C109" s="96"/>
      <c r="D109" s="96" t="s">
        <v>162</v>
      </c>
      <c r="E109" s="91">
        <f>SUM(E110:E119)</f>
        <v>59613.799999999996</v>
      </c>
    </row>
    <row r="110" spans="2:5" x14ac:dyDescent="0.3">
      <c r="C110">
        <v>440</v>
      </c>
      <c r="D110" t="s">
        <v>163</v>
      </c>
      <c r="E110" s="89">
        <f>HLOOKUP($D$5,'4.1 Comptes 2020 natures'!$E$3:$BE$158,104,0)</f>
        <v>8404.1</v>
      </c>
    </row>
    <row r="111" spans="2:5" x14ac:dyDescent="0.3">
      <c r="C111">
        <v>441</v>
      </c>
      <c r="D111" t="s">
        <v>164</v>
      </c>
      <c r="E111" s="89">
        <f>HLOOKUP($D$5,'4.1 Comptes 2020 natures'!$E$3:$BE$158,105,0)</f>
        <v>4030</v>
      </c>
    </row>
    <row r="112" spans="2:5" x14ac:dyDescent="0.3">
      <c r="C112">
        <v>442</v>
      </c>
      <c r="D112" t="s">
        <v>165</v>
      </c>
      <c r="E112" s="89">
        <f>HLOOKUP($D$5,'4.1 Comptes 2020 natures'!$E$3:$BE$158,106,0)</f>
        <v>0</v>
      </c>
    </row>
    <row r="113" spans="2:5" x14ac:dyDescent="0.3">
      <c r="C113">
        <v>443</v>
      </c>
      <c r="D113" t="s">
        <v>166</v>
      </c>
      <c r="E113" s="89">
        <f>HLOOKUP($D$5,'4.1 Comptes 2020 natures'!$E$3:$BE$158,107,0)</f>
        <v>39303.699999999997</v>
      </c>
    </row>
    <row r="114" spans="2:5" x14ac:dyDescent="0.3">
      <c r="C114">
        <v>444</v>
      </c>
      <c r="D114" t="s">
        <v>106</v>
      </c>
      <c r="E114" s="89">
        <f>HLOOKUP($D$5,'4.1 Comptes 2020 natures'!$E$3:$BE$158,108,0)</f>
        <v>0</v>
      </c>
    </row>
    <row r="115" spans="2:5" x14ac:dyDescent="0.3">
      <c r="C115">
        <v>445</v>
      </c>
      <c r="D115" t="s">
        <v>167</v>
      </c>
      <c r="E115" s="89">
        <f>HLOOKUP($D$5,'4.1 Comptes 2020 natures'!$E$3:$BE$158,109,0)</f>
        <v>0</v>
      </c>
    </row>
    <row r="116" spans="2:5" x14ac:dyDescent="0.3">
      <c r="C116">
        <v>446</v>
      </c>
      <c r="D116" t="s">
        <v>168</v>
      </c>
      <c r="E116" s="89">
        <f>HLOOKUP($D$5,'4.1 Comptes 2020 natures'!$E$3:$BE$158,110,0)</f>
        <v>0</v>
      </c>
    </row>
    <row r="117" spans="2:5" x14ac:dyDescent="0.3">
      <c r="C117">
        <v>447</v>
      </c>
      <c r="D117" t="s">
        <v>169</v>
      </c>
      <c r="E117" s="89">
        <f>HLOOKUP($D$5,'4.1 Comptes 2020 natures'!$E$3:$BE$158,111,0)</f>
        <v>7876</v>
      </c>
    </row>
    <row r="118" spans="2:5" x14ac:dyDescent="0.3">
      <c r="C118">
        <v>448</v>
      </c>
      <c r="D118" t="s">
        <v>170</v>
      </c>
      <c r="E118" s="89">
        <f>HLOOKUP($D$5,'4.1 Comptes 2020 natures'!$E$3:$BE$158,112,0)</f>
        <v>0</v>
      </c>
    </row>
    <row r="119" spans="2:5" x14ac:dyDescent="0.3">
      <c r="C119">
        <v>449</v>
      </c>
      <c r="D119" t="s">
        <v>171</v>
      </c>
      <c r="E119" s="89">
        <f>HLOOKUP($D$5,'4.1 Comptes 2020 natures'!$E$3:$BE$158,113,0)</f>
        <v>0</v>
      </c>
    </row>
    <row r="120" spans="2:5" x14ac:dyDescent="0.3">
      <c r="E120" s="4"/>
    </row>
    <row r="121" spans="2:5" x14ac:dyDescent="0.3">
      <c r="B121" s="96">
        <v>45</v>
      </c>
      <c r="C121" s="96"/>
      <c r="D121" s="96" t="s">
        <v>174</v>
      </c>
      <c r="E121" s="91">
        <f>SUM(E122:E123)</f>
        <v>0</v>
      </c>
    </row>
    <row r="122" spans="2:5" x14ac:dyDescent="0.3">
      <c r="C122">
        <v>450</v>
      </c>
      <c r="D122" t="s">
        <v>172</v>
      </c>
      <c r="E122" s="89">
        <f>HLOOKUP($D$5,'4.1 Comptes 2020 natures'!$E$3:$BE$158,116,0)</f>
        <v>0</v>
      </c>
    </row>
    <row r="123" spans="2:5" x14ac:dyDescent="0.3">
      <c r="C123">
        <v>451</v>
      </c>
      <c r="D123" t="s">
        <v>173</v>
      </c>
      <c r="E123" s="89">
        <f>HLOOKUP($D$5,'4.1 Comptes 2020 natures'!$E$3:$BE$158,117,0)</f>
        <v>0</v>
      </c>
    </row>
    <row r="124" spans="2:5" x14ac:dyDescent="0.3">
      <c r="E124" s="4"/>
    </row>
    <row r="125" spans="2:5" x14ac:dyDescent="0.3">
      <c r="B125" s="96">
        <v>46</v>
      </c>
      <c r="C125" s="96"/>
      <c r="D125" s="96" t="s">
        <v>175</v>
      </c>
      <c r="E125" s="91">
        <f>SUM(E126:E130)</f>
        <v>367082.00000000006</v>
      </c>
    </row>
    <row r="126" spans="2:5" x14ac:dyDescent="0.3">
      <c r="C126">
        <v>460</v>
      </c>
      <c r="D126" t="s">
        <v>176</v>
      </c>
      <c r="E126" s="89">
        <f>HLOOKUP($D$5,'4.1 Comptes 2020 natures'!$E$3:$BE$158,120,0)</f>
        <v>493</v>
      </c>
    </row>
    <row r="127" spans="2:5" x14ac:dyDescent="0.3">
      <c r="C127">
        <v>461</v>
      </c>
      <c r="D127" t="s">
        <v>177</v>
      </c>
      <c r="E127" s="89">
        <f>HLOOKUP($D$5,'4.1 Comptes 2020 natures'!$E$3:$BE$158,121,0)</f>
        <v>3721.4</v>
      </c>
    </row>
    <row r="128" spans="2:5" x14ac:dyDescent="0.3">
      <c r="C128">
        <v>462</v>
      </c>
      <c r="D128" t="s">
        <v>113</v>
      </c>
      <c r="E128" s="89">
        <f>HLOOKUP($D$5,'4.1 Comptes 2020 natures'!$E$3:$BE$158,122,0)</f>
        <v>276102</v>
      </c>
    </row>
    <row r="129" spans="2:5" x14ac:dyDescent="0.3">
      <c r="C129">
        <v>463</v>
      </c>
      <c r="D129" t="s">
        <v>178</v>
      </c>
      <c r="E129" s="89">
        <f>HLOOKUP($D$5,'4.1 Comptes 2020 natures'!$E$3:$BE$158,123,0)</f>
        <v>83127.95</v>
      </c>
    </row>
    <row r="130" spans="2:5" x14ac:dyDescent="0.3">
      <c r="C130">
        <v>469</v>
      </c>
      <c r="D130" t="s">
        <v>179</v>
      </c>
      <c r="E130" s="89">
        <f>HLOOKUP($D$5,'4.1 Comptes 2020 natures'!$E$3:$BE$158,124,0)</f>
        <v>3637.65</v>
      </c>
    </row>
    <row r="131" spans="2:5" x14ac:dyDescent="0.3">
      <c r="E131" s="4"/>
    </row>
    <row r="132" spans="2:5" x14ac:dyDescent="0.3">
      <c r="B132" s="96">
        <v>47</v>
      </c>
      <c r="C132" s="96"/>
      <c r="D132" s="96" t="s">
        <v>119</v>
      </c>
      <c r="E132" s="91">
        <f>SUM(E133)</f>
        <v>0</v>
      </c>
    </row>
    <row r="133" spans="2:5" x14ac:dyDescent="0.3">
      <c r="C133">
        <v>470</v>
      </c>
      <c r="D133" t="s">
        <v>180</v>
      </c>
      <c r="E133" s="89">
        <f>HLOOKUP($D$5,'4.1 Comptes 2020 natures'!$E$3:$BE$158,127,0)</f>
        <v>0</v>
      </c>
    </row>
    <row r="134" spans="2:5" x14ac:dyDescent="0.3">
      <c r="E134" s="4"/>
    </row>
    <row r="135" spans="2:5" x14ac:dyDescent="0.3">
      <c r="B135" s="96">
        <v>48</v>
      </c>
      <c r="C135" s="96"/>
      <c r="D135" s="96" t="s">
        <v>181</v>
      </c>
      <c r="E135" s="91">
        <f>SUM(E136:E142)</f>
        <v>0</v>
      </c>
    </row>
    <row r="136" spans="2:5" x14ac:dyDescent="0.3">
      <c r="C136">
        <v>481</v>
      </c>
      <c r="D136" t="s">
        <v>182</v>
      </c>
      <c r="E136" s="89">
        <f>HLOOKUP($D$5,'4.1 Comptes 2020 natures'!$E$3:$BE$158,130,0)</f>
        <v>0</v>
      </c>
    </row>
    <row r="137" spans="2:5" x14ac:dyDescent="0.3">
      <c r="C137">
        <v>482</v>
      </c>
      <c r="D137" t="s">
        <v>183</v>
      </c>
      <c r="E137" s="89">
        <f>HLOOKUP($D$5,'4.1 Comptes 2020 natures'!$E$3:$BE$158,131,0)</f>
        <v>0</v>
      </c>
    </row>
    <row r="138" spans="2:5" x14ac:dyDescent="0.3">
      <c r="C138">
        <v>483</v>
      </c>
      <c r="D138" t="s">
        <v>184</v>
      </c>
      <c r="E138" s="89">
        <f>HLOOKUP($D$5,'4.1 Comptes 2020 natures'!$E$3:$BE$158,132,0)</f>
        <v>0</v>
      </c>
    </row>
    <row r="139" spans="2:5" x14ac:dyDescent="0.3">
      <c r="C139">
        <v>484</v>
      </c>
      <c r="D139" t="s">
        <v>185</v>
      </c>
      <c r="E139" s="89">
        <f>HLOOKUP($D$5,'4.1 Comptes 2020 natures'!$E$3:$BE$158,133,0)</f>
        <v>0</v>
      </c>
    </row>
    <row r="140" spans="2:5" x14ac:dyDescent="0.3">
      <c r="C140">
        <v>485</v>
      </c>
      <c r="D140" t="s">
        <v>186</v>
      </c>
      <c r="E140" s="89">
        <f>HLOOKUP($D$5,'4.1 Comptes 2020 natures'!$E$3:$BE$158,134,0)</f>
        <v>0</v>
      </c>
    </row>
    <row r="141" spans="2:5" x14ac:dyDescent="0.3">
      <c r="C141">
        <v>486</v>
      </c>
      <c r="D141" t="s">
        <v>187</v>
      </c>
      <c r="E141" s="89">
        <f>HLOOKUP($D$5,'4.1 Comptes 2020 natures'!$E$3:$BE$158,135,0)</f>
        <v>0</v>
      </c>
    </row>
    <row r="142" spans="2:5" x14ac:dyDescent="0.3">
      <c r="C142">
        <v>489</v>
      </c>
      <c r="D142" t="s">
        <v>188</v>
      </c>
      <c r="E142" s="89">
        <f>HLOOKUP($D$5,'4.1 Comptes 2020 natures'!$E$3:$BE$158,136,0)</f>
        <v>0</v>
      </c>
    </row>
    <row r="143" spans="2:5" x14ac:dyDescent="0.3">
      <c r="E143" s="4"/>
    </row>
    <row r="144" spans="2:5" x14ac:dyDescent="0.3">
      <c r="B144" s="96">
        <v>49</v>
      </c>
      <c r="C144" s="96"/>
      <c r="D144" s="96" t="s">
        <v>128</v>
      </c>
      <c r="E144" s="91">
        <f>SUM(E145:E152)</f>
        <v>0</v>
      </c>
    </row>
    <row r="145" spans="1:5" x14ac:dyDescent="0.3">
      <c r="C145">
        <v>490</v>
      </c>
      <c r="D145" t="s">
        <v>129</v>
      </c>
      <c r="E145" s="89">
        <f>HLOOKUP($D$5,'4.1 Comptes 2020 natures'!$E$3:$BE$158,139,0)</f>
        <v>0</v>
      </c>
    </row>
    <row r="146" spans="1:5" x14ac:dyDescent="0.3">
      <c r="C146">
        <v>491</v>
      </c>
      <c r="D146" t="s">
        <v>130</v>
      </c>
      <c r="E146" s="89">
        <f>HLOOKUP($D$5,'4.1 Comptes 2020 natures'!$E$3:$BE$158,140,0)</f>
        <v>0</v>
      </c>
    </row>
    <row r="147" spans="1:5" x14ac:dyDescent="0.3">
      <c r="C147">
        <v>492</v>
      </c>
      <c r="D147" t="s">
        <v>189</v>
      </c>
      <c r="E147" s="89">
        <f>HLOOKUP($D$5,'4.1 Comptes 2020 natures'!$E$3:$BE$158,141,0)</f>
        <v>0</v>
      </c>
    </row>
    <row r="148" spans="1:5" x14ac:dyDescent="0.3">
      <c r="C148">
        <v>493</v>
      </c>
      <c r="D148" t="s">
        <v>190</v>
      </c>
      <c r="E148" s="89">
        <f>HLOOKUP($D$5,'4.1 Comptes 2020 natures'!$E$3:$BE$158,142,0)</f>
        <v>0</v>
      </c>
    </row>
    <row r="149" spans="1:5" x14ac:dyDescent="0.3">
      <c r="C149">
        <v>494</v>
      </c>
      <c r="D149" t="s">
        <v>133</v>
      </c>
      <c r="E149" s="89">
        <f>HLOOKUP($D$5,'4.1 Comptes 2020 natures'!$E$3:$BE$158,143,0)</f>
        <v>0</v>
      </c>
    </row>
    <row r="150" spans="1:5" x14ac:dyDescent="0.3">
      <c r="C150">
        <v>495</v>
      </c>
      <c r="D150" t="s">
        <v>191</v>
      </c>
      <c r="E150" s="89">
        <f>HLOOKUP($D$5,'4.1 Comptes 2020 natures'!$E$3:$BE$158,144,0)</f>
        <v>0</v>
      </c>
    </row>
    <row r="151" spans="1:5" x14ac:dyDescent="0.3">
      <c r="C151">
        <v>498</v>
      </c>
      <c r="D151" t="s">
        <v>192</v>
      </c>
      <c r="E151" s="89">
        <f>HLOOKUP($D$5,'4.1 Comptes 2020 natures'!$E$3:$BE$158,145,0)</f>
        <v>0</v>
      </c>
    </row>
    <row r="152" spans="1:5" x14ac:dyDescent="0.3">
      <c r="C152">
        <v>499</v>
      </c>
      <c r="D152" t="s">
        <v>136</v>
      </c>
      <c r="E152" s="89">
        <f>HLOOKUP($D$5,'4.1 Comptes 2020 natures'!$E$3:$BE$158,146,0)</f>
        <v>0</v>
      </c>
    </row>
    <row r="153" spans="1:5" x14ac:dyDescent="0.3">
      <c r="E153" s="4"/>
    </row>
    <row r="154" spans="1:5" x14ac:dyDescent="0.3">
      <c r="E154" s="4"/>
    </row>
    <row r="155" spans="1:5" x14ac:dyDescent="0.3">
      <c r="E155" s="4"/>
    </row>
    <row r="156" spans="1:5" x14ac:dyDescent="0.3">
      <c r="A156" s="106">
        <v>9</v>
      </c>
      <c r="B156" s="106"/>
      <c r="C156" s="106"/>
      <c r="D156" s="106" t="s">
        <v>194</v>
      </c>
      <c r="E156" s="107"/>
    </row>
    <row r="157" spans="1:5" x14ac:dyDescent="0.3">
      <c r="A157" s="106"/>
      <c r="B157" s="106">
        <v>90</v>
      </c>
      <c r="C157" s="106"/>
      <c r="D157" s="106" t="s">
        <v>195</v>
      </c>
      <c r="E157" s="108">
        <f>SUM(E158:E159)</f>
        <v>73689.049999999988</v>
      </c>
    </row>
    <row r="158" spans="1:5" x14ac:dyDescent="0.3">
      <c r="C158">
        <v>900</v>
      </c>
      <c r="D158" t="s">
        <v>196</v>
      </c>
      <c r="E158" s="89">
        <f>HLOOKUP($D$5,'4.1 Comptes 2020 natures'!$E$3:$BE$158,152,0)</f>
        <v>26132.85</v>
      </c>
    </row>
    <row r="159" spans="1:5" x14ac:dyDescent="0.3">
      <c r="C159">
        <v>901</v>
      </c>
      <c r="D159" t="s">
        <v>197</v>
      </c>
      <c r="E159" s="89">
        <f>HLOOKUP($D$5,'4.1 Comptes 2020 natures'!$E$3:$BE$158,153,0)</f>
        <v>47556.2</v>
      </c>
    </row>
    <row r="160" spans="1:5" x14ac:dyDescent="0.3">
      <c r="E160" s="4"/>
    </row>
    <row r="161" spans="4:5" x14ac:dyDescent="0.3">
      <c r="D161" s="7" t="s">
        <v>198</v>
      </c>
      <c r="E161" s="80">
        <f>HLOOKUP($D$5,'4.1 Comptes 2020 natures'!$E$3:$BE$158,155,0)</f>
        <v>73689.049999999988</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2020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BA139" activePane="bottomRight" state="frozen"/>
      <selection activeCell="C23" sqref="C23"/>
      <selection pane="topRight" activeCell="C23" sqref="C23"/>
      <selection pane="bottomLeft" activeCell="C23" sqref="C23"/>
      <selection pane="bottomRight" activeCell="C23" sqref="C23"/>
    </sheetView>
  </sheetViews>
  <sheetFormatPr baseColWidth="10" defaultRowHeight="14.4" x14ac:dyDescent="0.3"/>
  <cols>
    <col min="1" max="2" width="5.6640625" customWidth="1"/>
    <col min="3" max="3" width="9" customWidth="1"/>
    <col min="4" max="4" width="63.5546875" customWidth="1"/>
    <col min="5" max="58" width="16.33203125" customWidth="1"/>
    <col min="59" max="61" width="17.88671875" customWidth="1"/>
  </cols>
  <sheetData>
    <row r="1" spans="1:61" ht="25.8" x14ac:dyDescent="0.5">
      <c r="A1" s="42" t="s">
        <v>199</v>
      </c>
      <c r="B1" s="7"/>
      <c r="C1" s="7"/>
      <c r="D1" s="7"/>
    </row>
    <row r="2" spans="1:61" x14ac:dyDescent="0.3">
      <c r="E2" s="57">
        <f>'Base de données pop.'!C2</f>
        <v>923</v>
      </c>
      <c r="F2" s="57">
        <f>'Base de données pop.'!C3</f>
        <v>270</v>
      </c>
      <c r="G2" s="57">
        <f>'Base de données pop.'!C4</f>
        <v>485</v>
      </c>
      <c r="H2" s="57">
        <f>'Base de données pop.'!C5</f>
        <v>446</v>
      </c>
      <c r="I2" s="57">
        <f>'Base de données pop.'!C6</f>
        <v>3631</v>
      </c>
      <c r="J2" s="57">
        <f>'Base de données pop.'!C7</f>
        <v>3313</v>
      </c>
      <c r="K2" s="57">
        <f>'Base de données pop.'!C8</f>
        <v>2644</v>
      </c>
      <c r="L2" s="57">
        <f>'Base de données pop.'!C9</f>
        <v>12618</v>
      </c>
      <c r="M2" s="57">
        <f>'Base de données pop.'!C10</f>
        <v>1371</v>
      </c>
      <c r="N2" s="57">
        <f>'Base de données pop.'!C11</f>
        <v>118</v>
      </c>
      <c r="O2" s="57">
        <f>'Base de données pop.'!C12</f>
        <v>7167</v>
      </c>
      <c r="P2" s="57">
        <f>'Base de données pop.'!C13</f>
        <v>528</v>
      </c>
      <c r="Q2" s="57">
        <f>'Base de données pop.'!C14</f>
        <v>108</v>
      </c>
      <c r="R2" s="57">
        <f>'Base de données pop.'!C15</f>
        <v>415</v>
      </c>
      <c r="S2" s="57">
        <f>'Base de données pop.'!C16</f>
        <v>349</v>
      </c>
      <c r="T2" s="57">
        <f>'Base de données pop.'!C17</f>
        <v>687</v>
      </c>
      <c r="U2" s="57">
        <f>'Base de données pop.'!C18</f>
        <v>255</v>
      </c>
      <c r="V2" s="57">
        <f>'Base de données pop.'!C19</f>
        <v>436</v>
      </c>
      <c r="W2" s="57">
        <f>'Base de données pop.'!C20</f>
        <v>3190</v>
      </c>
      <c r="X2" s="57">
        <f>'Base de données pop.'!C21</f>
        <v>324</v>
      </c>
      <c r="Y2" s="57">
        <f>'Base de données pop.'!C22</f>
        <v>1246</v>
      </c>
      <c r="Z2" s="57">
        <f>'Base de données pop.'!C23</f>
        <v>1528</v>
      </c>
      <c r="AA2" s="57">
        <f>'Base de données pop.'!C24</f>
        <v>96</v>
      </c>
      <c r="AB2" s="57">
        <f>'Base de données pop.'!C25</f>
        <v>149</v>
      </c>
      <c r="AC2" s="57">
        <f>'Base de données pop.'!C26</f>
        <v>516</v>
      </c>
      <c r="AD2" s="57">
        <f>'Base de données pop.'!C27</f>
        <v>671</v>
      </c>
      <c r="AE2" s="57">
        <f>'Base de données pop.'!C28</f>
        <v>572</v>
      </c>
      <c r="AF2" s="57">
        <f>'Base de données pop.'!C29</f>
        <v>490</v>
      </c>
      <c r="AG2" s="57">
        <f>'Base de données pop.'!C30</f>
        <v>1914</v>
      </c>
      <c r="AH2" s="57">
        <f>'Base de données pop.'!C31</f>
        <v>2615</v>
      </c>
      <c r="AI2" s="57">
        <f>'Base de données pop.'!C32</f>
        <v>227</v>
      </c>
      <c r="AJ2" s="57">
        <f>'Base de données pop.'!C33</f>
        <v>131</v>
      </c>
      <c r="AK2" s="57">
        <f>'Base de données pop.'!C34</f>
        <v>1895</v>
      </c>
      <c r="AL2" s="57">
        <f>'Base de données pop.'!C35</f>
        <v>1135</v>
      </c>
      <c r="AM2" s="57">
        <f>'Base de données pop.'!C36</f>
        <v>1241</v>
      </c>
      <c r="AN2" s="57">
        <f>'Base de données pop.'!C37</f>
        <v>119</v>
      </c>
      <c r="AO2" s="57">
        <f>'Base de données pop.'!C38</f>
        <v>1195</v>
      </c>
      <c r="AP2" s="57">
        <f>'Base de données pop.'!C39</f>
        <v>663</v>
      </c>
      <c r="AQ2" s="57">
        <f>'Base de données pop.'!C40</f>
        <v>645</v>
      </c>
      <c r="AR2" s="57">
        <f>'Base de données pop.'!C41</f>
        <v>1263</v>
      </c>
      <c r="AS2" s="57">
        <f>'Base de données pop.'!C42</f>
        <v>740</v>
      </c>
      <c r="AT2" s="57">
        <f>'Base de données pop.'!C43</f>
        <v>1028</v>
      </c>
      <c r="AU2" s="57">
        <f>'Base de données pop.'!C44</f>
        <v>314</v>
      </c>
      <c r="AV2" s="57">
        <f>'Base de données pop.'!C45</f>
        <v>2400</v>
      </c>
      <c r="AW2" s="57">
        <f>'Base de données pop.'!C46</f>
        <v>755</v>
      </c>
      <c r="AX2" s="57">
        <f>'Base de données pop.'!C47</f>
        <v>181</v>
      </c>
      <c r="AY2" s="57">
        <f>'Base de données pop.'!C48</f>
        <v>347</v>
      </c>
      <c r="AZ2" s="57">
        <f>'Base de données pop.'!C49</f>
        <v>1690</v>
      </c>
      <c r="BA2" s="57">
        <f>'Base de données pop.'!C50</f>
        <v>387</v>
      </c>
      <c r="BB2" s="57">
        <f>'Base de données pop.'!C51</f>
        <v>1096</v>
      </c>
      <c r="BC2" s="57">
        <f>'Base de données pop.'!C52</f>
        <v>188</v>
      </c>
      <c r="BD2" s="57">
        <f>'Base de données pop.'!C53</f>
        <v>6434</v>
      </c>
      <c r="BE2" s="57">
        <f>'Base de données pop.'!C54</f>
        <v>560</v>
      </c>
      <c r="BF2" s="57">
        <f>SUM(E2:BE2)</f>
        <v>73709</v>
      </c>
      <c r="BG2" s="57">
        <f>SUM(E2:W2)</f>
        <v>38954</v>
      </c>
      <c r="BH2" s="57">
        <f>SUM(X2:AJ2)</f>
        <v>10479</v>
      </c>
      <c r="BI2" s="57">
        <f>SUM(AK2:BE2)</f>
        <v>24276</v>
      </c>
    </row>
    <row r="3" spans="1:61" x14ac:dyDescent="0.3">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4">
      <c r="A4" s="92">
        <v>3</v>
      </c>
      <c r="B4" s="92"/>
      <c r="C4" s="92"/>
      <c r="D4" s="92" t="s">
        <v>60</v>
      </c>
      <c r="E4" s="93">
        <f>E5+E15+E27+E31+E39+E43+E53+E56+E64</f>
        <v>4359.3356229685805</v>
      </c>
      <c r="F4" s="93">
        <f t="shared" ref="F4:BI4" si="0">F5+F15+F27+F31+F39+F43+F53+F56+F64</f>
        <v>3794.3577407407411</v>
      </c>
      <c r="G4" s="93">
        <f t="shared" si="0"/>
        <v>3588.9777731958761</v>
      </c>
      <c r="H4" s="93">
        <f t="shared" si="0"/>
        <v>3897.9993497757846</v>
      </c>
      <c r="I4" s="93">
        <f t="shared" si="0"/>
        <v>3876.9158661525753</v>
      </c>
      <c r="J4" s="93">
        <f t="shared" si="0"/>
        <v>4031.6696770298827</v>
      </c>
      <c r="K4" s="93">
        <f t="shared" si="0"/>
        <v>3857.3519062027235</v>
      </c>
      <c r="L4" s="93">
        <f t="shared" si="0"/>
        <v>7855.4881938500548</v>
      </c>
      <c r="M4" s="93">
        <f t="shared" si="0"/>
        <v>5231.6853829321653</v>
      </c>
      <c r="N4" s="93">
        <f t="shared" si="0"/>
        <v>3942.2944067796607</v>
      </c>
      <c r="O4" s="93">
        <f t="shared" si="0"/>
        <v>3568.3507674061671</v>
      </c>
      <c r="P4" s="93">
        <f t="shared" si="0"/>
        <v>3834.070303030303</v>
      </c>
      <c r="Q4" s="93">
        <f t="shared" si="0"/>
        <v>3505.6970370370368</v>
      </c>
      <c r="R4" s="93">
        <f t="shared" si="0"/>
        <v>3705.629831325301</v>
      </c>
      <c r="S4" s="93">
        <f t="shared" si="0"/>
        <v>3886.3966189111748</v>
      </c>
      <c r="T4" s="93">
        <f t="shared" si="0"/>
        <v>3808.1798689956331</v>
      </c>
      <c r="U4" s="93">
        <f t="shared" si="0"/>
        <v>3939.6786274509805</v>
      </c>
      <c r="V4" s="93">
        <f t="shared" si="0"/>
        <v>5550.8882568807348</v>
      </c>
      <c r="W4" s="93">
        <f t="shared" si="0"/>
        <v>3685.6876927899684</v>
      </c>
      <c r="X4" s="93">
        <f t="shared" si="0"/>
        <v>5701.2338580246906</v>
      </c>
      <c r="Y4" s="93">
        <f t="shared" si="0"/>
        <v>4544.7289325842703</v>
      </c>
      <c r="Z4" s="93">
        <f t="shared" si="0"/>
        <v>7091.9730562827226</v>
      </c>
      <c r="AA4" s="93">
        <f t="shared" si="0"/>
        <v>6713.8874999999989</v>
      </c>
      <c r="AB4" s="93">
        <f t="shared" si="0"/>
        <v>5556.9904026845643</v>
      </c>
      <c r="AC4" s="93">
        <f t="shared" si="0"/>
        <v>5280.8309302325579</v>
      </c>
      <c r="AD4" s="93">
        <f t="shared" si="0"/>
        <v>5102.7519970193744</v>
      </c>
      <c r="AE4" s="93">
        <f t="shared" si="0"/>
        <v>4691.094667832167</v>
      </c>
      <c r="AF4" s="93">
        <f t="shared" si="0"/>
        <v>7580.4786938775514</v>
      </c>
      <c r="AG4" s="93">
        <f t="shared" si="0"/>
        <v>4609.1618443051211</v>
      </c>
      <c r="AH4" s="93">
        <f t="shared" si="0"/>
        <v>4430.1156711281074</v>
      </c>
      <c r="AI4" s="93">
        <f t="shared" si="0"/>
        <v>5062.5541850220261</v>
      </c>
      <c r="AJ4" s="93">
        <f t="shared" si="0"/>
        <v>4902.562213740458</v>
      </c>
      <c r="AK4" s="93">
        <f t="shared" si="0"/>
        <v>4220.6817044854879</v>
      </c>
      <c r="AL4" s="93">
        <f t="shared" si="0"/>
        <v>5072.03534801762</v>
      </c>
      <c r="AM4" s="93">
        <f t="shared" si="0"/>
        <v>3716.8379290894445</v>
      </c>
      <c r="AN4" s="93">
        <f t="shared" si="0"/>
        <v>4740.5310084033608</v>
      </c>
      <c r="AO4" s="93">
        <f t="shared" si="0"/>
        <v>6986.3687531380747</v>
      </c>
      <c r="AP4" s="93">
        <f t="shared" si="0"/>
        <v>5698.2777978883869</v>
      </c>
      <c r="AQ4" s="93">
        <f t="shared" si="0"/>
        <v>3876.3776899224804</v>
      </c>
      <c r="AR4" s="93">
        <f t="shared" si="0"/>
        <v>5697.4500870942211</v>
      </c>
      <c r="AS4" s="93">
        <f t="shared" si="0"/>
        <v>4064.6972702702701</v>
      </c>
      <c r="AT4" s="93">
        <f t="shared" si="0"/>
        <v>4237.8436089494162</v>
      </c>
      <c r="AU4" s="93">
        <f t="shared" si="0"/>
        <v>8463.1661783439504</v>
      </c>
      <c r="AV4" s="93">
        <f t="shared" si="0"/>
        <v>3723.7588291666671</v>
      </c>
      <c r="AW4" s="93">
        <f t="shared" si="0"/>
        <v>3908.064317880795</v>
      </c>
      <c r="AX4" s="93">
        <f t="shared" si="0"/>
        <v>4095.2828729281769</v>
      </c>
      <c r="AY4" s="93">
        <f t="shared" si="0"/>
        <v>4286.6420749279532</v>
      </c>
      <c r="AZ4" s="93">
        <f t="shared" si="0"/>
        <v>4156.163313609467</v>
      </c>
      <c r="BA4" s="93">
        <f t="shared" si="0"/>
        <v>4493.8064082687342</v>
      </c>
      <c r="BB4" s="93">
        <f t="shared" si="0"/>
        <v>5174.4967791970803</v>
      </c>
      <c r="BC4" s="93">
        <f t="shared" si="0"/>
        <v>3384.8554787234048</v>
      </c>
      <c r="BD4" s="93">
        <f t="shared" si="0"/>
        <v>6290.1949751321108</v>
      </c>
      <c r="BE4" s="93">
        <f t="shared" si="0"/>
        <v>4277.9203750000006</v>
      </c>
      <c r="BF4" s="93">
        <f t="shared" si="0"/>
        <v>251754.47167662598</v>
      </c>
      <c r="BG4" s="93">
        <f t="shared" si="0"/>
        <v>79920.654923455324</v>
      </c>
      <c r="BH4" s="93">
        <f t="shared" si="0"/>
        <v>71268.36395273362</v>
      </c>
      <c r="BI4" s="93">
        <f t="shared" si="0"/>
        <v>100565.45280043711</v>
      </c>
    </row>
    <row r="5" spans="1:61" x14ac:dyDescent="0.3">
      <c r="A5" s="7"/>
      <c r="B5" s="94">
        <v>30</v>
      </c>
      <c r="C5" s="94"/>
      <c r="D5" s="94" t="s">
        <v>61</v>
      </c>
      <c r="E5" s="95">
        <f>E6+E7+E8+E9+E10+E11+E12+E13</f>
        <v>508.96890574214524</v>
      </c>
      <c r="F5" s="95">
        <f t="shared" ref="F5:BI5" si="1">F6+F7+F8+F9+F10+F11+F12+F13</f>
        <v>195.81</v>
      </c>
      <c r="G5" s="95">
        <f t="shared" si="1"/>
        <v>286.02051546391755</v>
      </c>
      <c r="H5" s="95">
        <f t="shared" si="1"/>
        <v>525.18430493273536</v>
      </c>
      <c r="I5" s="95">
        <f t="shared" si="1"/>
        <v>720.96237950977707</v>
      </c>
      <c r="J5" s="95">
        <f t="shared" si="1"/>
        <v>879.83631150015094</v>
      </c>
      <c r="K5" s="95">
        <f t="shared" si="1"/>
        <v>407.50639183055972</v>
      </c>
      <c r="L5" s="95">
        <f t="shared" si="1"/>
        <v>1887.702931526391</v>
      </c>
      <c r="M5" s="95">
        <f t="shared" si="1"/>
        <v>906.67600291757833</v>
      </c>
      <c r="N5" s="95">
        <f t="shared" si="1"/>
        <v>352.3055084745763</v>
      </c>
      <c r="O5" s="95">
        <f t="shared" si="1"/>
        <v>500.54075624389566</v>
      </c>
      <c r="P5" s="95">
        <f t="shared" si="1"/>
        <v>316.06259469696965</v>
      </c>
      <c r="Q5" s="95">
        <f t="shared" si="1"/>
        <v>644.41342592592582</v>
      </c>
      <c r="R5" s="95">
        <f t="shared" si="1"/>
        <v>574.07891566265062</v>
      </c>
      <c r="S5" s="95">
        <f t="shared" si="1"/>
        <v>346.008452722063</v>
      </c>
      <c r="T5" s="95">
        <f t="shared" si="1"/>
        <v>429.09461426492004</v>
      </c>
      <c r="U5" s="95">
        <f t="shared" si="1"/>
        <v>452.66999999999996</v>
      </c>
      <c r="V5" s="95">
        <f t="shared" si="1"/>
        <v>782.79174311926602</v>
      </c>
      <c r="W5" s="95">
        <f t="shared" si="1"/>
        <v>666.63423197492148</v>
      </c>
      <c r="X5" s="95">
        <f t="shared" si="1"/>
        <v>307.34104938271599</v>
      </c>
      <c r="Y5" s="95">
        <f t="shared" si="1"/>
        <v>1003.7526484751203</v>
      </c>
      <c r="Z5" s="95">
        <f t="shared" si="1"/>
        <v>1067.8772578534035</v>
      </c>
      <c r="AA5" s="95">
        <f t="shared" si="1"/>
        <v>974.55833333333328</v>
      </c>
      <c r="AB5" s="95">
        <f t="shared" si="1"/>
        <v>446.05973154362414</v>
      </c>
      <c r="AC5" s="95">
        <f t="shared" si="1"/>
        <v>529.94215116279065</v>
      </c>
      <c r="AD5" s="95">
        <f t="shared" si="1"/>
        <v>839.15678092399389</v>
      </c>
      <c r="AE5" s="95">
        <f t="shared" si="1"/>
        <v>520.27456293706291</v>
      </c>
      <c r="AF5" s="95">
        <f t="shared" si="1"/>
        <v>728.68755102040814</v>
      </c>
      <c r="AG5" s="95">
        <f t="shared" si="1"/>
        <v>504.31133751306169</v>
      </c>
      <c r="AH5" s="95">
        <f t="shared" si="1"/>
        <v>702.81481835564057</v>
      </c>
      <c r="AI5" s="95">
        <f t="shared" si="1"/>
        <v>441.91123348017629</v>
      </c>
      <c r="AJ5" s="95">
        <f t="shared" si="1"/>
        <v>506.39503816793888</v>
      </c>
      <c r="AK5" s="95">
        <f t="shared" si="1"/>
        <v>408.28408970976255</v>
      </c>
      <c r="AL5" s="95">
        <f t="shared" si="1"/>
        <v>568.18334801762126</v>
      </c>
      <c r="AM5" s="95">
        <f t="shared" si="1"/>
        <v>398.65652699435935</v>
      </c>
      <c r="AN5" s="95">
        <f t="shared" si="1"/>
        <v>558.23781512605046</v>
      </c>
      <c r="AO5" s="95">
        <f t="shared" si="1"/>
        <v>1063.2558158995816</v>
      </c>
      <c r="AP5" s="95">
        <f t="shared" si="1"/>
        <v>1194.0593514328809</v>
      </c>
      <c r="AQ5" s="95">
        <f t="shared" si="1"/>
        <v>376.64286821705429</v>
      </c>
      <c r="AR5" s="95">
        <f t="shared" si="1"/>
        <v>872.61662707838491</v>
      </c>
      <c r="AS5" s="95">
        <f t="shared" si="1"/>
        <v>596.32817567567565</v>
      </c>
      <c r="AT5" s="95">
        <f t="shared" si="1"/>
        <v>426.61721789883273</v>
      </c>
      <c r="AU5" s="95">
        <f t="shared" si="1"/>
        <v>341.05735668789811</v>
      </c>
      <c r="AV5" s="95">
        <f t="shared" si="1"/>
        <v>420.22343749999999</v>
      </c>
      <c r="AW5" s="95">
        <f t="shared" si="1"/>
        <v>628.53006622516557</v>
      </c>
      <c r="AX5" s="95">
        <f t="shared" si="1"/>
        <v>483.63563535911601</v>
      </c>
      <c r="AY5" s="95">
        <f t="shared" si="1"/>
        <v>408.83501440922191</v>
      </c>
      <c r="AZ5" s="95">
        <f t="shared" si="1"/>
        <v>516.80686390532549</v>
      </c>
      <c r="BA5" s="95">
        <f t="shared" si="1"/>
        <v>305.92480620155038</v>
      </c>
      <c r="BB5" s="95">
        <f t="shared" si="1"/>
        <v>1160.6692153284671</v>
      </c>
      <c r="BC5" s="95">
        <f t="shared" si="1"/>
        <v>388.21595744680855</v>
      </c>
      <c r="BD5" s="95">
        <f t="shared" si="1"/>
        <v>1663.7338187752564</v>
      </c>
      <c r="BE5" s="95">
        <f t="shared" si="1"/>
        <v>570.6011607142857</v>
      </c>
      <c r="BF5" s="95">
        <f t="shared" si="1"/>
        <v>33307.465649261016</v>
      </c>
      <c r="BG5" s="95">
        <f t="shared" si="1"/>
        <v>11383.267986508443</v>
      </c>
      <c r="BH5" s="95">
        <f t="shared" si="1"/>
        <v>8573.082494149272</v>
      </c>
      <c r="BI5" s="95">
        <f t="shared" si="1"/>
        <v>13351.115168603301</v>
      </c>
    </row>
    <row r="6" spans="1:61" x14ac:dyDescent="0.3">
      <c r="C6">
        <v>300</v>
      </c>
      <c r="D6" t="s">
        <v>80</v>
      </c>
      <c r="E6" s="4">
        <f>'4.1 Comptes 2020 natures'!E6/'4.1 Comptes 2020 natures'!E2</f>
        <v>43.040953412784404</v>
      </c>
      <c r="F6" s="4">
        <f>'4.1 Comptes 2020 natures'!F6/'4.1 Comptes 2020 natures'!F2</f>
        <v>74.092592592592595</v>
      </c>
      <c r="G6" s="4">
        <f>'4.1 Comptes 2020 natures'!G6/'4.1 Comptes 2020 natures'!G2</f>
        <v>58.881546391752579</v>
      </c>
      <c r="H6" s="4">
        <f>'4.1 Comptes 2020 natures'!H6/'4.1 Comptes 2020 natures'!H2</f>
        <v>90.497085201793709</v>
      </c>
      <c r="I6" s="4">
        <f>'4.1 Comptes 2020 natures'!I6/'4.1 Comptes 2020 natures'!I2</f>
        <v>50.695345634811346</v>
      </c>
      <c r="J6" s="4">
        <f>'4.1 Comptes 2020 natures'!J6/'4.1 Comptes 2020 natures'!J2</f>
        <v>41.900271657108362</v>
      </c>
      <c r="K6" s="4">
        <f>'4.1 Comptes 2020 natures'!K6/'4.1 Comptes 2020 natures'!K2</f>
        <v>38.413559001512859</v>
      </c>
      <c r="L6" s="4">
        <f>'4.1 Comptes 2020 natures'!L6/'4.1 Comptes 2020 natures'!L2</f>
        <v>58.665505626882229</v>
      </c>
      <c r="M6" s="4">
        <f>'4.1 Comptes 2020 natures'!M6/'4.1 Comptes 2020 natures'!M2</f>
        <v>47.355725747629464</v>
      </c>
      <c r="N6" s="4">
        <f>'4.1 Comptes 2020 natures'!N6/'4.1 Comptes 2020 natures'!N2</f>
        <v>150.67076271186443</v>
      </c>
      <c r="O6" s="4">
        <f>'4.1 Comptes 2020 natures'!O6/'4.1 Comptes 2020 natures'!O2</f>
        <v>39.184421654806755</v>
      </c>
      <c r="P6" s="4">
        <f>'4.1 Comptes 2020 natures'!P6/'4.1 Comptes 2020 natures'!P2</f>
        <v>68.489962121212116</v>
      </c>
      <c r="Q6" s="4">
        <f>'4.1 Comptes 2020 natures'!Q6/'4.1 Comptes 2020 natures'!Q2</f>
        <v>135.77546296296296</v>
      </c>
      <c r="R6" s="4">
        <f>'4.1 Comptes 2020 natures'!R6/'4.1 Comptes 2020 natures'!R2</f>
        <v>60.632530120481931</v>
      </c>
      <c r="S6" s="4">
        <f>'4.1 Comptes 2020 natures'!S6/'4.1 Comptes 2020 natures'!S2</f>
        <v>75.69785100286532</v>
      </c>
      <c r="T6" s="4">
        <f>'4.1 Comptes 2020 natures'!T6/'4.1 Comptes 2020 natures'!T2</f>
        <v>82.683770014556046</v>
      </c>
      <c r="U6" s="4">
        <f>'4.1 Comptes 2020 natures'!U6/'4.1 Comptes 2020 natures'!U2</f>
        <v>48.781176470588235</v>
      </c>
      <c r="V6" s="4">
        <f>'4.1 Comptes 2020 natures'!V6/'4.1 Comptes 2020 natures'!V2</f>
        <v>130.65814220183486</v>
      </c>
      <c r="W6" s="4">
        <f>'4.1 Comptes 2020 natures'!W6/'4.1 Comptes 2020 natures'!W2</f>
        <v>29.746269592476491</v>
      </c>
      <c r="X6" s="4">
        <f>'4.1 Comptes 2020 natures'!X6/'4.1 Comptes 2020 natures'!X2</f>
        <v>118.1621913580247</v>
      </c>
      <c r="Y6" s="4">
        <f>'4.1 Comptes 2020 natures'!Y6/'4.1 Comptes 2020 natures'!Y2</f>
        <v>46.301324237560188</v>
      </c>
      <c r="Z6" s="4">
        <f>'4.1 Comptes 2020 natures'!Z6/'4.1 Comptes 2020 natures'!Z2</f>
        <v>33.398985602094243</v>
      </c>
      <c r="AA6" s="4">
        <f>'4.1 Comptes 2020 natures'!AA6/'4.1 Comptes 2020 natures'!AA2</f>
        <v>68.098958333333329</v>
      </c>
      <c r="AB6" s="4">
        <f>'4.1 Comptes 2020 natures'!AB6/'4.1 Comptes 2020 natures'!AB2</f>
        <v>77.760067114093957</v>
      </c>
      <c r="AC6" s="4">
        <f>'4.1 Comptes 2020 natures'!AC6/'4.1 Comptes 2020 natures'!AC2</f>
        <v>45.213178294573645</v>
      </c>
      <c r="AD6" s="4">
        <f>'4.1 Comptes 2020 natures'!AD6/'4.1 Comptes 2020 natures'!AD2</f>
        <v>28.781669150521608</v>
      </c>
      <c r="AE6" s="4">
        <f>'4.1 Comptes 2020 natures'!AE6/'4.1 Comptes 2020 natures'!AE2</f>
        <v>39.388111888111887</v>
      </c>
      <c r="AF6" s="4">
        <f>'4.1 Comptes 2020 natures'!AF6/'4.1 Comptes 2020 natures'!AF2</f>
        <v>53.544081632653061</v>
      </c>
      <c r="AG6" s="4">
        <f>'4.1 Comptes 2020 natures'!AG6/'4.1 Comptes 2020 natures'!AG2</f>
        <v>45.807758620689654</v>
      </c>
      <c r="AH6" s="4">
        <f>'4.1 Comptes 2020 natures'!AH6/'4.1 Comptes 2020 natures'!AH2</f>
        <v>21.730822179732314</v>
      </c>
      <c r="AI6" s="4">
        <f>'4.1 Comptes 2020 natures'!AI6/'4.1 Comptes 2020 natures'!AI2</f>
        <v>86.505066079295162</v>
      </c>
      <c r="AJ6" s="4">
        <f>'4.1 Comptes 2020 natures'!AJ6/'4.1 Comptes 2020 natures'!AJ2</f>
        <v>112.84351145038168</v>
      </c>
      <c r="AK6" s="4">
        <f>'4.1 Comptes 2020 natures'!AK6/'4.1 Comptes 2020 natures'!AK2</f>
        <v>78.951635883905013</v>
      </c>
      <c r="AL6" s="4">
        <f>'4.1 Comptes 2020 natures'!AL6/'4.1 Comptes 2020 natures'!AL2</f>
        <v>42.827929515418496</v>
      </c>
      <c r="AM6" s="4">
        <f>'4.1 Comptes 2020 natures'!AM6/'4.1 Comptes 2020 natures'!AM2</f>
        <v>38.755358581788883</v>
      </c>
      <c r="AN6" s="4">
        <f>'4.1 Comptes 2020 natures'!AN6/'4.1 Comptes 2020 natures'!AN2</f>
        <v>149.39411764705883</v>
      </c>
      <c r="AO6" s="4">
        <f>'4.1 Comptes 2020 natures'!AO6/'4.1 Comptes 2020 natures'!AO2</f>
        <v>77.700543933054391</v>
      </c>
      <c r="AP6" s="4">
        <f>'4.1 Comptes 2020 natures'!AP6/'4.1 Comptes 2020 natures'!AP2</f>
        <v>39.539969834087479</v>
      </c>
      <c r="AQ6" s="4">
        <f>'4.1 Comptes 2020 natures'!AQ6/'4.1 Comptes 2020 natures'!AQ2</f>
        <v>63.613178294573643</v>
      </c>
      <c r="AR6" s="4">
        <f>'4.1 Comptes 2020 natures'!AR6/'4.1 Comptes 2020 natures'!AR2</f>
        <v>58.508115597783053</v>
      </c>
      <c r="AS6" s="4">
        <f>'4.1 Comptes 2020 natures'!AS6/'4.1 Comptes 2020 natures'!AS2</f>
        <v>47.302364864864863</v>
      </c>
      <c r="AT6" s="4">
        <f>'4.1 Comptes 2020 natures'!AT6/'4.1 Comptes 2020 natures'!AT2</f>
        <v>37.621595330739297</v>
      </c>
      <c r="AU6" s="4">
        <f>'4.1 Comptes 2020 natures'!AU6/'4.1 Comptes 2020 natures'!AU2</f>
        <v>43.041401273885349</v>
      </c>
      <c r="AV6" s="4">
        <f>'4.1 Comptes 2020 natures'!AV6/'4.1 Comptes 2020 natures'!AV2</f>
        <v>23.204166666666666</v>
      </c>
      <c r="AW6" s="4">
        <f>'4.1 Comptes 2020 natures'!AW6/'4.1 Comptes 2020 natures'!AW2</f>
        <v>71.137086092715236</v>
      </c>
      <c r="AX6" s="4">
        <f>'4.1 Comptes 2020 natures'!AX6/'4.1 Comptes 2020 natures'!AX2</f>
        <v>63.628729281767953</v>
      </c>
      <c r="AY6" s="4">
        <f>'4.1 Comptes 2020 natures'!AY6/'4.1 Comptes 2020 natures'!AY2</f>
        <v>38.062247838616713</v>
      </c>
      <c r="AZ6" s="4">
        <f>'4.1 Comptes 2020 natures'!AZ6/'4.1 Comptes 2020 natures'!AZ2</f>
        <v>30.754437869822485</v>
      </c>
      <c r="BA6" s="4">
        <f>'4.1 Comptes 2020 natures'!BA6/'4.1 Comptes 2020 natures'!BA2</f>
        <v>59.844315245478036</v>
      </c>
      <c r="BB6" s="4">
        <f>'4.1 Comptes 2020 natures'!BB6/'4.1 Comptes 2020 natures'!BB2</f>
        <v>47.11555656934307</v>
      </c>
      <c r="BC6" s="4">
        <f>'4.1 Comptes 2020 natures'!BC6/'4.1 Comptes 2020 natures'!BC2</f>
        <v>71.619042553191491</v>
      </c>
      <c r="BD6" s="4">
        <f>'4.1 Comptes 2020 natures'!BD6/'4.1 Comptes 2020 natures'!BD2</f>
        <v>38.632538078955548</v>
      </c>
      <c r="BE6" s="4">
        <f>'4.1 Comptes 2020 natures'!BE6/'4.1 Comptes 2020 natures'!BE2</f>
        <v>45.952500000000001</v>
      </c>
      <c r="BF6" s="4">
        <f>SUM(E6:BE6)</f>
        <v>3270.6054910152984</v>
      </c>
      <c r="BG6" s="4">
        <f>SUM(E6:W6)</f>
        <v>1325.8629341205167</v>
      </c>
      <c r="BH6" s="4">
        <f>SUM(X6:AJ6)</f>
        <v>777.53572594106538</v>
      </c>
      <c r="BI6" s="4">
        <f>SUM(AK6:BE6)</f>
        <v>1167.2068309537167</v>
      </c>
    </row>
    <row r="7" spans="1:61" x14ac:dyDescent="0.3">
      <c r="C7">
        <v>301</v>
      </c>
      <c r="D7" t="s">
        <v>81</v>
      </c>
      <c r="E7" s="4">
        <f>'4.1 Comptes 2020 natures'!E7/'4.1 Comptes 2020 natures'!E2</f>
        <v>382.70260021668474</v>
      </c>
      <c r="F7" s="4">
        <f>'4.1 Comptes 2020 natures'!F7/'4.1 Comptes 2020 natures'!F2</f>
        <v>109.25</v>
      </c>
      <c r="G7" s="4">
        <f>'4.1 Comptes 2020 natures'!G7/'4.1 Comptes 2020 natures'!G2</f>
        <v>192.25628865979382</v>
      </c>
      <c r="H7" s="4">
        <f>'4.1 Comptes 2020 natures'!H7/'4.1 Comptes 2020 natures'!H2</f>
        <v>349.21031390134527</v>
      </c>
      <c r="I7" s="4">
        <f>'4.1 Comptes 2020 natures'!I7/'4.1 Comptes 2020 natures'!I2</f>
        <v>543.1032773340678</v>
      </c>
      <c r="J7" s="4">
        <f>'4.1 Comptes 2020 natures'!J7/'4.1 Comptes 2020 natures'!J2</f>
        <v>648.39450648958643</v>
      </c>
      <c r="K7" s="4">
        <f>'4.1 Comptes 2020 natures'!K7/'4.1 Comptes 2020 natures'!K2</f>
        <v>286.02076399394855</v>
      </c>
      <c r="L7" s="4">
        <f>'4.1 Comptes 2020 natures'!L7/'4.1 Comptes 2020 natures'!L2</f>
        <v>1495.6496441591378</v>
      </c>
      <c r="M7" s="4">
        <f>'4.1 Comptes 2020 natures'!M7/'4.1 Comptes 2020 natures'!M2</f>
        <v>719.67086068563094</v>
      </c>
      <c r="N7" s="4">
        <f>'4.1 Comptes 2020 natures'!N7/'4.1 Comptes 2020 natures'!N2</f>
        <v>163.52288135593221</v>
      </c>
      <c r="O7" s="4">
        <f>'4.1 Comptes 2020 natures'!O7/'4.1 Comptes 2020 natures'!O2</f>
        <v>373.75198130319524</v>
      </c>
      <c r="P7" s="4">
        <f>'4.1 Comptes 2020 natures'!P7/'4.1 Comptes 2020 natures'!P2</f>
        <v>189.23977272727274</v>
      </c>
      <c r="Q7" s="4">
        <f>'4.1 Comptes 2020 natures'!Q7/'4.1 Comptes 2020 natures'!Q2</f>
        <v>420.875</v>
      </c>
      <c r="R7" s="4">
        <f>'4.1 Comptes 2020 natures'!R7/'4.1 Comptes 2020 natures'!R2</f>
        <v>398.69481927710842</v>
      </c>
      <c r="S7" s="4">
        <f>'4.1 Comptes 2020 natures'!S7/'4.1 Comptes 2020 natures'!S2</f>
        <v>247.30286532951288</v>
      </c>
      <c r="T7" s="4">
        <f>'4.1 Comptes 2020 natures'!T7/'4.1 Comptes 2020 natures'!T2</f>
        <v>280.53304221251824</v>
      </c>
      <c r="U7" s="4">
        <f>'4.1 Comptes 2020 natures'!U7/'4.1 Comptes 2020 natures'!U2</f>
        <v>353.88529411764705</v>
      </c>
      <c r="V7" s="4">
        <f>'4.1 Comptes 2020 natures'!V7/'4.1 Comptes 2020 natures'!V2</f>
        <v>541.3543577981651</v>
      </c>
      <c r="W7" s="4">
        <f>'4.1 Comptes 2020 natures'!W7/'4.1 Comptes 2020 natures'!W2</f>
        <v>530.99608150470215</v>
      </c>
      <c r="X7" s="4">
        <f>'4.1 Comptes 2020 natures'!X7/'4.1 Comptes 2020 natures'!X2</f>
        <v>155.09012345679011</v>
      </c>
      <c r="Y7" s="4">
        <f>'4.1 Comptes 2020 natures'!Y7/'4.1 Comptes 2020 natures'!Y2</f>
        <v>805.30694221508827</v>
      </c>
      <c r="Z7" s="4">
        <f>'4.1 Comptes 2020 natures'!Z7/'4.1 Comptes 2020 natures'!Z2</f>
        <v>863.83170811518335</v>
      </c>
      <c r="AA7" s="4">
        <f>'4.1 Comptes 2020 natures'!AA7/'4.1 Comptes 2020 natures'!AA2</f>
        <v>781.44999999999993</v>
      </c>
      <c r="AB7" s="4">
        <f>'4.1 Comptes 2020 natures'!AB7/'4.1 Comptes 2020 natures'!AB2</f>
        <v>326.22684563758389</v>
      </c>
      <c r="AC7" s="4">
        <f>'4.1 Comptes 2020 natures'!AC7/'4.1 Comptes 2020 natures'!AC2</f>
        <v>406.71589147286818</v>
      </c>
      <c r="AD7" s="4">
        <f>'4.1 Comptes 2020 natures'!AD7/'4.1 Comptes 2020 natures'!AD2</f>
        <v>661.16944858420266</v>
      </c>
      <c r="AE7" s="4">
        <f>'4.1 Comptes 2020 natures'!AE7/'4.1 Comptes 2020 natures'!AE2</f>
        <v>395.1354020979021</v>
      </c>
      <c r="AF7" s="4">
        <f>'4.1 Comptes 2020 natures'!AF7/'4.1 Comptes 2020 natures'!AF2</f>
        <v>532.06816326530611</v>
      </c>
      <c r="AG7" s="4">
        <f>'4.1 Comptes 2020 natures'!AG7/'4.1 Comptes 2020 natures'!AG2</f>
        <v>367.60966562173462</v>
      </c>
      <c r="AH7" s="4">
        <f>'4.1 Comptes 2020 natures'!AH7/'4.1 Comptes 2020 natures'!AH2</f>
        <v>555.78045889101338</v>
      </c>
      <c r="AI7" s="4">
        <f>'4.1 Comptes 2020 natures'!AI7/'4.1 Comptes 2020 natures'!AI2</f>
        <v>306.61167400881061</v>
      </c>
      <c r="AJ7" s="4">
        <f>'4.1 Comptes 2020 natures'!AJ7/'4.1 Comptes 2020 natures'!AJ2</f>
        <v>332.67137404580149</v>
      </c>
      <c r="AK7" s="4">
        <f>'4.1 Comptes 2020 natures'!AK7/'4.1 Comptes 2020 natures'!AK2</f>
        <v>320.57542480211083</v>
      </c>
      <c r="AL7" s="4">
        <f>'4.1 Comptes 2020 natures'!AL7/'4.1 Comptes 2020 natures'!AL2</f>
        <v>434.19400881057271</v>
      </c>
      <c r="AM7" s="4">
        <f>'4.1 Comptes 2020 natures'!AM7/'4.1 Comptes 2020 natures'!AM2</f>
        <v>303.08589846897661</v>
      </c>
      <c r="AN7" s="4">
        <f>'4.1 Comptes 2020 natures'!AN7/'4.1 Comptes 2020 natures'!AN2</f>
        <v>320.00042016806725</v>
      </c>
      <c r="AO7" s="4">
        <f>'4.1 Comptes 2020 natures'!AO7/'4.1 Comptes 2020 natures'!AO2</f>
        <v>824.74723849372378</v>
      </c>
      <c r="AP7" s="4">
        <f>'4.1 Comptes 2020 natures'!AP7/'4.1 Comptes 2020 natures'!AP2</f>
        <v>969.70339366515839</v>
      </c>
      <c r="AQ7" s="4">
        <f>'4.1 Comptes 2020 natures'!AQ7/'4.1 Comptes 2020 natures'!AQ2</f>
        <v>250.92713178294574</v>
      </c>
      <c r="AR7" s="4">
        <f>'4.1 Comptes 2020 natures'!AR7/'4.1 Comptes 2020 natures'!AR2</f>
        <v>693.1009501187649</v>
      </c>
      <c r="AS7" s="4">
        <f>'4.1 Comptes 2020 natures'!AS7/'4.1 Comptes 2020 natures'!AS2</f>
        <v>453.17716216216212</v>
      </c>
      <c r="AT7" s="4">
        <f>'4.1 Comptes 2020 natures'!AT7/'4.1 Comptes 2020 natures'!AT2</f>
        <v>320.95598249027239</v>
      </c>
      <c r="AU7" s="4">
        <f>'4.1 Comptes 2020 natures'!AU7/'4.1 Comptes 2020 natures'!AU2</f>
        <v>245.94143312101912</v>
      </c>
      <c r="AV7" s="4">
        <f>'4.1 Comptes 2020 natures'!AV7/'4.1 Comptes 2020 natures'!AV2</f>
        <v>319.60525000000001</v>
      </c>
      <c r="AW7" s="4">
        <f>'4.1 Comptes 2020 natures'!AW7/'4.1 Comptes 2020 natures'!AW2</f>
        <v>459.97761589403973</v>
      </c>
      <c r="AX7" s="4">
        <f>'4.1 Comptes 2020 natures'!AX7/'4.1 Comptes 2020 natures'!AX2</f>
        <v>341.38950276243094</v>
      </c>
      <c r="AY7" s="4">
        <f>'4.1 Comptes 2020 natures'!AY7/'4.1 Comptes 2020 natures'!AY2</f>
        <v>314.61959654178673</v>
      </c>
      <c r="AZ7" s="4">
        <f>'4.1 Comptes 2020 natures'!AZ7/'4.1 Comptes 2020 natures'!AZ2</f>
        <v>397.94665680473372</v>
      </c>
      <c r="BA7" s="4">
        <f>'4.1 Comptes 2020 natures'!BA7/'4.1 Comptes 2020 natures'!BA2</f>
        <v>195.10025839793283</v>
      </c>
      <c r="BB7" s="4">
        <f>'4.1 Comptes 2020 natures'!BB7/'4.1 Comptes 2020 natures'!BB2</f>
        <v>912.43244525547436</v>
      </c>
      <c r="BC7" s="4">
        <f>'4.1 Comptes 2020 natures'!BC7/'4.1 Comptes 2020 natures'!BC2</f>
        <v>262.10186170212768</v>
      </c>
      <c r="BD7" s="4">
        <f>'4.1 Comptes 2020 natures'!BD7/'4.1 Comptes 2020 natures'!BD2</f>
        <v>1339.1120671433011</v>
      </c>
      <c r="BE7" s="4">
        <f>'4.1 Comptes 2020 natures'!BE7/'4.1 Comptes 2020 natures'!BE2</f>
        <v>445.25267857142859</v>
      </c>
      <c r="BF7" s="4">
        <f t="shared" ref="BF7:BF13" si="2">SUM(E7:BE7)</f>
        <v>24840.029025635569</v>
      </c>
      <c r="BG7" s="4">
        <f t="shared" ref="BG7:BG13" si="3">SUM(E7:W7)</f>
        <v>8226.4143510662507</v>
      </c>
      <c r="BH7" s="4">
        <f t="shared" ref="BH7:BH13" si="4">SUM(X7:AJ7)</f>
        <v>6489.6676974122856</v>
      </c>
      <c r="BI7" s="4">
        <f t="shared" ref="BI7:BI13" si="5">SUM(AK7:BE7)</f>
        <v>10123.946977157029</v>
      </c>
    </row>
    <row r="8" spans="1:61" x14ac:dyDescent="0.3">
      <c r="C8">
        <v>302</v>
      </c>
      <c r="D8" t="s">
        <v>82</v>
      </c>
      <c r="E8" s="4">
        <f>'4.1 Comptes 2020 natures'!E8/'4.1 Comptes 2020 natures'!E2</f>
        <v>0</v>
      </c>
      <c r="F8" s="4">
        <f>'4.1 Comptes 2020 natures'!F8/'4.1 Comptes 2020 natures'!F2</f>
        <v>0</v>
      </c>
      <c r="G8" s="4">
        <f>'4.1 Comptes 2020 natures'!G8/'4.1 Comptes 2020 natures'!G2</f>
        <v>0</v>
      </c>
      <c r="H8" s="4">
        <f>'4.1 Comptes 2020 natures'!H8/'4.1 Comptes 2020 natures'!H2</f>
        <v>0</v>
      </c>
      <c r="I8" s="4">
        <f>'4.1 Comptes 2020 natures'!I8/'4.1 Comptes 2020 natures'!I2</f>
        <v>0</v>
      </c>
      <c r="J8" s="4">
        <f>'4.1 Comptes 2020 natures'!J8/'4.1 Comptes 2020 natures'!J2</f>
        <v>0</v>
      </c>
      <c r="K8" s="4">
        <f>'4.1 Comptes 2020 natures'!K8/'4.1 Comptes 2020 natures'!K2</f>
        <v>0</v>
      </c>
      <c r="L8" s="4">
        <f>'4.1 Comptes 2020 natures'!L8/'4.1 Comptes 2020 natures'!L2</f>
        <v>0</v>
      </c>
      <c r="M8" s="4">
        <f>'4.1 Comptes 2020 natures'!M8/'4.1 Comptes 2020 natures'!M2</f>
        <v>0</v>
      </c>
      <c r="N8" s="4">
        <f>'4.1 Comptes 2020 natures'!N8/'4.1 Comptes 2020 natures'!N2</f>
        <v>0</v>
      </c>
      <c r="O8" s="4">
        <f>'4.1 Comptes 2020 natures'!O8/'4.1 Comptes 2020 natures'!O2</f>
        <v>0</v>
      </c>
      <c r="P8" s="4">
        <f>'4.1 Comptes 2020 natures'!P8/'4.1 Comptes 2020 natures'!P2</f>
        <v>0</v>
      </c>
      <c r="Q8" s="4">
        <f>'4.1 Comptes 2020 natures'!Q8/'4.1 Comptes 2020 natures'!Q2</f>
        <v>0</v>
      </c>
      <c r="R8" s="4">
        <f>'4.1 Comptes 2020 natures'!R8/'4.1 Comptes 2020 natures'!R2</f>
        <v>0</v>
      </c>
      <c r="S8" s="4">
        <f>'4.1 Comptes 2020 natures'!S8/'4.1 Comptes 2020 natures'!S2</f>
        <v>0</v>
      </c>
      <c r="T8" s="4">
        <f>'4.1 Comptes 2020 natures'!T8/'4.1 Comptes 2020 natures'!T2</f>
        <v>0</v>
      </c>
      <c r="U8" s="4">
        <f>'4.1 Comptes 2020 natures'!U8/'4.1 Comptes 2020 natures'!U2</f>
        <v>0</v>
      </c>
      <c r="V8" s="4">
        <f>'4.1 Comptes 2020 natures'!V8/'4.1 Comptes 2020 natures'!V2</f>
        <v>0</v>
      </c>
      <c r="W8" s="4">
        <f>'4.1 Comptes 2020 natures'!W8/'4.1 Comptes 2020 natures'!W2</f>
        <v>0</v>
      </c>
      <c r="X8" s="4">
        <f>'4.1 Comptes 2020 natures'!X8/'4.1 Comptes 2020 natures'!X2</f>
        <v>0</v>
      </c>
      <c r="Y8" s="4">
        <f>'4.1 Comptes 2020 natures'!Y8/'4.1 Comptes 2020 natures'!Y2</f>
        <v>0</v>
      </c>
      <c r="Z8" s="4">
        <f>'4.1 Comptes 2020 natures'!Z8/'4.1 Comptes 2020 natures'!Z2</f>
        <v>0</v>
      </c>
      <c r="AA8" s="4">
        <f>'4.1 Comptes 2020 natures'!AA8/'4.1 Comptes 2020 natures'!AA2</f>
        <v>0</v>
      </c>
      <c r="AB8" s="4">
        <f>'4.1 Comptes 2020 natures'!AB8/'4.1 Comptes 2020 natures'!AB2</f>
        <v>0</v>
      </c>
      <c r="AC8" s="4">
        <f>'4.1 Comptes 2020 natures'!AC8/'4.1 Comptes 2020 natures'!AC2</f>
        <v>0</v>
      </c>
      <c r="AD8" s="4">
        <f>'4.1 Comptes 2020 natures'!AD8/'4.1 Comptes 2020 natures'!AD2</f>
        <v>0</v>
      </c>
      <c r="AE8" s="4">
        <f>'4.1 Comptes 2020 natures'!AE8/'4.1 Comptes 2020 natures'!AE2</f>
        <v>0</v>
      </c>
      <c r="AF8" s="4">
        <f>'4.1 Comptes 2020 natures'!AF8/'4.1 Comptes 2020 natures'!AF2</f>
        <v>0</v>
      </c>
      <c r="AG8" s="4">
        <f>'4.1 Comptes 2020 natures'!AG8/'4.1 Comptes 2020 natures'!AG2</f>
        <v>1.9043887147335423</v>
      </c>
      <c r="AH8" s="4">
        <f>'4.1 Comptes 2020 natures'!AH8/'4.1 Comptes 2020 natures'!AH2</f>
        <v>0</v>
      </c>
      <c r="AI8" s="4">
        <f>'4.1 Comptes 2020 natures'!AI8/'4.1 Comptes 2020 natures'!AI2</f>
        <v>0</v>
      </c>
      <c r="AJ8" s="4">
        <f>'4.1 Comptes 2020 natures'!AJ8/'4.1 Comptes 2020 natures'!AJ2</f>
        <v>0</v>
      </c>
      <c r="AK8" s="4">
        <f>'4.1 Comptes 2020 natures'!AK8/'4.1 Comptes 2020 natures'!AK2</f>
        <v>0</v>
      </c>
      <c r="AL8" s="4">
        <f>'4.1 Comptes 2020 natures'!AL8/'4.1 Comptes 2020 natures'!AL2</f>
        <v>0</v>
      </c>
      <c r="AM8" s="4">
        <f>'4.1 Comptes 2020 natures'!AM8/'4.1 Comptes 2020 natures'!AM2</f>
        <v>0</v>
      </c>
      <c r="AN8" s="4">
        <f>'4.1 Comptes 2020 natures'!AN8/'4.1 Comptes 2020 natures'!AN2</f>
        <v>0</v>
      </c>
      <c r="AO8" s="4">
        <f>'4.1 Comptes 2020 natures'!AO8/'4.1 Comptes 2020 natures'!AO2</f>
        <v>0</v>
      </c>
      <c r="AP8" s="4">
        <f>'4.1 Comptes 2020 natures'!AP8/'4.1 Comptes 2020 natures'!AP2</f>
        <v>0</v>
      </c>
      <c r="AQ8" s="4">
        <f>'4.1 Comptes 2020 natures'!AQ8/'4.1 Comptes 2020 natures'!AQ2</f>
        <v>0</v>
      </c>
      <c r="AR8" s="4">
        <f>'4.1 Comptes 2020 natures'!AR8/'4.1 Comptes 2020 natures'!AR2</f>
        <v>0</v>
      </c>
      <c r="AS8" s="4">
        <f>'4.1 Comptes 2020 natures'!AS8/'4.1 Comptes 2020 natures'!AS2</f>
        <v>0</v>
      </c>
      <c r="AT8" s="4">
        <f>'4.1 Comptes 2020 natures'!AT8/'4.1 Comptes 2020 natures'!AT2</f>
        <v>0</v>
      </c>
      <c r="AU8" s="4">
        <f>'4.1 Comptes 2020 natures'!AU8/'4.1 Comptes 2020 natures'!AU2</f>
        <v>0</v>
      </c>
      <c r="AV8" s="4">
        <f>'4.1 Comptes 2020 natures'!AV8/'4.1 Comptes 2020 natures'!AV2</f>
        <v>0</v>
      </c>
      <c r="AW8" s="4">
        <f>'4.1 Comptes 2020 natures'!AW8/'4.1 Comptes 2020 natures'!AW2</f>
        <v>0</v>
      </c>
      <c r="AX8" s="4">
        <f>'4.1 Comptes 2020 natures'!AX8/'4.1 Comptes 2020 natures'!AX2</f>
        <v>0</v>
      </c>
      <c r="AY8" s="4">
        <f>'4.1 Comptes 2020 natures'!AY8/'4.1 Comptes 2020 natures'!AY2</f>
        <v>0</v>
      </c>
      <c r="AZ8" s="4">
        <f>'4.1 Comptes 2020 natures'!AZ8/'4.1 Comptes 2020 natures'!AZ2</f>
        <v>0</v>
      </c>
      <c r="BA8" s="4">
        <f>'4.1 Comptes 2020 natures'!BA8/'4.1 Comptes 2020 natures'!BA2</f>
        <v>0</v>
      </c>
      <c r="BB8" s="4">
        <f>'4.1 Comptes 2020 natures'!BB8/'4.1 Comptes 2020 natures'!BB2</f>
        <v>0</v>
      </c>
      <c r="BC8" s="4">
        <f>'4.1 Comptes 2020 natures'!BC8/'4.1 Comptes 2020 natures'!BC2</f>
        <v>0</v>
      </c>
      <c r="BD8" s="4">
        <f>'4.1 Comptes 2020 natures'!BD8/'4.1 Comptes 2020 natures'!BD2</f>
        <v>0</v>
      </c>
      <c r="BE8" s="4">
        <f>'4.1 Comptes 2020 natures'!BE8/'4.1 Comptes 2020 natures'!BE2</f>
        <v>0</v>
      </c>
      <c r="BF8" s="4">
        <f t="shared" si="2"/>
        <v>1.9043887147335423</v>
      </c>
      <c r="BG8" s="4">
        <f t="shared" si="3"/>
        <v>0</v>
      </c>
      <c r="BH8" s="4">
        <f t="shared" si="4"/>
        <v>1.9043887147335423</v>
      </c>
      <c r="BI8" s="4">
        <f t="shared" si="5"/>
        <v>0</v>
      </c>
    </row>
    <row r="9" spans="1:61" x14ac:dyDescent="0.3">
      <c r="C9">
        <v>303</v>
      </c>
      <c r="D9" t="s">
        <v>83</v>
      </c>
      <c r="E9" s="4">
        <f>'4.1 Comptes 2020 natures'!E9/'4.1 Comptes 2020 natures'!E2</f>
        <v>0</v>
      </c>
      <c r="F9" s="4">
        <f>'4.1 Comptes 2020 natures'!F9/'4.1 Comptes 2020 natures'!F2</f>
        <v>0</v>
      </c>
      <c r="G9" s="4">
        <f>'4.1 Comptes 2020 natures'!G9/'4.1 Comptes 2020 natures'!G2</f>
        <v>0</v>
      </c>
      <c r="H9" s="4">
        <f>'4.1 Comptes 2020 natures'!H9/'4.1 Comptes 2020 natures'!H2</f>
        <v>0</v>
      </c>
      <c r="I9" s="4">
        <f>'4.1 Comptes 2020 natures'!I9/'4.1 Comptes 2020 natures'!I2</f>
        <v>0</v>
      </c>
      <c r="J9" s="4">
        <f>'4.1 Comptes 2020 natures'!J9/'4.1 Comptes 2020 natures'!J2</f>
        <v>0</v>
      </c>
      <c r="K9" s="4">
        <f>'4.1 Comptes 2020 natures'!K9/'4.1 Comptes 2020 natures'!K2</f>
        <v>0</v>
      </c>
      <c r="L9" s="4">
        <f>'4.1 Comptes 2020 natures'!L9/'4.1 Comptes 2020 natures'!L2</f>
        <v>0</v>
      </c>
      <c r="M9" s="4">
        <f>'4.1 Comptes 2020 natures'!M9/'4.1 Comptes 2020 natures'!M2</f>
        <v>2.9175784099197668</v>
      </c>
      <c r="N9" s="4">
        <f>'4.1 Comptes 2020 natures'!N9/'4.1 Comptes 2020 natures'!N2</f>
        <v>0</v>
      </c>
      <c r="O9" s="4">
        <f>'4.1 Comptes 2020 natures'!O9/'4.1 Comptes 2020 natures'!O2</f>
        <v>0</v>
      </c>
      <c r="P9" s="4">
        <f>'4.1 Comptes 2020 natures'!P9/'4.1 Comptes 2020 natures'!P2</f>
        <v>0</v>
      </c>
      <c r="Q9" s="4">
        <f>'4.1 Comptes 2020 natures'!Q9/'4.1 Comptes 2020 natures'!Q2</f>
        <v>0</v>
      </c>
      <c r="R9" s="4">
        <f>'4.1 Comptes 2020 natures'!R9/'4.1 Comptes 2020 natures'!R2</f>
        <v>0</v>
      </c>
      <c r="S9" s="4">
        <f>'4.1 Comptes 2020 natures'!S9/'4.1 Comptes 2020 natures'!S2</f>
        <v>0</v>
      </c>
      <c r="T9" s="4">
        <f>'4.1 Comptes 2020 natures'!T9/'4.1 Comptes 2020 natures'!T2</f>
        <v>0</v>
      </c>
      <c r="U9" s="4">
        <f>'4.1 Comptes 2020 natures'!U9/'4.1 Comptes 2020 natures'!U2</f>
        <v>0</v>
      </c>
      <c r="V9" s="4">
        <f>'4.1 Comptes 2020 natures'!V9/'4.1 Comptes 2020 natures'!V2</f>
        <v>0</v>
      </c>
      <c r="W9" s="4">
        <f>'4.1 Comptes 2020 natures'!W9/'4.1 Comptes 2020 natures'!W2</f>
        <v>0</v>
      </c>
      <c r="X9" s="4">
        <f>'4.1 Comptes 2020 natures'!X9/'4.1 Comptes 2020 natures'!X2</f>
        <v>0</v>
      </c>
      <c r="Y9" s="4">
        <f>'4.1 Comptes 2020 natures'!Y9/'4.1 Comptes 2020 natures'!Y2</f>
        <v>0</v>
      </c>
      <c r="Z9" s="4">
        <f>'4.1 Comptes 2020 natures'!Z9/'4.1 Comptes 2020 natures'!Z2</f>
        <v>0</v>
      </c>
      <c r="AA9" s="4">
        <f>'4.1 Comptes 2020 natures'!AA9/'4.1 Comptes 2020 natures'!AA2</f>
        <v>0</v>
      </c>
      <c r="AB9" s="4">
        <f>'4.1 Comptes 2020 natures'!AB9/'4.1 Comptes 2020 natures'!AB2</f>
        <v>0</v>
      </c>
      <c r="AC9" s="4">
        <f>'4.1 Comptes 2020 natures'!AC9/'4.1 Comptes 2020 natures'!AC2</f>
        <v>0</v>
      </c>
      <c r="AD9" s="4">
        <f>'4.1 Comptes 2020 natures'!AD9/'4.1 Comptes 2020 natures'!AD2</f>
        <v>0</v>
      </c>
      <c r="AE9" s="4">
        <f>'4.1 Comptes 2020 natures'!AE9/'4.1 Comptes 2020 natures'!AE2</f>
        <v>0</v>
      </c>
      <c r="AF9" s="4">
        <f>'4.1 Comptes 2020 natures'!AF9/'4.1 Comptes 2020 natures'!AF2</f>
        <v>0</v>
      </c>
      <c r="AG9" s="4">
        <f>'4.1 Comptes 2020 natures'!AG9/'4.1 Comptes 2020 natures'!AG2</f>
        <v>0</v>
      </c>
      <c r="AH9" s="4">
        <f>'4.1 Comptes 2020 natures'!AH9/'4.1 Comptes 2020 natures'!AH2</f>
        <v>0</v>
      </c>
      <c r="AI9" s="4">
        <f>'4.1 Comptes 2020 natures'!AI9/'4.1 Comptes 2020 natures'!AI2</f>
        <v>0.88105726872246692</v>
      </c>
      <c r="AJ9" s="4">
        <f>'4.1 Comptes 2020 natures'!AJ9/'4.1 Comptes 2020 natures'!AJ2</f>
        <v>0</v>
      </c>
      <c r="AK9" s="4">
        <f>'4.1 Comptes 2020 natures'!AK9/'4.1 Comptes 2020 natures'!AK2</f>
        <v>0</v>
      </c>
      <c r="AL9" s="4">
        <f>'4.1 Comptes 2020 natures'!AL9/'4.1 Comptes 2020 natures'!AL2</f>
        <v>0</v>
      </c>
      <c r="AM9" s="4">
        <f>'4.1 Comptes 2020 natures'!AM9/'4.1 Comptes 2020 natures'!AM2</f>
        <v>0</v>
      </c>
      <c r="AN9" s="4">
        <f>'4.1 Comptes 2020 natures'!AN9/'4.1 Comptes 2020 natures'!AN2</f>
        <v>5.0420168067226889</v>
      </c>
      <c r="AO9" s="4">
        <f>'4.1 Comptes 2020 natures'!AO9/'4.1 Comptes 2020 natures'!AO2</f>
        <v>0</v>
      </c>
      <c r="AP9" s="4">
        <f>'4.1 Comptes 2020 natures'!AP9/'4.1 Comptes 2020 natures'!AP2</f>
        <v>0</v>
      </c>
      <c r="AQ9" s="4">
        <f>'4.1 Comptes 2020 natures'!AQ9/'4.1 Comptes 2020 natures'!AQ2</f>
        <v>0</v>
      </c>
      <c r="AR9" s="4">
        <f>'4.1 Comptes 2020 natures'!AR9/'4.1 Comptes 2020 natures'!AR2</f>
        <v>0</v>
      </c>
      <c r="AS9" s="4">
        <f>'4.1 Comptes 2020 natures'!AS9/'4.1 Comptes 2020 natures'!AS2</f>
        <v>0</v>
      </c>
      <c r="AT9" s="4">
        <f>'4.1 Comptes 2020 natures'!AT9/'4.1 Comptes 2020 natures'!AT2</f>
        <v>0</v>
      </c>
      <c r="AU9" s="4">
        <f>'4.1 Comptes 2020 natures'!AU9/'4.1 Comptes 2020 natures'!AU2</f>
        <v>0</v>
      </c>
      <c r="AV9" s="4">
        <f>'4.1 Comptes 2020 natures'!AV9/'4.1 Comptes 2020 natures'!AV2</f>
        <v>0</v>
      </c>
      <c r="AW9" s="4">
        <f>'4.1 Comptes 2020 natures'!AW9/'4.1 Comptes 2020 natures'!AW2</f>
        <v>0.6556291390728477</v>
      </c>
      <c r="AX9" s="4">
        <f>'4.1 Comptes 2020 natures'!AX9/'4.1 Comptes 2020 natures'!AX2</f>
        <v>0</v>
      </c>
      <c r="AY9" s="4">
        <f>'4.1 Comptes 2020 natures'!AY9/'4.1 Comptes 2020 natures'!AY2</f>
        <v>0</v>
      </c>
      <c r="AZ9" s="4">
        <f>'4.1 Comptes 2020 natures'!AZ9/'4.1 Comptes 2020 natures'!AZ2</f>
        <v>0</v>
      </c>
      <c r="BA9" s="4">
        <f>'4.1 Comptes 2020 natures'!BA9/'4.1 Comptes 2020 natures'!BA2</f>
        <v>0.64599483204134367</v>
      </c>
      <c r="BB9" s="4">
        <f>'4.1 Comptes 2020 natures'!BB9/'4.1 Comptes 2020 natures'!BB2</f>
        <v>1.1347171532846716</v>
      </c>
      <c r="BC9" s="4">
        <f>'4.1 Comptes 2020 natures'!BC9/'4.1 Comptes 2020 natures'!BC2</f>
        <v>0</v>
      </c>
      <c r="BD9" s="4">
        <f>'4.1 Comptes 2020 natures'!BD9/'4.1 Comptes 2020 natures'!BD2</f>
        <v>0</v>
      </c>
      <c r="BE9" s="4">
        <f>'4.1 Comptes 2020 natures'!BE9/'4.1 Comptes 2020 natures'!BE2</f>
        <v>0</v>
      </c>
      <c r="BF9" s="4">
        <f t="shared" si="2"/>
        <v>11.276993609763787</v>
      </c>
      <c r="BG9" s="4">
        <f t="shared" si="3"/>
        <v>2.9175784099197668</v>
      </c>
      <c r="BH9" s="4">
        <f t="shared" si="4"/>
        <v>0.88105726872246692</v>
      </c>
      <c r="BI9" s="4">
        <f t="shared" si="5"/>
        <v>7.4783579311215513</v>
      </c>
    </row>
    <row r="10" spans="1:61" x14ac:dyDescent="0.3">
      <c r="C10">
        <v>304</v>
      </c>
      <c r="D10" t="s">
        <v>596</v>
      </c>
      <c r="E10" s="4">
        <f>'4.1 Comptes 2020 natures'!E10/'4.1 Comptes 2020 natures'!E2</f>
        <v>0</v>
      </c>
      <c r="F10" s="4">
        <f>'4.1 Comptes 2020 natures'!F10/'4.1 Comptes 2020 natures'!F2</f>
        <v>0</v>
      </c>
      <c r="G10" s="4">
        <f>'4.1 Comptes 2020 natures'!G10/'4.1 Comptes 2020 natures'!G2</f>
        <v>0</v>
      </c>
      <c r="H10" s="4">
        <f>'4.1 Comptes 2020 natures'!H10/'4.1 Comptes 2020 natures'!H2</f>
        <v>0</v>
      </c>
      <c r="I10" s="4">
        <f>'4.1 Comptes 2020 natures'!I10/'4.1 Comptes 2020 natures'!I2</f>
        <v>0</v>
      </c>
      <c r="J10" s="4">
        <f>'4.1 Comptes 2020 natures'!J10/'4.1 Comptes 2020 natures'!J2</f>
        <v>6.6078176878961665</v>
      </c>
      <c r="K10" s="4">
        <f>'4.1 Comptes 2020 natures'!K10/'4.1 Comptes 2020 natures'!K2</f>
        <v>0</v>
      </c>
      <c r="L10" s="4">
        <f>'4.1 Comptes 2020 natures'!L10/'4.1 Comptes 2020 natures'!L2</f>
        <v>0</v>
      </c>
      <c r="M10" s="4">
        <f>'4.1 Comptes 2020 natures'!M10/'4.1 Comptes 2020 natures'!M2</f>
        <v>0</v>
      </c>
      <c r="N10" s="4">
        <f>'4.1 Comptes 2020 natures'!N10/'4.1 Comptes 2020 natures'!N2</f>
        <v>0</v>
      </c>
      <c r="O10" s="4">
        <f>'4.1 Comptes 2020 natures'!O10/'4.1 Comptes 2020 natures'!O2</f>
        <v>0</v>
      </c>
      <c r="P10" s="4">
        <f>'4.1 Comptes 2020 natures'!P10/'4.1 Comptes 2020 natures'!P2</f>
        <v>0</v>
      </c>
      <c r="Q10" s="4">
        <f>'4.1 Comptes 2020 natures'!Q10/'4.1 Comptes 2020 natures'!Q2</f>
        <v>0</v>
      </c>
      <c r="R10" s="4">
        <f>'4.1 Comptes 2020 natures'!R10/'4.1 Comptes 2020 natures'!R2</f>
        <v>0</v>
      </c>
      <c r="S10" s="4">
        <f>'4.1 Comptes 2020 natures'!S10/'4.1 Comptes 2020 natures'!S2</f>
        <v>0</v>
      </c>
      <c r="T10" s="4">
        <f>'4.1 Comptes 2020 natures'!T10/'4.1 Comptes 2020 natures'!T2</f>
        <v>0</v>
      </c>
      <c r="U10" s="4">
        <f>'4.1 Comptes 2020 natures'!U10/'4.1 Comptes 2020 natures'!U2</f>
        <v>0</v>
      </c>
      <c r="V10" s="4">
        <f>'4.1 Comptes 2020 natures'!V10/'4.1 Comptes 2020 natures'!V2</f>
        <v>0</v>
      </c>
      <c r="W10" s="4">
        <f>'4.1 Comptes 2020 natures'!W10/'4.1 Comptes 2020 natures'!W2</f>
        <v>0</v>
      </c>
      <c r="X10" s="4">
        <f>'4.1 Comptes 2020 natures'!X10/'4.1 Comptes 2020 natures'!X2</f>
        <v>0</v>
      </c>
      <c r="Y10" s="4">
        <f>'4.1 Comptes 2020 natures'!Y10/'4.1 Comptes 2020 natures'!Y2</f>
        <v>0</v>
      </c>
      <c r="Z10" s="4">
        <f>'4.1 Comptes 2020 natures'!Z10/'4.1 Comptes 2020 natures'!Z2</f>
        <v>0</v>
      </c>
      <c r="AA10" s="4">
        <f>'4.1 Comptes 2020 natures'!AA10/'4.1 Comptes 2020 natures'!AA2</f>
        <v>0</v>
      </c>
      <c r="AB10" s="4">
        <f>'4.1 Comptes 2020 natures'!AB10/'4.1 Comptes 2020 natures'!AB2</f>
        <v>0</v>
      </c>
      <c r="AC10" s="4">
        <f>'4.1 Comptes 2020 natures'!AC10/'4.1 Comptes 2020 natures'!AC2</f>
        <v>0</v>
      </c>
      <c r="AD10" s="4">
        <f>'4.1 Comptes 2020 natures'!AD10/'4.1 Comptes 2020 natures'!AD2</f>
        <v>0</v>
      </c>
      <c r="AE10" s="4">
        <f>'4.1 Comptes 2020 natures'!AE10/'4.1 Comptes 2020 natures'!AE2</f>
        <v>0</v>
      </c>
      <c r="AF10" s="4">
        <f>'4.1 Comptes 2020 natures'!AF10/'4.1 Comptes 2020 natures'!AF2</f>
        <v>0</v>
      </c>
      <c r="AG10" s="4">
        <f>'4.1 Comptes 2020 natures'!AG10/'4.1 Comptes 2020 natures'!AG2</f>
        <v>0</v>
      </c>
      <c r="AH10" s="4">
        <f>'4.1 Comptes 2020 natures'!AH10/'4.1 Comptes 2020 natures'!AH2</f>
        <v>19.120458891013385</v>
      </c>
      <c r="AI10" s="4">
        <f>'4.1 Comptes 2020 natures'!AI10/'4.1 Comptes 2020 natures'!AI2</f>
        <v>7.8762114537444941</v>
      </c>
      <c r="AJ10" s="4">
        <f>'4.1 Comptes 2020 natures'!AJ10/'4.1 Comptes 2020 natures'!AJ2</f>
        <v>0</v>
      </c>
      <c r="AK10" s="4">
        <f>'4.1 Comptes 2020 natures'!AK10/'4.1 Comptes 2020 natures'!AK2</f>
        <v>0</v>
      </c>
      <c r="AL10" s="4">
        <f>'4.1 Comptes 2020 natures'!AL10/'4.1 Comptes 2020 natures'!AL2</f>
        <v>0</v>
      </c>
      <c r="AM10" s="4">
        <f>'4.1 Comptes 2020 natures'!AM10/'4.1 Comptes 2020 natures'!AM2</f>
        <v>0</v>
      </c>
      <c r="AN10" s="4">
        <f>'4.1 Comptes 2020 natures'!AN10/'4.1 Comptes 2020 natures'!AN2</f>
        <v>0</v>
      </c>
      <c r="AO10" s="4">
        <f>'4.1 Comptes 2020 natures'!AO10/'4.1 Comptes 2020 natures'!AO2</f>
        <v>0</v>
      </c>
      <c r="AP10" s="4">
        <f>'4.1 Comptes 2020 natures'!AP10/'4.1 Comptes 2020 natures'!AP2</f>
        <v>0</v>
      </c>
      <c r="AQ10" s="4">
        <f>'4.1 Comptes 2020 natures'!AQ10/'4.1 Comptes 2020 natures'!AQ2</f>
        <v>0</v>
      </c>
      <c r="AR10" s="4">
        <f>'4.1 Comptes 2020 natures'!AR10/'4.1 Comptes 2020 natures'!AR2</f>
        <v>0</v>
      </c>
      <c r="AS10" s="4">
        <f>'4.1 Comptes 2020 natures'!AS10/'4.1 Comptes 2020 natures'!AS2</f>
        <v>0</v>
      </c>
      <c r="AT10" s="4">
        <f>'4.1 Comptes 2020 natures'!AT10/'4.1 Comptes 2020 natures'!AT2</f>
        <v>0</v>
      </c>
      <c r="AU10" s="4">
        <f>'4.1 Comptes 2020 natures'!AU10/'4.1 Comptes 2020 natures'!AU2</f>
        <v>6.3694267515923574E-4</v>
      </c>
      <c r="AV10" s="4">
        <f>'4.1 Comptes 2020 natures'!AV10/'4.1 Comptes 2020 natures'!AV2</f>
        <v>0</v>
      </c>
      <c r="AW10" s="4">
        <f>'4.1 Comptes 2020 natures'!AW10/'4.1 Comptes 2020 natures'!AW2</f>
        <v>0</v>
      </c>
      <c r="AX10" s="4">
        <f>'4.1 Comptes 2020 natures'!AX10/'4.1 Comptes 2020 natures'!AX2</f>
        <v>0</v>
      </c>
      <c r="AY10" s="4">
        <f>'4.1 Comptes 2020 natures'!AY10/'4.1 Comptes 2020 natures'!AY2</f>
        <v>0</v>
      </c>
      <c r="AZ10" s="4">
        <f>'4.1 Comptes 2020 natures'!AZ10/'4.1 Comptes 2020 natures'!AZ2</f>
        <v>0</v>
      </c>
      <c r="BA10" s="4">
        <f>'4.1 Comptes 2020 natures'!BA10/'4.1 Comptes 2020 natures'!BA2</f>
        <v>0</v>
      </c>
      <c r="BB10" s="4">
        <f>'4.1 Comptes 2020 natures'!BB10/'4.1 Comptes 2020 natures'!BB2</f>
        <v>0</v>
      </c>
      <c r="BC10" s="4">
        <f>'4.1 Comptes 2020 natures'!BC10/'4.1 Comptes 2020 natures'!BC2</f>
        <v>0</v>
      </c>
      <c r="BD10" s="4">
        <f>'4.1 Comptes 2020 natures'!BD10/'4.1 Comptes 2020 natures'!BD2</f>
        <v>0</v>
      </c>
      <c r="BE10" s="4">
        <f>'4.1 Comptes 2020 natures'!BE10/'4.1 Comptes 2020 natures'!BE2</f>
        <v>0</v>
      </c>
      <c r="BF10" s="4">
        <f t="shared" si="2"/>
        <v>33.605124975329204</v>
      </c>
      <c r="BG10" s="4">
        <f t="shared" si="3"/>
        <v>6.6078176878961665</v>
      </c>
      <c r="BH10" s="4">
        <f t="shared" si="4"/>
        <v>26.996670344757881</v>
      </c>
      <c r="BI10" s="4">
        <f t="shared" si="5"/>
        <v>6.3694267515923574E-4</v>
      </c>
    </row>
    <row r="11" spans="1:61" x14ac:dyDescent="0.3">
      <c r="C11">
        <v>305</v>
      </c>
      <c r="D11" t="s">
        <v>84</v>
      </c>
      <c r="E11" s="4">
        <f>'4.1 Comptes 2020 natures'!E11/'4.1 Comptes 2020 natures'!E2</f>
        <v>77.633044420368364</v>
      </c>
      <c r="F11" s="4">
        <f>'4.1 Comptes 2020 natures'!F11/'4.1 Comptes 2020 natures'!F2</f>
        <v>11.839629629629629</v>
      </c>
      <c r="G11" s="4">
        <f>'4.1 Comptes 2020 natures'!G11/'4.1 Comptes 2020 natures'!G2</f>
        <v>32.181855670103097</v>
      </c>
      <c r="H11" s="4">
        <f>'4.1 Comptes 2020 natures'!H11/'4.1 Comptes 2020 natures'!H2</f>
        <v>81.595739910313895</v>
      </c>
      <c r="I11" s="4">
        <f>'4.1 Comptes 2020 natures'!I11/'4.1 Comptes 2020 natures'!I2</f>
        <v>121.5455935004131</v>
      </c>
      <c r="J11" s="4">
        <f>'4.1 Comptes 2020 natures'!J11/'4.1 Comptes 2020 natures'!J2</f>
        <v>177.41693329308785</v>
      </c>
      <c r="K11" s="4">
        <f>'4.1 Comptes 2020 natures'!K11/'4.1 Comptes 2020 natures'!K2</f>
        <v>68.907866868381234</v>
      </c>
      <c r="L11" s="4">
        <f>'4.1 Comptes 2020 natures'!L11/'4.1 Comptes 2020 natures'!L2</f>
        <v>309.81061499445235</v>
      </c>
      <c r="M11" s="4">
        <f>'4.1 Comptes 2020 natures'!M11/'4.1 Comptes 2020 natures'!M2</f>
        <v>132.49799416484319</v>
      </c>
      <c r="N11" s="4">
        <f>'4.1 Comptes 2020 natures'!N11/'4.1 Comptes 2020 natures'!N2</f>
        <v>29.08813559322034</v>
      </c>
      <c r="O11" s="4">
        <f>'4.1 Comptes 2020 natures'!O11/'4.1 Comptes 2020 natures'!O2</f>
        <v>84.367182921724563</v>
      </c>
      <c r="P11" s="4">
        <f>'4.1 Comptes 2020 natures'!P11/'4.1 Comptes 2020 natures'!P2</f>
        <v>41.776988636363633</v>
      </c>
      <c r="Q11" s="4">
        <f>'4.1 Comptes 2020 natures'!Q11/'4.1 Comptes 2020 natures'!Q2</f>
        <v>80.44814814814815</v>
      </c>
      <c r="R11" s="4">
        <f>'4.1 Comptes 2020 natures'!R11/'4.1 Comptes 2020 natures'!R2</f>
        <v>112.70867469879518</v>
      </c>
      <c r="S11" s="4">
        <f>'4.1 Comptes 2020 natures'!S11/'4.1 Comptes 2020 natures'!S2</f>
        <v>21.638681948424068</v>
      </c>
      <c r="T11" s="4">
        <f>'4.1 Comptes 2020 natures'!T11/'4.1 Comptes 2020 natures'!T2</f>
        <v>65.004075691411941</v>
      </c>
      <c r="U11" s="4">
        <f>'4.1 Comptes 2020 natures'!U11/'4.1 Comptes 2020 natures'!U2</f>
        <v>46.748627450980393</v>
      </c>
      <c r="V11" s="4">
        <f>'4.1 Comptes 2020 natures'!V11/'4.1 Comptes 2020 natures'!V2</f>
        <v>105.05630733944955</v>
      </c>
      <c r="W11" s="4">
        <f>'4.1 Comptes 2020 natures'!W11/'4.1 Comptes 2020 natures'!W2</f>
        <v>100.68708463949842</v>
      </c>
      <c r="X11" s="4">
        <f>'4.1 Comptes 2020 natures'!X11/'4.1 Comptes 2020 natures'!X2</f>
        <v>29.019444444444442</v>
      </c>
      <c r="Y11" s="4">
        <f>'4.1 Comptes 2020 natures'!Y11/'4.1 Comptes 2020 natures'!Y2</f>
        <v>148.12688603531299</v>
      </c>
      <c r="Z11" s="4">
        <f>'4.1 Comptes 2020 natures'!Z11/'4.1 Comptes 2020 natures'!Z2</f>
        <v>158.12470549738219</v>
      </c>
      <c r="AA11" s="4">
        <f>'4.1 Comptes 2020 natures'!AA11/'4.1 Comptes 2020 natures'!AA2</f>
        <v>114.64166666666667</v>
      </c>
      <c r="AB11" s="4">
        <f>'4.1 Comptes 2020 natures'!AB11/'4.1 Comptes 2020 natures'!AB2</f>
        <v>41.670134228187919</v>
      </c>
      <c r="AC11" s="4">
        <f>'4.1 Comptes 2020 natures'!AC11/'4.1 Comptes 2020 natures'!AC2</f>
        <v>66.860755813953489</v>
      </c>
      <c r="AD11" s="4">
        <f>'4.1 Comptes 2020 natures'!AD11/'4.1 Comptes 2020 natures'!AD2</f>
        <v>137.06289120715348</v>
      </c>
      <c r="AE11" s="4">
        <f>'4.1 Comptes 2020 natures'!AE11/'4.1 Comptes 2020 natures'!AE2</f>
        <v>82.72027972027972</v>
      </c>
      <c r="AF11" s="4">
        <f>'4.1 Comptes 2020 natures'!AF11/'4.1 Comptes 2020 natures'!AF2</f>
        <v>140.97887755102039</v>
      </c>
      <c r="AG11" s="4">
        <f>'4.1 Comptes 2020 natures'!AG11/'4.1 Comptes 2020 natures'!AG2</f>
        <v>84.038845350052256</v>
      </c>
      <c r="AH11" s="4">
        <f>'4.1 Comptes 2020 natures'!AH11/'4.1 Comptes 2020 natures'!AH2</f>
        <v>104.45172084130019</v>
      </c>
      <c r="AI11" s="4">
        <f>'4.1 Comptes 2020 natures'!AI11/'4.1 Comptes 2020 natures'!AI2</f>
        <v>39.332378854625553</v>
      </c>
      <c r="AJ11" s="4">
        <f>'4.1 Comptes 2020 natures'!AJ11/'4.1 Comptes 2020 natures'!AJ2</f>
        <v>60.880152671755724</v>
      </c>
      <c r="AK11" s="4">
        <f>'4.1 Comptes 2020 natures'!AK11/'4.1 Comptes 2020 natures'!AK2</f>
        <v>1.93844327176781</v>
      </c>
      <c r="AL11" s="4">
        <f>'4.1 Comptes 2020 natures'!AL11/'4.1 Comptes 2020 natures'!AL2</f>
        <v>89.658325991189429</v>
      </c>
      <c r="AM11" s="4">
        <f>'4.1 Comptes 2020 natures'!AM11/'4.1 Comptes 2020 natures'!AM2</f>
        <v>55.476672038678487</v>
      </c>
      <c r="AN11" s="4">
        <f>'4.1 Comptes 2020 natures'!AN11/'4.1 Comptes 2020 natures'!AN2</f>
        <v>79.168487394957978</v>
      </c>
      <c r="AO11" s="4">
        <f>'4.1 Comptes 2020 natures'!AO11/'4.1 Comptes 2020 natures'!AO2</f>
        <v>147.80732217573222</v>
      </c>
      <c r="AP11" s="4">
        <f>'4.1 Comptes 2020 natures'!AP11/'4.1 Comptes 2020 natures'!AP2</f>
        <v>176.88642533936653</v>
      </c>
      <c r="AQ11" s="4">
        <f>'4.1 Comptes 2020 natures'!AQ11/'4.1 Comptes 2020 natures'!AQ2</f>
        <v>58.317364341085266</v>
      </c>
      <c r="AR11" s="4">
        <f>'4.1 Comptes 2020 natures'!AR11/'4.1 Comptes 2020 natures'!AR2</f>
        <v>117.15288994457642</v>
      </c>
      <c r="AS11" s="4">
        <f>'4.1 Comptes 2020 natures'!AS11/'4.1 Comptes 2020 natures'!AS2</f>
        <v>91.149864864864853</v>
      </c>
      <c r="AT11" s="4">
        <f>'4.1 Comptes 2020 natures'!AT11/'4.1 Comptes 2020 natures'!AT2</f>
        <v>57.304620622568095</v>
      </c>
      <c r="AU11" s="4">
        <f>'4.1 Comptes 2020 natures'!AU11/'4.1 Comptes 2020 natures'!AU2</f>
        <v>48.27022292993631</v>
      </c>
      <c r="AV11" s="4">
        <f>'4.1 Comptes 2020 natures'!AV11/'4.1 Comptes 2020 natures'!AV2</f>
        <v>73.450625000000002</v>
      </c>
      <c r="AW11" s="4">
        <f>'4.1 Comptes 2020 natures'!AW11/'4.1 Comptes 2020 natures'!AW2</f>
        <v>86.65980132450332</v>
      </c>
      <c r="AX11" s="4">
        <f>'4.1 Comptes 2020 natures'!AX11/'4.1 Comptes 2020 natures'!AX2</f>
        <v>74.384254143646402</v>
      </c>
      <c r="AY11" s="4">
        <f>'4.1 Comptes 2020 natures'!AY11/'4.1 Comptes 2020 natures'!AY2</f>
        <v>54.809365994236309</v>
      </c>
      <c r="AZ11" s="4">
        <f>'4.1 Comptes 2020 natures'!AZ11/'4.1 Comptes 2020 natures'!AZ2</f>
        <v>84.300591715976324</v>
      </c>
      <c r="BA11" s="4">
        <f>'4.1 Comptes 2020 natures'!BA11/'4.1 Comptes 2020 natures'!BA2</f>
        <v>46.52286821705426</v>
      </c>
      <c r="BB11" s="4">
        <f>'4.1 Comptes 2020 natures'!BB11/'4.1 Comptes 2020 natures'!BB2</f>
        <v>184.41605839416059</v>
      </c>
      <c r="BC11" s="4">
        <f>'4.1 Comptes 2020 natures'!BC11/'4.1 Comptes 2020 natures'!BC2</f>
        <v>51.741861702127657</v>
      </c>
      <c r="BD11" s="4">
        <f>'4.1 Comptes 2020 natures'!BD11/'4.1 Comptes 2020 natures'!BD2</f>
        <v>273.89462231893066</v>
      </c>
      <c r="BE11" s="4">
        <f>'4.1 Comptes 2020 natures'!BE11/'4.1 Comptes 2020 natures'!BE2</f>
        <v>79.395982142857136</v>
      </c>
      <c r="BF11" s="4">
        <f t="shared" si="2"/>
        <v>4841.5685882699609</v>
      </c>
      <c r="BG11" s="4">
        <f t="shared" si="3"/>
        <v>1700.9531795196096</v>
      </c>
      <c r="BH11" s="4">
        <f t="shared" si="4"/>
        <v>1207.9087388821349</v>
      </c>
      <c r="BI11" s="4">
        <f t="shared" si="5"/>
        <v>1932.7066698682158</v>
      </c>
    </row>
    <row r="12" spans="1:61" x14ac:dyDescent="0.3">
      <c r="C12">
        <v>306</v>
      </c>
      <c r="D12" t="s">
        <v>85</v>
      </c>
      <c r="E12" s="4">
        <f>'4.1 Comptes 2020 natures'!E12/'4.1 Comptes 2020 natures'!E2</f>
        <v>0</v>
      </c>
      <c r="F12" s="4">
        <f>'4.1 Comptes 2020 natures'!F12/'4.1 Comptes 2020 natures'!F2</f>
        <v>0</v>
      </c>
      <c r="G12" s="4">
        <f>'4.1 Comptes 2020 natures'!G12/'4.1 Comptes 2020 natures'!G2</f>
        <v>0</v>
      </c>
      <c r="H12" s="4">
        <f>'4.1 Comptes 2020 natures'!H12/'4.1 Comptes 2020 natures'!H2</f>
        <v>0</v>
      </c>
      <c r="I12" s="4">
        <f>'4.1 Comptes 2020 natures'!I12/'4.1 Comptes 2020 natures'!I2</f>
        <v>0.83441200771137425</v>
      </c>
      <c r="J12" s="4">
        <f>'4.1 Comptes 2020 natures'!J12/'4.1 Comptes 2020 natures'!J2</f>
        <v>0</v>
      </c>
      <c r="K12" s="4">
        <f>'4.1 Comptes 2020 natures'!K12/'4.1 Comptes 2020 natures'!K2</f>
        <v>0</v>
      </c>
      <c r="L12" s="4">
        <f>'4.1 Comptes 2020 natures'!L12/'4.1 Comptes 2020 natures'!L2</f>
        <v>4.1540259946108735</v>
      </c>
      <c r="M12" s="4">
        <f>'4.1 Comptes 2020 natures'!M12/'4.1 Comptes 2020 natures'!M2</f>
        <v>0</v>
      </c>
      <c r="N12" s="4">
        <f>'4.1 Comptes 2020 natures'!N12/'4.1 Comptes 2020 natures'!N2</f>
        <v>0</v>
      </c>
      <c r="O12" s="4">
        <f>'4.1 Comptes 2020 natures'!O12/'4.1 Comptes 2020 natures'!O2</f>
        <v>0</v>
      </c>
      <c r="P12" s="4">
        <f>'4.1 Comptes 2020 natures'!P12/'4.1 Comptes 2020 natures'!P2</f>
        <v>0</v>
      </c>
      <c r="Q12" s="4">
        <f>'4.1 Comptes 2020 natures'!Q12/'4.1 Comptes 2020 natures'!Q2</f>
        <v>0</v>
      </c>
      <c r="R12" s="4">
        <f>'4.1 Comptes 2020 natures'!R12/'4.1 Comptes 2020 natures'!R2</f>
        <v>0</v>
      </c>
      <c r="S12" s="4">
        <f>'4.1 Comptes 2020 natures'!S12/'4.1 Comptes 2020 natures'!S2</f>
        <v>0</v>
      </c>
      <c r="T12" s="4">
        <f>'4.1 Comptes 2020 natures'!T12/'4.1 Comptes 2020 natures'!T2</f>
        <v>0</v>
      </c>
      <c r="U12" s="4">
        <f>'4.1 Comptes 2020 natures'!U12/'4.1 Comptes 2020 natures'!U2</f>
        <v>0</v>
      </c>
      <c r="V12" s="4">
        <f>'4.1 Comptes 2020 natures'!V12/'4.1 Comptes 2020 natures'!V2</f>
        <v>0</v>
      </c>
      <c r="W12" s="4">
        <f>'4.1 Comptes 2020 natures'!W12/'4.1 Comptes 2020 natures'!W2</f>
        <v>0</v>
      </c>
      <c r="X12" s="4">
        <f>'4.1 Comptes 2020 natures'!X12/'4.1 Comptes 2020 natures'!X2</f>
        <v>0</v>
      </c>
      <c r="Y12" s="4">
        <f>'4.1 Comptes 2020 natures'!Y12/'4.1 Comptes 2020 natures'!Y2</f>
        <v>0</v>
      </c>
      <c r="Z12" s="4">
        <f>'4.1 Comptes 2020 natures'!Z12/'4.1 Comptes 2020 natures'!Z2</f>
        <v>0.32722513089005234</v>
      </c>
      <c r="AA12" s="4">
        <f>'4.1 Comptes 2020 natures'!AA12/'4.1 Comptes 2020 natures'!AA2</f>
        <v>0</v>
      </c>
      <c r="AB12" s="4">
        <f>'4.1 Comptes 2020 natures'!AB12/'4.1 Comptes 2020 natures'!AB2</f>
        <v>0</v>
      </c>
      <c r="AC12" s="4">
        <f>'4.1 Comptes 2020 natures'!AC12/'4.1 Comptes 2020 natures'!AC2</f>
        <v>0</v>
      </c>
      <c r="AD12" s="4">
        <f>'4.1 Comptes 2020 natures'!AD12/'4.1 Comptes 2020 natures'!AD2</f>
        <v>0</v>
      </c>
      <c r="AE12" s="4">
        <f>'4.1 Comptes 2020 natures'!AE12/'4.1 Comptes 2020 natures'!AE2</f>
        <v>0</v>
      </c>
      <c r="AF12" s="4">
        <f>'4.1 Comptes 2020 natures'!AF12/'4.1 Comptes 2020 natures'!AF2</f>
        <v>0</v>
      </c>
      <c r="AG12" s="4">
        <f>'4.1 Comptes 2020 natures'!AG12/'4.1 Comptes 2020 natures'!AG2</f>
        <v>0</v>
      </c>
      <c r="AH12" s="4">
        <f>'4.1 Comptes 2020 natures'!AH12/'4.1 Comptes 2020 natures'!AH2</f>
        <v>0</v>
      </c>
      <c r="AI12" s="4">
        <f>'4.1 Comptes 2020 natures'!AI12/'4.1 Comptes 2020 natures'!AI2</f>
        <v>0</v>
      </c>
      <c r="AJ12" s="4">
        <f>'4.1 Comptes 2020 natures'!AJ12/'4.1 Comptes 2020 natures'!AJ2</f>
        <v>0</v>
      </c>
      <c r="AK12" s="4">
        <f>'4.1 Comptes 2020 natures'!AK12/'4.1 Comptes 2020 natures'!AK2</f>
        <v>0</v>
      </c>
      <c r="AL12" s="4">
        <f>'4.1 Comptes 2020 natures'!AL12/'4.1 Comptes 2020 natures'!AL2</f>
        <v>0</v>
      </c>
      <c r="AM12" s="4">
        <f>'4.1 Comptes 2020 natures'!AM12/'4.1 Comptes 2020 natures'!AM2</f>
        <v>0</v>
      </c>
      <c r="AN12" s="4">
        <f>'4.1 Comptes 2020 natures'!AN12/'4.1 Comptes 2020 natures'!AN2</f>
        <v>0</v>
      </c>
      <c r="AO12" s="4">
        <f>'4.1 Comptes 2020 natures'!AO12/'4.1 Comptes 2020 natures'!AO2</f>
        <v>0</v>
      </c>
      <c r="AP12" s="4">
        <f>'4.1 Comptes 2020 natures'!AP12/'4.1 Comptes 2020 natures'!AP2</f>
        <v>0</v>
      </c>
      <c r="AQ12" s="4">
        <f>'4.1 Comptes 2020 natures'!AQ12/'4.1 Comptes 2020 natures'!AQ2</f>
        <v>0</v>
      </c>
      <c r="AR12" s="4">
        <f>'4.1 Comptes 2020 natures'!AR12/'4.1 Comptes 2020 natures'!AR2</f>
        <v>0</v>
      </c>
      <c r="AS12" s="4">
        <f>'4.1 Comptes 2020 natures'!AS12/'4.1 Comptes 2020 natures'!AS2</f>
        <v>0</v>
      </c>
      <c r="AT12" s="4">
        <f>'4.1 Comptes 2020 natures'!AT12/'4.1 Comptes 2020 natures'!AT2</f>
        <v>0</v>
      </c>
      <c r="AU12" s="4">
        <f>'4.1 Comptes 2020 natures'!AU12/'4.1 Comptes 2020 natures'!AU2</f>
        <v>0</v>
      </c>
      <c r="AV12" s="4">
        <f>'4.1 Comptes 2020 natures'!AV12/'4.1 Comptes 2020 natures'!AV2</f>
        <v>8.3333333333333329E-2</v>
      </c>
      <c r="AW12" s="4">
        <f>'4.1 Comptes 2020 natures'!AW12/'4.1 Comptes 2020 natures'!AW2</f>
        <v>0</v>
      </c>
      <c r="AX12" s="4">
        <f>'4.1 Comptes 2020 natures'!AX12/'4.1 Comptes 2020 natures'!AX2</f>
        <v>0</v>
      </c>
      <c r="AY12" s="4">
        <f>'4.1 Comptes 2020 natures'!AY12/'4.1 Comptes 2020 natures'!AY2</f>
        <v>0</v>
      </c>
      <c r="AZ12" s="4">
        <f>'4.1 Comptes 2020 natures'!AZ12/'4.1 Comptes 2020 natures'!AZ2</f>
        <v>0</v>
      </c>
      <c r="BA12" s="4">
        <f>'4.1 Comptes 2020 natures'!BA12/'4.1 Comptes 2020 natures'!BA2</f>
        <v>0</v>
      </c>
      <c r="BB12" s="4">
        <f>'4.1 Comptes 2020 natures'!BB12/'4.1 Comptes 2020 natures'!BB2</f>
        <v>0</v>
      </c>
      <c r="BC12" s="4">
        <f>'4.1 Comptes 2020 natures'!BC12/'4.1 Comptes 2020 natures'!BC2</f>
        <v>0</v>
      </c>
      <c r="BD12" s="4">
        <f>'4.1 Comptes 2020 natures'!BD12/'4.1 Comptes 2020 natures'!BD2</f>
        <v>0</v>
      </c>
      <c r="BE12" s="4">
        <f>'4.1 Comptes 2020 natures'!BE12/'4.1 Comptes 2020 natures'!BE2</f>
        <v>0</v>
      </c>
      <c r="BF12" s="4">
        <f t="shared" si="2"/>
        <v>5.3989964665456327</v>
      </c>
      <c r="BG12" s="4">
        <f t="shared" si="3"/>
        <v>4.9884380023222477</v>
      </c>
      <c r="BH12" s="4">
        <f t="shared" si="4"/>
        <v>0.32722513089005234</v>
      </c>
      <c r="BI12" s="4">
        <f t="shared" si="5"/>
        <v>8.3333333333333329E-2</v>
      </c>
    </row>
    <row r="13" spans="1:61" x14ac:dyDescent="0.3">
      <c r="C13">
        <v>309</v>
      </c>
      <c r="D13" t="s">
        <v>86</v>
      </c>
      <c r="E13" s="4">
        <f>'4.1 Comptes 2020 natures'!E13/'4.1 Comptes 2020 natures'!E2</f>
        <v>5.592307692307692</v>
      </c>
      <c r="F13" s="4">
        <f>'4.1 Comptes 2020 natures'!F13/'4.1 Comptes 2020 natures'!F2</f>
        <v>0.62777777777777777</v>
      </c>
      <c r="G13" s="4">
        <f>'4.1 Comptes 2020 natures'!G13/'4.1 Comptes 2020 natures'!G2</f>
        <v>2.7008247422680416</v>
      </c>
      <c r="H13" s="4">
        <f>'4.1 Comptes 2020 natures'!H13/'4.1 Comptes 2020 natures'!H2</f>
        <v>3.8811659192825112</v>
      </c>
      <c r="I13" s="4">
        <f>'4.1 Comptes 2020 natures'!I13/'4.1 Comptes 2020 natures'!I2</f>
        <v>4.7837510327733401</v>
      </c>
      <c r="J13" s="4">
        <f>'4.1 Comptes 2020 natures'!J13/'4.1 Comptes 2020 natures'!J2</f>
        <v>5.516782372472079</v>
      </c>
      <c r="K13" s="4">
        <f>'4.1 Comptes 2020 natures'!K13/'4.1 Comptes 2020 natures'!K2</f>
        <v>14.164201966717096</v>
      </c>
      <c r="L13" s="4">
        <f>'4.1 Comptes 2020 natures'!L13/'4.1 Comptes 2020 natures'!L2</f>
        <v>19.423140751307656</v>
      </c>
      <c r="M13" s="4">
        <f>'4.1 Comptes 2020 natures'!M13/'4.1 Comptes 2020 natures'!M2</f>
        <v>4.2338439095550697</v>
      </c>
      <c r="N13" s="4">
        <f>'4.1 Comptes 2020 natures'!N13/'4.1 Comptes 2020 natures'!N2</f>
        <v>9.0237288135593214</v>
      </c>
      <c r="O13" s="4">
        <f>'4.1 Comptes 2020 natures'!O13/'4.1 Comptes 2020 natures'!O2</f>
        <v>3.2371703641691085</v>
      </c>
      <c r="P13" s="4">
        <f>'4.1 Comptes 2020 natures'!P13/'4.1 Comptes 2020 natures'!P2</f>
        <v>16.555871212121211</v>
      </c>
      <c r="Q13" s="4">
        <f>'4.1 Comptes 2020 natures'!Q13/'4.1 Comptes 2020 natures'!Q2</f>
        <v>7.3148148148148149</v>
      </c>
      <c r="R13" s="4">
        <f>'4.1 Comptes 2020 natures'!R13/'4.1 Comptes 2020 natures'!R2</f>
        <v>2.0428915662650602</v>
      </c>
      <c r="S13" s="4">
        <f>'4.1 Comptes 2020 natures'!S13/'4.1 Comptes 2020 natures'!S2</f>
        <v>1.369054441260745</v>
      </c>
      <c r="T13" s="4">
        <f>'4.1 Comptes 2020 natures'!T13/'4.1 Comptes 2020 natures'!T2</f>
        <v>0.87372634643377001</v>
      </c>
      <c r="U13" s="4">
        <f>'4.1 Comptes 2020 natures'!U13/'4.1 Comptes 2020 natures'!U2</f>
        <v>3.2549019607843137</v>
      </c>
      <c r="V13" s="4">
        <f>'4.1 Comptes 2020 natures'!V13/'4.1 Comptes 2020 natures'!V2</f>
        <v>5.7229357798165132</v>
      </c>
      <c r="W13" s="4">
        <f>'4.1 Comptes 2020 natures'!W13/'4.1 Comptes 2020 natures'!W2</f>
        <v>5.2047962382445139</v>
      </c>
      <c r="X13" s="4">
        <f>'4.1 Comptes 2020 natures'!X13/'4.1 Comptes 2020 natures'!X2</f>
        <v>5.0692901234567902</v>
      </c>
      <c r="Y13" s="4">
        <f>'4.1 Comptes 2020 natures'!Y13/'4.1 Comptes 2020 natures'!Y2</f>
        <v>4.0174959871589087</v>
      </c>
      <c r="Z13" s="4">
        <f>'4.1 Comptes 2020 natures'!Z13/'4.1 Comptes 2020 natures'!Z2</f>
        <v>12.194633507853403</v>
      </c>
      <c r="AA13" s="4">
        <f>'4.1 Comptes 2020 natures'!AA13/'4.1 Comptes 2020 natures'!AA2</f>
        <v>10.367708333333333</v>
      </c>
      <c r="AB13" s="4">
        <f>'4.1 Comptes 2020 natures'!AB13/'4.1 Comptes 2020 natures'!AB2</f>
        <v>0.40268456375838924</v>
      </c>
      <c r="AC13" s="4">
        <f>'4.1 Comptes 2020 natures'!AC13/'4.1 Comptes 2020 natures'!AC2</f>
        <v>11.152325581395349</v>
      </c>
      <c r="AD13" s="4">
        <f>'4.1 Comptes 2020 natures'!AD13/'4.1 Comptes 2020 natures'!AD2</f>
        <v>12.142771982116244</v>
      </c>
      <c r="AE13" s="4">
        <f>'4.1 Comptes 2020 natures'!AE13/'4.1 Comptes 2020 natures'!AE2</f>
        <v>3.0307692307692307</v>
      </c>
      <c r="AF13" s="4">
        <f>'4.1 Comptes 2020 natures'!AF13/'4.1 Comptes 2020 natures'!AF2</f>
        <v>2.0964285714285715</v>
      </c>
      <c r="AG13" s="4">
        <f>'4.1 Comptes 2020 natures'!AG13/'4.1 Comptes 2020 natures'!AG2</f>
        <v>4.9506792058516202</v>
      </c>
      <c r="AH13" s="4">
        <f>'4.1 Comptes 2020 natures'!AH13/'4.1 Comptes 2020 natures'!AH2</f>
        <v>1.7313575525812619</v>
      </c>
      <c r="AI13" s="4">
        <f>'4.1 Comptes 2020 natures'!AI13/'4.1 Comptes 2020 natures'!AI2</f>
        <v>0.70484581497797361</v>
      </c>
      <c r="AJ13" s="4">
        <f>'4.1 Comptes 2020 natures'!AJ13/'4.1 Comptes 2020 natures'!AJ2</f>
        <v>0</v>
      </c>
      <c r="AK13" s="4">
        <f>'4.1 Comptes 2020 natures'!AK13/'4.1 Comptes 2020 natures'!AK2</f>
        <v>6.8185857519788913</v>
      </c>
      <c r="AL13" s="4">
        <f>'4.1 Comptes 2020 natures'!AL13/'4.1 Comptes 2020 natures'!AL2</f>
        <v>1.5030837004405286</v>
      </c>
      <c r="AM13" s="4">
        <f>'4.1 Comptes 2020 natures'!AM13/'4.1 Comptes 2020 natures'!AM2</f>
        <v>1.3385979049153909</v>
      </c>
      <c r="AN13" s="4">
        <f>'4.1 Comptes 2020 natures'!AN13/'4.1 Comptes 2020 natures'!AN2</f>
        <v>4.632773109243697</v>
      </c>
      <c r="AO13" s="4">
        <f>'4.1 Comptes 2020 natures'!AO13/'4.1 Comptes 2020 natures'!AO2</f>
        <v>13.000711297071129</v>
      </c>
      <c r="AP13" s="4">
        <f>'4.1 Comptes 2020 natures'!AP13/'4.1 Comptes 2020 natures'!AP2</f>
        <v>7.9295625942684769</v>
      </c>
      <c r="AQ13" s="4">
        <f>'4.1 Comptes 2020 natures'!AQ13/'4.1 Comptes 2020 natures'!AQ2</f>
        <v>3.7851937984496122</v>
      </c>
      <c r="AR13" s="4">
        <f>'4.1 Comptes 2020 natures'!AR13/'4.1 Comptes 2020 natures'!AR2</f>
        <v>3.8546714172604908</v>
      </c>
      <c r="AS13" s="4">
        <f>'4.1 Comptes 2020 natures'!AS13/'4.1 Comptes 2020 natures'!AS2</f>
        <v>4.6987837837837834</v>
      </c>
      <c r="AT13" s="4">
        <f>'4.1 Comptes 2020 natures'!AT13/'4.1 Comptes 2020 natures'!AT2</f>
        <v>10.735019455252919</v>
      </c>
      <c r="AU13" s="4">
        <f>'4.1 Comptes 2020 natures'!AU13/'4.1 Comptes 2020 natures'!AU2</f>
        <v>3.8036624203821652</v>
      </c>
      <c r="AV13" s="4">
        <f>'4.1 Comptes 2020 natures'!AV13/'4.1 Comptes 2020 natures'!AV2</f>
        <v>3.8800624999999997</v>
      </c>
      <c r="AW13" s="4">
        <f>'4.1 Comptes 2020 natures'!AW13/'4.1 Comptes 2020 natures'!AW2</f>
        <v>10.099933774834437</v>
      </c>
      <c r="AX13" s="4">
        <f>'4.1 Comptes 2020 natures'!AX13/'4.1 Comptes 2020 natures'!AX2</f>
        <v>4.2331491712707185</v>
      </c>
      <c r="AY13" s="4">
        <f>'4.1 Comptes 2020 natures'!AY13/'4.1 Comptes 2020 natures'!AY2</f>
        <v>1.3438040345821325</v>
      </c>
      <c r="AZ13" s="4">
        <f>'4.1 Comptes 2020 natures'!AZ13/'4.1 Comptes 2020 natures'!AZ2</f>
        <v>3.8051775147928995</v>
      </c>
      <c r="BA13" s="4">
        <f>'4.1 Comptes 2020 natures'!BA13/'4.1 Comptes 2020 natures'!BA2</f>
        <v>3.8113695090439275</v>
      </c>
      <c r="BB13" s="4">
        <f>'4.1 Comptes 2020 natures'!BB13/'4.1 Comptes 2020 natures'!BB2</f>
        <v>15.57043795620438</v>
      </c>
      <c r="BC13" s="4">
        <f>'4.1 Comptes 2020 natures'!BC13/'4.1 Comptes 2020 natures'!BC2</f>
        <v>2.7531914893617024</v>
      </c>
      <c r="BD13" s="4">
        <f>'4.1 Comptes 2020 natures'!BD13/'4.1 Comptes 2020 natures'!BD2</f>
        <v>12.094591234069009</v>
      </c>
      <c r="BE13" s="4">
        <f>'4.1 Comptes 2020 natures'!BE13/'4.1 Comptes 2020 natures'!BE2</f>
        <v>0</v>
      </c>
      <c r="BF13" s="4">
        <f t="shared" si="2"/>
        <v>303.07704057381801</v>
      </c>
      <c r="BG13" s="4">
        <f t="shared" si="3"/>
        <v>115.52368770193061</v>
      </c>
      <c r="BH13" s="4">
        <f t="shared" si="4"/>
        <v>67.860990454681058</v>
      </c>
      <c r="BI13" s="4">
        <f t="shared" si="5"/>
        <v>119.6923624172063</v>
      </c>
    </row>
    <row r="14" spans="1:61" x14ac:dyDescent="0.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3">
      <c r="B15" s="94">
        <v>31</v>
      </c>
      <c r="C15" s="94"/>
      <c r="D15" s="94" t="s">
        <v>87</v>
      </c>
      <c r="E15" s="95">
        <f>E16+E17+E18+E19+E20+E21+E22+E23+E24+E25</f>
        <v>563.03210184182012</v>
      </c>
      <c r="F15" s="95">
        <f t="shared" ref="F15:BI15" si="6">F16+F17+F18+F19+F20+F21+F22+F23+F24+F25</f>
        <v>750.34148148148154</v>
      </c>
      <c r="G15" s="95">
        <f t="shared" si="6"/>
        <v>507.97511340206188</v>
      </c>
      <c r="H15" s="95">
        <f t="shared" si="6"/>
        <v>629.53327354260091</v>
      </c>
      <c r="I15" s="95">
        <f t="shared" si="6"/>
        <v>744.78061966400446</v>
      </c>
      <c r="J15" s="95">
        <f t="shared" si="6"/>
        <v>595.31648354965284</v>
      </c>
      <c r="K15" s="95">
        <f t="shared" si="6"/>
        <v>615.00021558245089</v>
      </c>
      <c r="L15" s="95">
        <f t="shared" si="6"/>
        <v>1574.0885893168488</v>
      </c>
      <c r="M15" s="95">
        <f t="shared" si="6"/>
        <v>1274.3600948212979</v>
      </c>
      <c r="N15" s="95">
        <f t="shared" si="6"/>
        <v>578.93050847457619</v>
      </c>
      <c r="O15" s="95">
        <f t="shared" si="6"/>
        <v>491.162662201758</v>
      </c>
      <c r="P15" s="95">
        <f t="shared" si="6"/>
        <v>925.06420454545457</v>
      </c>
      <c r="Q15" s="95">
        <f t="shared" si="6"/>
        <v>436.48148148148147</v>
      </c>
      <c r="R15" s="95">
        <f t="shared" si="6"/>
        <v>612.52640963855424</v>
      </c>
      <c r="S15" s="95">
        <f t="shared" si="6"/>
        <v>1107.1918051575931</v>
      </c>
      <c r="T15" s="95">
        <f t="shared" si="6"/>
        <v>890.47462882096079</v>
      </c>
      <c r="U15" s="95">
        <f t="shared" si="6"/>
        <v>875.65443137254908</v>
      </c>
      <c r="V15" s="95">
        <f t="shared" si="6"/>
        <v>1294.2118119266056</v>
      </c>
      <c r="W15" s="95">
        <f t="shared" si="6"/>
        <v>565.37773667711588</v>
      </c>
      <c r="X15" s="95">
        <f t="shared" si="6"/>
        <v>1513.9546296296296</v>
      </c>
      <c r="Y15" s="95">
        <f t="shared" si="6"/>
        <v>959.73913322632427</v>
      </c>
      <c r="Z15" s="95">
        <f t="shared" si="6"/>
        <v>1638.8751897905754</v>
      </c>
      <c r="AA15" s="95">
        <f t="shared" si="6"/>
        <v>1423.4024999999997</v>
      </c>
      <c r="AB15" s="95">
        <f t="shared" si="6"/>
        <v>1447.4103355704699</v>
      </c>
      <c r="AC15" s="95">
        <f t="shared" si="6"/>
        <v>1438.2612209302326</v>
      </c>
      <c r="AD15" s="95">
        <f t="shared" si="6"/>
        <v>1208.2533383010432</v>
      </c>
      <c r="AE15" s="95">
        <f t="shared" si="6"/>
        <v>1552.3910314685313</v>
      </c>
      <c r="AF15" s="95">
        <f t="shared" si="6"/>
        <v>1885.1435714285715</v>
      </c>
      <c r="AG15" s="95">
        <f t="shared" si="6"/>
        <v>891.7174764890284</v>
      </c>
      <c r="AH15" s="95">
        <f t="shared" si="6"/>
        <v>949.04541491395798</v>
      </c>
      <c r="AI15" s="95">
        <f t="shared" si="6"/>
        <v>1238.7213656387664</v>
      </c>
      <c r="AJ15" s="95">
        <f t="shared" si="6"/>
        <v>1769.9041984732823</v>
      </c>
      <c r="AK15" s="95">
        <f t="shared" si="6"/>
        <v>674.29119261213714</v>
      </c>
      <c r="AL15" s="95">
        <f t="shared" si="6"/>
        <v>1285.0181674008809</v>
      </c>
      <c r="AM15" s="95">
        <f t="shared" si="6"/>
        <v>819.19207896857381</v>
      </c>
      <c r="AN15" s="95">
        <f t="shared" si="6"/>
        <v>1140.8404201680673</v>
      </c>
      <c r="AO15" s="95">
        <f t="shared" si="6"/>
        <v>1240.3332552301254</v>
      </c>
      <c r="AP15" s="95">
        <f t="shared" si="6"/>
        <v>776.62193061840117</v>
      </c>
      <c r="AQ15" s="95">
        <f t="shared" si="6"/>
        <v>704.36345736434112</v>
      </c>
      <c r="AR15" s="95">
        <f t="shared" si="6"/>
        <v>1183.4750514647667</v>
      </c>
      <c r="AS15" s="95">
        <f t="shared" si="6"/>
        <v>715.8382162162161</v>
      </c>
      <c r="AT15" s="95">
        <f t="shared" si="6"/>
        <v>673.42193579766536</v>
      </c>
      <c r="AU15" s="95">
        <f t="shared" si="6"/>
        <v>1269.7637579617833</v>
      </c>
      <c r="AV15" s="95">
        <f t="shared" si="6"/>
        <v>726.71493333333342</v>
      </c>
      <c r="AW15" s="95">
        <f t="shared" si="6"/>
        <v>728.41806622516549</v>
      </c>
      <c r="AX15" s="95">
        <f t="shared" si="6"/>
        <v>782.33005524861881</v>
      </c>
      <c r="AY15" s="95">
        <f t="shared" si="6"/>
        <v>1112.8106340057636</v>
      </c>
      <c r="AZ15" s="95">
        <f t="shared" si="6"/>
        <v>610.54715976331352</v>
      </c>
      <c r="BA15" s="95">
        <f t="shared" si="6"/>
        <v>1330.8124031007753</v>
      </c>
      <c r="BB15" s="95">
        <f t="shared" si="6"/>
        <v>929.13083941605851</v>
      </c>
      <c r="BC15" s="95">
        <f t="shared" si="6"/>
        <v>733.11361702127658</v>
      </c>
      <c r="BD15" s="95">
        <f t="shared" si="6"/>
        <v>981.10666925707187</v>
      </c>
      <c r="BE15" s="95">
        <f t="shared" si="6"/>
        <v>748.88973214285716</v>
      </c>
      <c r="BF15" s="95">
        <f t="shared" si="6"/>
        <v>52115.35663267647</v>
      </c>
      <c r="BG15" s="95">
        <f t="shared" si="6"/>
        <v>15031.503653498865</v>
      </c>
      <c r="BH15" s="95">
        <f t="shared" si="6"/>
        <v>17916.81940586042</v>
      </c>
      <c r="BI15" s="95">
        <f t="shared" si="6"/>
        <v>19167.033573317196</v>
      </c>
    </row>
    <row r="16" spans="1:61" x14ac:dyDescent="0.3">
      <c r="C16">
        <v>310</v>
      </c>
      <c r="D16" t="s">
        <v>88</v>
      </c>
      <c r="E16" s="4">
        <f>'4.1 Comptes 2020 natures'!E16/'4.1 Comptes 2020 natures'!E2</f>
        <v>59.82329360780065</v>
      </c>
      <c r="F16" s="4">
        <f>'4.1 Comptes 2020 natures'!F16/'4.1 Comptes 2020 natures'!F2</f>
        <v>65.826666666666668</v>
      </c>
      <c r="G16" s="4">
        <f>'4.1 Comptes 2020 natures'!G16/'4.1 Comptes 2020 natures'!G2</f>
        <v>27.173195876288659</v>
      </c>
      <c r="H16" s="4">
        <f>'4.1 Comptes 2020 natures'!H16/'4.1 Comptes 2020 natures'!H2</f>
        <v>65.062892376681617</v>
      </c>
      <c r="I16" s="4">
        <f>'4.1 Comptes 2020 natures'!I16/'4.1 Comptes 2020 natures'!I2</f>
        <v>82.48185072982649</v>
      </c>
      <c r="J16" s="4">
        <f>'4.1 Comptes 2020 natures'!J16/'4.1 Comptes 2020 natures'!J2</f>
        <v>84.562312103833378</v>
      </c>
      <c r="K16" s="4">
        <f>'4.1 Comptes 2020 natures'!K16/'4.1 Comptes 2020 natures'!K2</f>
        <v>87.962341149773067</v>
      </c>
      <c r="L16" s="4">
        <f>'4.1 Comptes 2020 natures'!L16/'4.1 Comptes 2020 natures'!L2</f>
        <v>143.70477413219211</v>
      </c>
      <c r="M16" s="4">
        <f>'4.1 Comptes 2020 natures'!M16/'4.1 Comptes 2020 natures'!M2</f>
        <v>142.72020423048869</v>
      </c>
      <c r="N16" s="4">
        <f>'4.1 Comptes 2020 natures'!N16/'4.1 Comptes 2020 natures'!N2</f>
        <v>74.42542372881357</v>
      </c>
      <c r="O16" s="4">
        <f>'4.1 Comptes 2020 natures'!O16/'4.1 Comptes 2020 natures'!O2</f>
        <v>72.782468257290361</v>
      </c>
      <c r="P16" s="4">
        <f>'4.1 Comptes 2020 natures'!P16/'4.1 Comptes 2020 natures'!P2</f>
        <v>111.25996212121213</v>
      </c>
      <c r="Q16" s="4">
        <f>'4.1 Comptes 2020 natures'!Q16/'4.1 Comptes 2020 natures'!Q2</f>
        <v>78.054166666666674</v>
      </c>
      <c r="R16" s="4">
        <f>'4.1 Comptes 2020 natures'!R16/'4.1 Comptes 2020 natures'!R2</f>
        <v>81.903253012048182</v>
      </c>
      <c r="S16" s="4">
        <f>'4.1 Comptes 2020 natures'!S16/'4.1 Comptes 2020 natures'!S2</f>
        <v>114.14025787965615</v>
      </c>
      <c r="T16" s="4">
        <f>'4.1 Comptes 2020 natures'!T16/'4.1 Comptes 2020 natures'!T2</f>
        <v>81.642823871906842</v>
      </c>
      <c r="U16" s="4">
        <f>'4.1 Comptes 2020 natures'!U16/'4.1 Comptes 2020 natures'!U2</f>
        <v>70.473647058823531</v>
      </c>
      <c r="V16" s="4">
        <f>'4.1 Comptes 2020 natures'!V16/'4.1 Comptes 2020 natures'!V2</f>
        <v>99.298417431192661</v>
      </c>
      <c r="W16" s="4">
        <f>'4.1 Comptes 2020 natures'!W16/'4.1 Comptes 2020 natures'!W2</f>
        <v>74.700648902821314</v>
      </c>
      <c r="X16" s="4">
        <f>'4.1 Comptes 2020 natures'!X16/'4.1 Comptes 2020 natures'!X2</f>
        <v>238.6633024691358</v>
      </c>
      <c r="Y16" s="4">
        <f>'4.1 Comptes 2020 natures'!Y16/'4.1 Comptes 2020 natures'!Y2</f>
        <v>118.43430979133225</v>
      </c>
      <c r="Z16" s="4">
        <f>'4.1 Comptes 2020 natures'!Z16/'4.1 Comptes 2020 natures'!Z2</f>
        <v>211.49035340314137</v>
      </c>
      <c r="AA16" s="4">
        <f>'4.1 Comptes 2020 natures'!AA16/'4.1 Comptes 2020 natures'!AA2</f>
        <v>41.760937500000004</v>
      </c>
      <c r="AB16" s="4">
        <f>'4.1 Comptes 2020 natures'!AB16/'4.1 Comptes 2020 natures'!AB2</f>
        <v>164.13932885906038</v>
      </c>
      <c r="AC16" s="4">
        <f>'4.1 Comptes 2020 natures'!AC16/'4.1 Comptes 2020 natures'!AC2</f>
        <v>184.09211240310077</v>
      </c>
      <c r="AD16" s="4">
        <f>'4.1 Comptes 2020 natures'!AD16/'4.1 Comptes 2020 natures'!AD2</f>
        <v>97.532712369597604</v>
      </c>
      <c r="AE16" s="4">
        <f>'4.1 Comptes 2020 natures'!AE16/'4.1 Comptes 2020 natures'!AE2</f>
        <v>113.44423076923077</v>
      </c>
      <c r="AF16" s="4">
        <f>'4.1 Comptes 2020 natures'!AF16/'4.1 Comptes 2020 natures'!AF2</f>
        <v>193.70377551020408</v>
      </c>
      <c r="AG16" s="4">
        <f>'4.1 Comptes 2020 natures'!AG16/'4.1 Comptes 2020 natures'!AG2</f>
        <v>120.79507314524555</v>
      </c>
      <c r="AH16" s="4">
        <f>'4.1 Comptes 2020 natures'!AH16/'4.1 Comptes 2020 natures'!AH2</f>
        <v>144.68154875717016</v>
      </c>
      <c r="AI16" s="4">
        <f>'4.1 Comptes 2020 natures'!AI16/'4.1 Comptes 2020 natures'!AI2</f>
        <v>23.456607929515418</v>
      </c>
      <c r="AJ16" s="4">
        <f>'4.1 Comptes 2020 natures'!AJ16/'4.1 Comptes 2020 natures'!AJ2</f>
        <v>184.29541984732825</v>
      </c>
      <c r="AK16" s="4">
        <f>'4.1 Comptes 2020 natures'!AK16/'4.1 Comptes 2020 natures'!AK2</f>
        <v>118.40589445910291</v>
      </c>
      <c r="AL16" s="4">
        <f>'4.1 Comptes 2020 natures'!AL16/'4.1 Comptes 2020 natures'!AL2</f>
        <v>94.484378854625561</v>
      </c>
      <c r="AM16" s="4">
        <f>'4.1 Comptes 2020 natures'!AM16/'4.1 Comptes 2020 natures'!AM2</f>
        <v>42.847566478646257</v>
      </c>
      <c r="AN16" s="4">
        <f>'4.1 Comptes 2020 natures'!AN16/'4.1 Comptes 2020 natures'!AN2</f>
        <v>182.86512605042017</v>
      </c>
      <c r="AO16" s="4">
        <f>'4.1 Comptes 2020 natures'!AO16/'4.1 Comptes 2020 natures'!AO2</f>
        <v>183.70391631799163</v>
      </c>
      <c r="AP16" s="4">
        <f>'4.1 Comptes 2020 natures'!AP16/'4.1 Comptes 2020 natures'!AP2</f>
        <v>103.935173453997</v>
      </c>
      <c r="AQ16" s="4">
        <f>'4.1 Comptes 2020 natures'!AQ16/'4.1 Comptes 2020 natures'!AQ2</f>
        <v>20.295736434108527</v>
      </c>
      <c r="AR16" s="4">
        <f>'4.1 Comptes 2020 natures'!AR16/'4.1 Comptes 2020 natures'!AR2</f>
        <v>73.917062549485351</v>
      </c>
      <c r="AS16" s="4">
        <f>'4.1 Comptes 2020 natures'!AS16/'4.1 Comptes 2020 natures'!AS2</f>
        <v>103.45966216216216</v>
      </c>
      <c r="AT16" s="4">
        <f>'4.1 Comptes 2020 natures'!AT16/'4.1 Comptes 2020 natures'!AT2</f>
        <v>102.48043774319066</v>
      </c>
      <c r="AU16" s="4">
        <f>'4.1 Comptes 2020 natures'!AU16/'4.1 Comptes 2020 natures'!AU2</f>
        <v>81.338343949044585</v>
      </c>
      <c r="AV16" s="4">
        <f>'4.1 Comptes 2020 natures'!AV16/'4.1 Comptes 2020 natures'!AV2</f>
        <v>75.206520833333329</v>
      </c>
      <c r="AW16" s="4">
        <f>'4.1 Comptes 2020 natures'!AW16/'4.1 Comptes 2020 natures'!AW2</f>
        <v>47.180927152317878</v>
      </c>
      <c r="AX16" s="4">
        <f>'4.1 Comptes 2020 natures'!AX16/'4.1 Comptes 2020 natures'!AX2</f>
        <v>81.021049723756903</v>
      </c>
      <c r="AY16" s="4">
        <f>'4.1 Comptes 2020 natures'!AY16/'4.1 Comptes 2020 natures'!AY2</f>
        <v>242.5621037463977</v>
      </c>
      <c r="AZ16" s="4">
        <f>'4.1 Comptes 2020 natures'!AZ16/'4.1 Comptes 2020 natures'!AZ2</f>
        <v>44.66591715976331</v>
      </c>
      <c r="BA16" s="4">
        <f>'4.1 Comptes 2020 natures'!BA16/'4.1 Comptes 2020 natures'!BA2</f>
        <v>51.685374677002585</v>
      </c>
      <c r="BB16" s="4">
        <f>'4.1 Comptes 2020 natures'!BB16/'4.1 Comptes 2020 natures'!BB2</f>
        <v>87.388804744525558</v>
      </c>
      <c r="BC16" s="4">
        <f>'4.1 Comptes 2020 natures'!BC16/'4.1 Comptes 2020 natures'!BC2</f>
        <v>21.396542553191491</v>
      </c>
      <c r="BD16" s="4">
        <f>'4.1 Comptes 2020 natures'!BD16/'4.1 Comptes 2020 natures'!BD2</f>
        <v>112.21865247124651</v>
      </c>
      <c r="BE16" s="4">
        <f>'4.1 Comptes 2020 natures'!BE16/'4.1 Comptes 2020 natures'!BE2</f>
        <v>116.65603571428571</v>
      </c>
      <c r="BF16" s="4">
        <f>SUM(E16:BE16)</f>
        <v>5442.2035397866393</v>
      </c>
      <c r="BG16" s="4">
        <f t="shared" ref="BG16:BG25" si="7">SUM(E16:W16)</f>
        <v>1617.9985998039829</v>
      </c>
      <c r="BH16" s="4">
        <f t="shared" ref="BH16:BH25" si="8">SUM(X16:AJ16)</f>
        <v>1836.4897127540628</v>
      </c>
      <c r="BI16" s="4">
        <f t="shared" ref="BI16:BI25" si="9">SUM(AK16:BE16)</f>
        <v>1987.7152272285957</v>
      </c>
    </row>
    <row r="17" spans="2:61" x14ac:dyDescent="0.3">
      <c r="C17">
        <v>311</v>
      </c>
      <c r="D17" t="s">
        <v>89</v>
      </c>
      <c r="E17" s="4">
        <f>'4.1 Comptes 2020 natures'!E17/'4.1 Comptes 2020 natures'!E2</f>
        <v>61.002221018418204</v>
      </c>
      <c r="F17" s="4">
        <f>'4.1 Comptes 2020 natures'!F17/'4.1 Comptes 2020 natures'!F2</f>
        <v>12.597407407407408</v>
      </c>
      <c r="G17" s="4">
        <f>'4.1 Comptes 2020 natures'!G17/'4.1 Comptes 2020 natures'!G2</f>
        <v>26.96536082474227</v>
      </c>
      <c r="H17" s="4">
        <f>'4.1 Comptes 2020 natures'!H17/'4.1 Comptes 2020 natures'!H2</f>
        <v>31.009641255605381</v>
      </c>
      <c r="I17" s="4">
        <f>'4.1 Comptes 2020 natures'!I17/'4.1 Comptes 2020 natures'!I2</f>
        <v>25.383337923437068</v>
      </c>
      <c r="J17" s="4">
        <f>'4.1 Comptes 2020 natures'!J17/'4.1 Comptes 2020 natures'!J2</f>
        <v>7.164699667974646</v>
      </c>
      <c r="K17" s="4">
        <f>'4.1 Comptes 2020 natures'!K17/'4.1 Comptes 2020 natures'!K2</f>
        <v>11.458074886535552</v>
      </c>
      <c r="L17" s="4">
        <f>'4.1 Comptes 2020 natures'!L17/'4.1 Comptes 2020 natures'!L2</f>
        <v>46.666480424789981</v>
      </c>
      <c r="M17" s="4">
        <f>'4.1 Comptes 2020 natures'!M17/'4.1 Comptes 2020 natures'!M2</f>
        <v>112.74135667396061</v>
      </c>
      <c r="N17" s="4">
        <f>'4.1 Comptes 2020 natures'!N17/'4.1 Comptes 2020 natures'!N2</f>
        <v>44.918644067796606</v>
      </c>
      <c r="O17" s="4">
        <f>'4.1 Comptes 2020 natures'!O17/'4.1 Comptes 2020 natures'!O2</f>
        <v>16.949289800474396</v>
      </c>
      <c r="P17" s="4">
        <f>'4.1 Comptes 2020 natures'!P17/'4.1 Comptes 2020 natures'!P2</f>
        <v>46.978977272727278</v>
      </c>
      <c r="Q17" s="4">
        <f>'4.1 Comptes 2020 natures'!Q17/'4.1 Comptes 2020 natures'!Q2</f>
        <v>1.8347222222222224</v>
      </c>
      <c r="R17" s="4">
        <f>'4.1 Comptes 2020 natures'!R17/'4.1 Comptes 2020 natures'!R2</f>
        <v>2.495542168674699</v>
      </c>
      <c r="S17" s="4">
        <f>'4.1 Comptes 2020 natures'!S17/'4.1 Comptes 2020 natures'!S2</f>
        <v>13.184957020057308</v>
      </c>
      <c r="T17" s="4">
        <f>'4.1 Comptes 2020 natures'!T17/'4.1 Comptes 2020 natures'!T2</f>
        <v>28.770960698689958</v>
      </c>
      <c r="U17" s="4">
        <f>'4.1 Comptes 2020 natures'!U17/'4.1 Comptes 2020 natures'!U2</f>
        <v>26.417058823529413</v>
      </c>
      <c r="V17" s="4">
        <f>'4.1 Comptes 2020 natures'!V17/'4.1 Comptes 2020 natures'!V2</f>
        <v>74.317316513761469</v>
      </c>
      <c r="W17" s="4">
        <f>'4.1 Comptes 2020 natures'!W17/'4.1 Comptes 2020 natures'!W2</f>
        <v>20.617680250783696</v>
      </c>
      <c r="X17" s="4">
        <f>'4.1 Comptes 2020 natures'!X17/'4.1 Comptes 2020 natures'!X2</f>
        <v>19.915432098765432</v>
      </c>
      <c r="Y17" s="4">
        <f>'4.1 Comptes 2020 natures'!Y17/'4.1 Comptes 2020 natures'!Y2</f>
        <v>21.339935794542537</v>
      </c>
      <c r="Z17" s="4">
        <f>'4.1 Comptes 2020 natures'!Z17/'4.1 Comptes 2020 natures'!Z2</f>
        <v>27.033049738219894</v>
      </c>
      <c r="AA17" s="4">
        <f>'4.1 Comptes 2020 natures'!AA17/'4.1 Comptes 2020 natures'!AA2</f>
        <v>0</v>
      </c>
      <c r="AB17" s="4">
        <f>'4.1 Comptes 2020 natures'!AB17/'4.1 Comptes 2020 natures'!AB2</f>
        <v>1.3422818791946309</v>
      </c>
      <c r="AC17" s="4">
        <f>'4.1 Comptes 2020 natures'!AC17/'4.1 Comptes 2020 natures'!AC2</f>
        <v>34.228003875968994</v>
      </c>
      <c r="AD17" s="4">
        <f>'4.1 Comptes 2020 natures'!AD17/'4.1 Comptes 2020 natures'!AD2</f>
        <v>93.830387481371091</v>
      </c>
      <c r="AE17" s="4">
        <f>'4.1 Comptes 2020 natures'!AE17/'4.1 Comptes 2020 natures'!AE2</f>
        <v>35.452709790209795</v>
      </c>
      <c r="AF17" s="4">
        <f>'4.1 Comptes 2020 natures'!AF17/'4.1 Comptes 2020 natures'!AF2</f>
        <v>98.398775510204089</v>
      </c>
      <c r="AG17" s="4">
        <f>'4.1 Comptes 2020 natures'!AG17/'4.1 Comptes 2020 natures'!AG2</f>
        <v>42.258855799373038</v>
      </c>
      <c r="AH17" s="4">
        <f>'4.1 Comptes 2020 natures'!AH17/'4.1 Comptes 2020 natures'!AH2</f>
        <v>14.53068068833652</v>
      </c>
      <c r="AI17" s="4">
        <f>'4.1 Comptes 2020 natures'!AI17/'4.1 Comptes 2020 natures'!AI2</f>
        <v>2.3524229074889869</v>
      </c>
      <c r="AJ17" s="4">
        <f>'4.1 Comptes 2020 natures'!AJ17/'4.1 Comptes 2020 natures'!AJ2</f>
        <v>7.6335877862595423</v>
      </c>
      <c r="AK17" s="4">
        <f>'4.1 Comptes 2020 natures'!AK17/'4.1 Comptes 2020 natures'!AK2</f>
        <v>62.975350923482843</v>
      </c>
      <c r="AL17" s="4">
        <f>'4.1 Comptes 2020 natures'!AL17/'4.1 Comptes 2020 natures'!AL2</f>
        <v>3.8803083700440526</v>
      </c>
      <c r="AM17" s="4">
        <f>'4.1 Comptes 2020 natures'!AM17/'4.1 Comptes 2020 natures'!AM2</f>
        <v>15.691337630942789</v>
      </c>
      <c r="AN17" s="4">
        <f>'4.1 Comptes 2020 natures'!AN17/'4.1 Comptes 2020 natures'!AN2</f>
        <v>122.10714285714286</v>
      </c>
      <c r="AO17" s="4">
        <f>'4.1 Comptes 2020 natures'!AO17/'4.1 Comptes 2020 natures'!AO2</f>
        <v>28.065464435146446</v>
      </c>
      <c r="AP17" s="4">
        <f>'4.1 Comptes 2020 natures'!AP17/'4.1 Comptes 2020 natures'!AP2</f>
        <v>24.809653092006034</v>
      </c>
      <c r="AQ17" s="4">
        <f>'4.1 Comptes 2020 natures'!AQ17/'4.1 Comptes 2020 natures'!AQ2</f>
        <v>27.057364341085272</v>
      </c>
      <c r="AR17" s="4">
        <f>'4.1 Comptes 2020 natures'!AR17/'4.1 Comptes 2020 natures'!AR2</f>
        <v>59.64330958036421</v>
      </c>
      <c r="AS17" s="4">
        <f>'4.1 Comptes 2020 natures'!AS17/'4.1 Comptes 2020 natures'!AS2</f>
        <v>45.376216216216221</v>
      </c>
      <c r="AT17" s="4">
        <f>'4.1 Comptes 2020 natures'!AT17/'4.1 Comptes 2020 natures'!AT2</f>
        <v>77.20700389105059</v>
      </c>
      <c r="AU17" s="4">
        <f>'4.1 Comptes 2020 natures'!AU17/'4.1 Comptes 2020 natures'!AU2</f>
        <v>89.647133757961782</v>
      </c>
      <c r="AV17" s="4">
        <f>'4.1 Comptes 2020 natures'!AV17/'4.1 Comptes 2020 natures'!AV2</f>
        <v>48.710666666666668</v>
      </c>
      <c r="AW17" s="4">
        <f>'4.1 Comptes 2020 natures'!AW17/'4.1 Comptes 2020 natures'!AW2</f>
        <v>5.3941721854304632</v>
      </c>
      <c r="AX17" s="4">
        <f>'4.1 Comptes 2020 natures'!AX17/'4.1 Comptes 2020 natures'!AX2</f>
        <v>0.49171270718232046</v>
      </c>
      <c r="AY17" s="4">
        <f>'4.1 Comptes 2020 natures'!AY17/'4.1 Comptes 2020 natures'!AY2</f>
        <v>16.147262247838619</v>
      </c>
      <c r="AZ17" s="4">
        <f>'4.1 Comptes 2020 natures'!AZ17/'4.1 Comptes 2020 natures'!AZ2</f>
        <v>23.213668639053253</v>
      </c>
      <c r="BA17" s="4">
        <f>'4.1 Comptes 2020 natures'!BA17/'4.1 Comptes 2020 natures'!BA2</f>
        <v>78.986046511627904</v>
      </c>
      <c r="BB17" s="4">
        <f>'4.1 Comptes 2020 natures'!BB17/'4.1 Comptes 2020 natures'!BB2</f>
        <v>73.688156934306576</v>
      </c>
      <c r="BC17" s="4">
        <f>'4.1 Comptes 2020 natures'!BC17/'4.1 Comptes 2020 natures'!BC2</f>
        <v>0</v>
      </c>
      <c r="BD17" s="4">
        <f>'4.1 Comptes 2020 natures'!BD17/'4.1 Comptes 2020 natures'!BD2</f>
        <v>21.988800124339448</v>
      </c>
      <c r="BE17" s="4">
        <f>'4.1 Comptes 2020 natures'!BE17/'4.1 Comptes 2020 natures'!BE2</f>
        <v>132.3125</v>
      </c>
      <c r="BF17" s="4">
        <f t="shared" ref="BF17:BF25" si="10">SUM(E17:BE17)</f>
        <v>1967.1831233834109</v>
      </c>
      <c r="BG17" s="4">
        <f t="shared" si="7"/>
        <v>611.47372892158819</v>
      </c>
      <c r="BH17" s="4">
        <f t="shared" si="8"/>
        <v>398.31612334993457</v>
      </c>
      <c r="BI17" s="4">
        <f t="shared" si="9"/>
        <v>957.39327111188834</v>
      </c>
    </row>
    <row r="18" spans="2:61" x14ac:dyDescent="0.3">
      <c r="C18">
        <v>312</v>
      </c>
      <c r="D18" t="s">
        <v>90</v>
      </c>
      <c r="E18" s="4">
        <f>'4.1 Comptes 2020 natures'!E18/'4.1 Comptes 2020 natures'!E2</f>
        <v>72.245232936078011</v>
      </c>
      <c r="F18" s="4">
        <f>'4.1 Comptes 2020 natures'!F18/'4.1 Comptes 2020 natures'!F2</f>
        <v>193.80185185185186</v>
      </c>
      <c r="G18" s="4">
        <f>'4.1 Comptes 2020 natures'!G18/'4.1 Comptes 2020 natures'!G2</f>
        <v>48.855257731958758</v>
      </c>
      <c r="H18" s="4">
        <f>'4.1 Comptes 2020 natures'!H18/'4.1 Comptes 2020 natures'!H2</f>
        <v>50.096973094170401</v>
      </c>
      <c r="I18" s="4">
        <f>'4.1 Comptes 2020 natures'!I18/'4.1 Comptes 2020 natures'!I2</f>
        <v>213.00115670614156</v>
      </c>
      <c r="J18" s="4">
        <f>'4.1 Comptes 2020 natures'!J18/'4.1 Comptes 2020 natures'!J2</f>
        <v>200.24675520676124</v>
      </c>
      <c r="K18" s="4">
        <f>'4.1 Comptes 2020 natures'!K18/'4.1 Comptes 2020 natures'!K2</f>
        <v>137.31208396369138</v>
      </c>
      <c r="L18" s="4">
        <f>'4.1 Comptes 2020 natures'!L18/'4.1 Comptes 2020 natures'!L2</f>
        <v>861.646269614836</v>
      </c>
      <c r="M18" s="4">
        <f>'4.1 Comptes 2020 natures'!M18/'4.1 Comptes 2020 natures'!M2</f>
        <v>621.70751276440558</v>
      </c>
      <c r="N18" s="4">
        <f>'4.1 Comptes 2020 natures'!N18/'4.1 Comptes 2020 natures'!N2</f>
        <v>104.0478813559322</v>
      </c>
      <c r="O18" s="4">
        <f>'4.1 Comptes 2020 natures'!O18/'4.1 Comptes 2020 natures'!O2</f>
        <v>65.625963443560764</v>
      </c>
      <c r="P18" s="4">
        <f>'4.1 Comptes 2020 natures'!P18/'4.1 Comptes 2020 natures'!P2</f>
        <v>67.588920454545445</v>
      </c>
      <c r="Q18" s="4">
        <f>'4.1 Comptes 2020 natures'!Q18/'4.1 Comptes 2020 natures'!Q2</f>
        <v>86.443518518518516</v>
      </c>
      <c r="R18" s="4">
        <f>'4.1 Comptes 2020 natures'!R18/'4.1 Comptes 2020 natures'!R2</f>
        <v>100.43795180722891</v>
      </c>
      <c r="S18" s="4">
        <f>'4.1 Comptes 2020 natures'!S18/'4.1 Comptes 2020 natures'!S2</f>
        <v>111.50974212034384</v>
      </c>
      <c r="T18" s="4">
        <f>'4.1 Comptes 2020 natures'!T18/'4.1 Comptes 2020 natures'!T2</f>
        <v>245.97467248908299</v>
      </c>
      <c r="U18" s="4">
        <f>'4.1 Comptes 2020 natures'!U18/'4.1 Comptes 2020 natures'!U2</f>
        <v>244.27737254901962</v>
      </c>
      <c r="V18" s="4">
        <f>'4.1 Comptes 2020 natures'!V18/'4.1 Comptes 2020 natures'!V2</f>
        <v>108.48635321100917</v>
      </c>
      <c r="W18" s="4">
        <f>'4.1 Comptes 2020 natures'!W18/'4.1 Comptes 2020 natures'!W2</f>
        <v>80.440981191222576</v>
      </c>
      <c r="X18" s="4">
        <f>'4.1 Comptes 2020 natures'!X18/'4.1 Comptes 2020 natures'!X2</f>
        <v>414.28209876543207</v>
      </c>
      <c r="Y18" s="4">
        <f>'4.1 Comptes 2020 natures'!Y18/'4.1 Comptes 2020 natures'!Y2</f>
        <v>196.83956661316213</v>
      </c>
      <c r="Z18" s="4">
        <f>'4.1 Comptes 2020 natures'!Z18/'4.1 Comptes 2020 natures'!Z2</f>
        <v>253.57054973821988</v>
      </c>
      <c r="AA18" s="4">
        <f>'4.1 Comptes 2020 natures'!AA18/'4.1 Comptes 2020 natures'!AA2</f>
        <v>472.65625</v>
      </c>
      <c r="AB18" s="4">
        <f>'4.1 Comptes 2020 natures'!AB18/'4.1 Comptes 2020 natures'!AB2</f>
        <v>253.6771812080537</v>
      </c>
      <c r="AC18" s="4">
        <f>'4.1 Comptes 2020 natures'!AC18/'4.1 Comptes 2020 natures'!AC2</f>
        <v>260.87131782945738</v>
      </c>
      <c r="AD18" s="4">
        <f>'4.1 Comptes 2020 natures'!AD18/'4.1 Comptes 2020 natures'!AD2</f>
        <v>237.68286140089421</v>
      </c>
      <c r="AE18" s="4">
        <f>'4.1 Comptes 2020 natures'!AE18/'4.1 Comptes 2020 natures'!AE2</f>
        <v>368.34938811188812</v>
      </c>
      <c r="AF18" s="4">
        <f>'4.1 Comptes 2020 natures'!AF18/'4.1 Comptes 2020 natures'!AF2</f>
        <v>275.13183673469388</v>
      </c>
      <c r="AG18" s="4">
        <f>'4.1 Comptes 2020 natures'!AG18/'4.1 Comptes 2020 natures'!AG2</f>
        <v>160.26037095088819</v>
      </c>
      <c r="AH18" s="4">
        <f>'4.1 Comptes 2020 natures'!AH18/'4.1 Comptes 2020 natures'!AH2</f>
        <v>222.74116634799236</v>
      </c>
      <c r="AI18" s="4">
        <f>'4.1 Comptes 2020 natures'!AI18/'4.1 Comptes 2020 natures'!AI2</f>
        <v>428.90000000000003</v>
      </c>
      <c r="AJ18" s="4">
        <f>'4.1 Comptes 2020 natures'!AJ18/'4.1 Comptes 2020 natures'!AJ2</f>
        <v>243.86106870229008</v>
      </c>
      <c r="AK18" s="4">
        <f>'4.1 Comptes 2020 natures'!AK18/'4.1 Comptes 2020 natures'!AK2</f>
        <v>62.134300791556726</v>
      </c>
      <c r="AL18" s="4">
        <f>'4.1 Comptes 2020 natures'!AL18/'4.1 Comptes 2020 natures'!AL2</f>
        <v>90.470088105726873</v>
      </c>
      <c r="AM18" s="4">
        <f>'4.1 Comptes 2020 natures'!AM18/'4.1 Comptes 2020 natures'!AM2</f>
        <v>214.58158742949234</v>
      </c>
      <c r="AN18" s="4">
        <f>'4.1 Comptes 2020 natures'!AN18/'4.1 Comptes 2020 natures'!AN2</f>
        <v>244.16428571428571</v>
      </c>
      <c r="AO18" s="4">
        <f>'4.1 Comptes 2020 natures'!AO18/'4.1 Comptes 2020 natures'!AO2</f>
        <v>262.03033472803349</v>
      </c>
      <c r="AP18" s="4">
        <f>'4.1 Comptes 2020 natures'!AP18/'4.1 Comptes 2020 natures'!AP2</f>
        <v>411.02941176470586</v>
      </c>
      <c r="AQ18" s="4">
        <f>'4.1 Comptes 2020 natures'!AQ18/'4.1 Comptes 2020 natures'!AQ2</f>
        <v>165.9139534883721</v>
      </c>
      <c r="AR18" s="4">
        <f>'4.1 Comptes 2020 natures'!AR18/'4.1 Comptes 2020 natures'!AR2</f>
        <v>150.74612034837688</v>
      </c>
      <c r="AS18" s="4">
        <f>'4.1 Comptes 2020 natures'!AS18/'4.1 Comptes 2020 natures'!AS2</f>
        <v>165.48182432432432</v>
      </c>
      <c r="AT18" s="4">
        <f>'4.1 Comptes 2020 natures'!AT18/'4.1 Comptes 2020 natures'!AT2</f>
        <v>119.96191634241245</v>
      </c>
      <c r="AU18" s="4">
        <f>'4.1 Comptes 2020 natures'!AU18/'4.1 Comptes 2020 natures'!AU2</f>
        <v>199.25238853503186</v>
      </c>
      <c r="AV18" s="4">
        <f>'4.1 Comptes 2020 natures'!AV18/'4.1 Comptes 2020 natures'!AV2</f>
        <v>147.70691666666664</v>
      </c>
      <c r="AW18" s="4">
        <f>'4.1 Comptes 2020 natures'!AW18/'4.1 Comptes 2020 natures'!AW2</f>
        <v>50.875430463576159</v>
      </c>
      <c r="AX18" s="4">
        <f>'4.1 Comptes 2020 natures'!AX18/'4.1 Comptes 2020 natures'!AX2</f>
        <v>225.29613259668508</v>
      </c>
      <c r="AY18" s="4">
        <f>'4.1 Comptes 2020 natures'!AY18/'4.1 Comptes 2020 natures'!AY2</f>
        <v>238.16959654178677</v>
      </c>
      <c r="AZ18" s="4">
        <f>'4.1 Comptes 2020 natures'!AZ18/'4.1 Comptes 2020 natures'!AZ2</f>
        <v>161.90381656804735</v>
      </c>
      <c r="BA18" s="4">
        <f>'4.1 Comptes 2020 natures'!BA18/'4.1 Comptes 2020 natures'!BA2</f>
        <v>146.62739018087856</v>
      </c>
      <c r="BB18" s="4">
        <f>'4.1 Comptes 2020 natures'!BB18/'4.1 Comptes 2020 natures'!BB2</f>
        <v>229.69147810218976</v>
      </c>
      <c r="BC18" s="4">
        <f>'4.1 Comptes 2020 natures'!BC18/'4.1 Comptes 2020 natures'!BC2</f>
        <v>203.48739361702127</v>
      </c>
      <c r="BD18" s="4">
        <f>'4.1 Comptes 2020 natures'!BD18/'4.1 Comptes 2020 natures'!BD2</f>
        <v>140.28226142368666</v>
      </c>
      <c r="BE18" s="4">
        <f>'4.1 Comptes 2020 natures'!BE18/'4.1 Comptes 2020 natures'!BE2</f>
        <v>64.919732142857143</v>
      </c>
      <c r="BF18" s="4">
        <f t="shared" si="10"/>
        <v>11097.296467289043</v>
      </c>
      <c r="BG18" s="4">
        <f t="shared" si="7"/>
        <v>3613.7464510103587</v>
      </c>
      <c r="BH18" s="4">
        <f t="shared" si="8"/>
        <v>3788.8236564029721</v>
      </c>
      <c r="BI18" s="4">
        <f t="shared" si="9"/>
        <v>3694.726359875714</v>
      </c>
    </row>
    <row r="19" spans="2:61" x14ac:dyDescent="0.3">
      <c r="C19">
        <v>313</v>
      </c>
      <c r="D19" t="s">
        <v>91</v>
      </c>
      <c r="E19" s="4">
        <f>'4.1 Comptes 2020 natures'!E19/'4.1 Comptes 2020 natures'!E2</f>
        <v>86.043640303358615</v>
      </c>
      <c r="F19" s="4">
        <f>'4.1 Comptes 2020 natures'!F19/'4.1 Comptes 2020 natures'!F2</f>
        <v>299.76888888888891</v>
      </c>
      <c r="G19" s="4">
        <f>'4.1 Comptes 2020 natures'!G19/'4.1 Comptes 2020 natures'!G2</f>
        <v>220.85068041237113</v>
      </c>
      <c r="H19" s="4">
        <f>'4.1 Comptes 2020 natures'!H19/'4.1 Comptes 2020 natures'!H2</f>
        <v>64.122533632287002</v>
      </c>
      <c r="I19" s="4">
        <f>'4.1 Comptes 2020 natures'!I19/'4.1 Comptes 2020 natures'!I2</f>
        <v>208.49689892591573</v>
      </c>
      <c r="J19" s="4">
        <f>'4.1 Comptes 2020 natures'!J19/'4.1 Comptes 2020 natures'!J2</f>
        <v>194.37447630546333</v>
      </c>
      <c r="K19" s="4">
        <f>'4.1 Comptes 2020 natures'!K19/'4.1 Comptes 2020 natures'!K2</f>
        <v>130.18144099848715</v>
      </c>
      <c r="L19" s="4">
        <f>'4.1 Comptes 2020 natures'!L19/'4.1 Comptes 2020 natures'!L2</f>
        <v>265.63063242986209</v>
      </c>
      <c r="M19" s="4">
        <f>'4.1 Comptes 2020 natures'!M19/'4.1 Comptes 2020 natures'!M2</f>
        <v>169.91516411378555</v>
      </c>
      <c r="N19" s="4">
        <f>'4.1 Comptes 2020 natures'!N19/'4.1 Comptes 2020 natures'!N2</f>
        <v>155.48813559322033</v>
      </c>
      <c r="O19" s="4">
        <f>'4.1 Comptes 2020 natures'!O19/'4.1 Comptes 2020 natures'!O2</f>
        <v>186.13621598995397</v>
      </c>
      <c r="P19" s="4">
        <f>'4.1 Comptes 2020 natures'!P19/'4.1 Comptes 2020 natures'!P2</f>
        <v>296.09240530303032</v>
      </c>
      <c r="Q19" s="4">
        <f>'4.1 Comptes 2020 natures'!Q19/'4.1 Comptes 2020 natures'!Q2</f>
        <v>201.90092592592592</v>
      </c>
      <c r="R19" s="4">
        <f>'4.1 Comptes 2020 natures'!R19/'4.1 Comptes 2020 natures'!R2</f>
        <v>176.40710843373492</v>
      </c>
      <c r="S19" s="4">
        <f>'4.1 Comptes 2020 natures'!S19/'4.1 Comptes 2020 natures'!S2</f>
        <v>368.88005730659023</v>
      </c>
      <c r="T19" s="4">
        <f>'4.1 Comptes 2020 natures'!T19/'4.1 Comptes 2020 natures'!T2</f>
        <v>245.50327510917032</v>
      </c>
      <c r="U19" s="4">
        <f>'4.1 Comptes 2020 natures'!U19/'4.1 Comptes 2020 natures'!U2</f>
        <v>237.50211764705884</v>
      </c>
      <c r="V19" s="4">
        <f>'4.1 Comptes 2020 natures'!V19/'4.1 Comptes 2020 natures'!V2</f>
        <v>646.33094036697241</v>
      </c>
      <c r="W19" s="4">
        <f>'4.1 Comptes 2020 natures'!W19/'4.1 Comptes 2020 natures'!W2</f>
        <v>181.6408620689655</v>
      </c>
      <c r="X19" s="4">
        <f>'4.1 Comptes 2020 natures'!X19/'4.1 Comptes 2020 natures'!X2</f>
        <v>581.69308641975306</v>
      </c>
      <c r="Y19" s="4">
        <f>'4.1 Comptes 2020 natures'!Y19/'4.1 Comptes 2020 natures'!Y2</f>
        <v>322.83386837881221</v>
      </c>
      <c r="Z19" s="4">
        <f>'4.1 Comptes 2020 natures'!Z19/'4.1 Comptes 2020 natures'!Z2</f>
        <v>672.10993455497385</v>
      </c>
      <c r="AA19" s="4">
        <f>'4.1 Comptes 2020 natures'!AA19/'4.1 Comptes 2020 natures'!AA2</f>
        <v>509.40822916666667</v>
      </c>
      <c r="AB19" s="4">
        <f>'4.1 Comptes 2020 natures'!AB19/'4.1 Comptes 2020 natures'!AB2</f>
        <v>841.94416107382551</v>
      </c>
      <c r="AC19" s="4">
        <f>'4.1 Comptes 2020 natures'!AC19/'4.1 Comptes 2020 natures'!AC2</f>
        <v>625.2885658914729</v>
      </c>
      <c r="AD19" s="4">
        <f>'4.1 Comptes 2020 natures'!AD19/'4.1 Comptes 2020 natures'!AD2</f>
        <v>372.19114754098359</v>
      </c>
      <c r="AE19" s="4">
        <f>'4.1 Comptes 2020 natures'!AE19/'4.1 Comptes 2020 natures'!AE2</f>
        <v>677.32942307692304</v>
      </c>
      <c r="AF19" s="4">
        <f>'4.1 Comptes 2020 natures'!AF19/'4.1 Comptes 2020 natures'!AF2</f>
        <v>963.98038775510202</v>
      </c>
      <c r="AG19" s="4">
        <f>'4.1 Comptes 2020 natures'!AG19/'4.1 Comptes 2020 natures'!AG2</f>
        <v>305.45457680250786</v>
      </c>
      <c r="AH19" s="4">
        <f>'4.1 Comptes 2020 natures'!AH19/'4.1 Comptes 2020 natures'!AH2</f>
        <v>296.90860038240919</v>
      </c>
      <c r="AI19" s="4">
        <f>'4.1 Comptes 2020 natures'!AI19/'4.1 Comptes 2020 natures'!AI2</f>
        <v>399.25726872246696</v>
      </c>
      <c r="AJ19" s="4">
        <f>'4.1 Comptes 2020 natures'!AJ19/'4.1 Comptes 2020 natures'!AJ2</f>
        <v>578.63396946564887</v>
      </c>
      <c r="AK19" s="4">
        <f>'4.1 Comptes 2020 natures'!AK19/'4.1 Comptes 2020 natures'!AK2</f>
        <v>229.28155672823218</v>
      </c>
      <c r="AL19" s="4">
        <f>'4.1 Comptes 2020 natures'!AL19/'4.1 Comptes 2020 natures'!AL2</f>
        <v>585.68039647577098</v>
      </c>
      <c r="AM19" s="4">
        <f>'4.1 Comptes 2020 natures'!AM19/'4.1 Comptes 2020 natures'!AM2</f>
        <v>294.11715551974214</v>
      </c>
      <c r="AN19" s="4">
        <f>'4.1 Comptes 2020 natures'!AN19/'4.1 Comptes 2020 natures'!AN2</f>
        <v>348.83823529411762</v>
      </c>
      <c r="AO19" s="4">
        <f>'4.1 Comptes 2020 natures'!AO19/'4.1 Comptes 2020 natures'!AO2</f>
        <v>443.03509623430955</v>
      </c>
      <c r="AP19" s="4">
        <f>'4.1 Comptes 2020 natures'!AP19/'4.1 Comptes 2020 natures'!AP2</f>
        <v>157.10672699849169</v>
      </c>
      <c r="AQ19" s="4">
        <f>'4.1 Comptes 2020 natures'!AQ19/'4.1 Comptes 2020 natures'!AQ2</f>
        <v>201.76875968992249</v>
      </c>
      <c r="AR19" s="4">
        <f>'4.1 Comptes 2020 natures'!AR19/'4.1 Comptes 2020 natures'!AR2</f>
        <v>456.94175771971493</v>
      </c>
      <c r="AS19" s="4">
        <f>'4.1 Comptes 2020 natures'!AS19/'4.1 Comptes 2020 natures'!AS2</f>
        <v>205.5828108108108</v>
      </c>
      <c r="AT19" s="4">
        <f>'4.1 Comptes 2020 natures'!AT19/'4.1 Comptes 2020 natures'!AT2</f>
        <v>172.33738326848248</v>
      </c>
      <c r="AU19" s="4">
        <f>'4.1 Comptes 2020 natures'!AU19/'4.1 Comptes 2020 natures'!AU2</f>
        <v>411.99643312101909</v>
      </c>
      <c r="AV19" s="4">
        <f>'4.1 Comptes 2020 natures'!AV19/'4.1 Comptes 2020 natures'!AV2</f>
        <v>189.66662916666667</v>
      </c>
      <c r="AW19" s="4">
        <f>'4.1 Comptes 2020 natures'!AW19/'4.1 Comptes 2020 natures'!AW2</f>
        <v>366.41198675496685</v>
      </c>
      <c r="AX19" s="4">
        <f>'4.1 Comptes 2020 natures'!AX19/'4.1 Comptes 2020 natures'!AX2</f>
        <v>225.59602209944751</v>
      </c>
      <c r="AY19" s="4">
        <f>'4.1 Comptes 2020 natures'!AY19/'4.1 Comptes 2020 natures'!AY2</f>
        <v>296.67706051873199</v>
      </c>
      <c r="AZ19" s="4">
        <f>'4.1 Comptes 2020 natures'!AZ19/'4.1 Comptes 2020 natures'!AZ2</f>
        <v>200.58783431952662</v>
      </c>
      <c r="BA19" s="4">
        <f>'4.1 Comptes 2020 natures'!BA19/'4.1 Comptes 2020 natures'!BA2</f>
        <v>744.21049095607236</v>
      </c>
      <c r="BB19" s="4">
        <f>'4.1 Comptes 2020 natures'!BB19/'4.1 Comptes 2020 natures'!BB2</f>
        <v>288.08838503649633</v>
      </c>
      <c r="BC19" s="4">
        <f>'4.1 Comptes 2020 natures'!BC19/'4.1 Comptes 2020 natures'!BC2</f>
        <v>217.63313829787234</v>
      </c>
      <c r="BD19" s="4">
        <f>'4.1 Comptes 2020 natures'!BD19/'4.1 Comptes 2020 natures'!BD2</f>
        <v>277.28617189928502</v>
      </c>
      <c r="BE19" s="4">
        <f>'4.1 Comptes 2020 natures'!BE19/'4.1 Comptes 2020 natures'!BE2</f>
        <v>227.60923214285714</v>
      </c>
      <c r="BF19" s="4">
        <f t="shared" si="10"/>
        <v>18022.752882039124</v>
      </c>
      <c r="BG19" s="4">
        <f t="shared" si="7"/>
        <v>4335.2663997550417</v>
      </c>
      <c r="BH19" s="4">
        <f t="shared" si="8"/>
        <v>7147.0332192315473</v>
      </c>
      <c r="BI19" s="4">
        <f t="shared" si="9"/>
        <v>6540.4532630525364</v>
      </c>
    </row>
    <row r="20" spans="2:61" x14ac:dyDescent="0.3">
      <c r="C20">
        <v>314</v>
      </c>
      <c r="D20" t="s">
        <v>92</v>
      </c>
      <c r="E20" s="4">
        <f>'4.1 Comptes 2020 natures'!E20/'4.1 Comptes 2020 natures'!E2</f>
        <v>125.43250270855904</v>
      </c>
      <c r="F20" s="4">
        <f>'4.1 Comptes 2020 natures'!F20/'4.1 Comptes 2020 natures'!F2</f>
        <v>212.14814814814815</v>
      </c>
      <c r="G20" s="4">
        <f>'4.1 Comptes 2020 natures'!G20/'4.1 Comptes 2020 natures'!G2</f>
        <v>122.75977319587628</v>
      </c>
      <c r="H20" s="4">
        <f>'4.1 Comptes 2020 natures'!H20/'4.1 Comptes 2020 natures'!H2</f>
        <v>328.51356502242152</v>
      </c>
      <c r="I20" s="4">
        <f>'4.1 Comptes 2020 natures'!I20/'4.1 Comptes 2020 natures'!I2</f>
        <v>121.46641971908565</v>
      </c>
      <c r="J20" s="4">
        <f>'4.1 Comptes 2020 natures'!J20/'4.1 Comptes 2020 natures'!J2</f>
        <v>67.8860670087534</v>
      </c>
      <c r="K20" s="4">
        <f>'4.1 Comptes 2020 natures'!K20/'4.1 Comptes 2020 natures'!K2</f>
        <v>175.81584720121029</v>
      </c>
      <c r="L20" s="4">
        <f>'4.1 Comptes 2020 natures'!L20/'4.1 Comptes 2020 natures'!L2</f>
        <v>106.09742510699002</v>
      </c>
      <c r="M20" s="4">
        <f>'4.1 Comptes 2020 natures'!M20/'4.1 Comptes 2020 natures'!M2</f>
        <v>157.93143690736687</v>
      </c>
      <c r="N20" s="4">
        <f>'4.1 Comptes 2020 natures'!N20/'4.1 Comptes 2020 natures'!N2</f>
        <v>57.235593220338984</v>
      </c>
      <c r="O20" s="4">
        <f>'4.1 Comptes 2020 natures'!O20/'4.1 Comptes 2020 natures'!O2</f>
        <v>97.529259104227705</v>
      </c>
      <c r="P20" s="4">
        <f>'4.1 Comptes 2020 natures'!P20/'4.1 Comptes 2020 natures'!P2</f>
        <v>241.99384469696969</v>
      </c>
      <c r="Q20" s="4">
        <f>'4.1 Comptes 2020 natures'!Q20/'4.1 Comptes 2020 natures'!Q2</f>
        <v>27.276388888888889</v>
      </c>
      <c r="R20" s="4">
        <f>'4.1 Comptes 2020 natures'!R20/'4.1 Comptes 2020 natures'!R2</f>
        <v>182.84469879518073</v>
      </c>
      <c r="S20" s="4">
        <f>'4.1 Comptes 2020 natures'!S20/'4.1 Comptes 2020 natures'!S2</f>
        <v>356.24584527220634</v>
      </c>
      <c r="T20" s="4">
        <f>'4.1 Comptes 2020 natures'!T20/'4.1 Comptes 2020 natures'!T2</f>
        <v>182.27518195050948</v>
      </c>
      <c r="U20" s="4">
        <f>'4.1 Comptes 2020 natures'!U20/'4.1 Comptes 2020 natures'!U2</f>
        <v>192.3607843137255</v>
      </c>
      <c r="V20" s="4">
        <f>'4.1 Comptes 2020 natures'!V20/'4.1 Comptes 2020 natures'!V2</f>
        <v>197.4290137614679</v>
      </c>
      <c r="W20" s="4">
        <f>'4.1 Comptes 2020 natures'!W20/'4.1 Comptes 2020 natures'!W2</f>
        <v>73.798630094043887</v>
      </c>
      <c r="X20" s="4">
        <f>'4.1 Comptes 2020 natures'!X20/'4.1 Comptes 2020 natures'!X2</f>
        <v>70.651697530864197</v>
      </c>
      <c r="Y20" s="4">
        <f>'4.1 Comptes 2020 natures'!Y20/'4.1 Comptes 2020 natures'!Y2</f>
        <v>170.92914125200642</v>
      </c>
      <c r="Z20" s="4">
        <f>'4.1 Comptes 2020 natures'!Z20/'4.1 Comptes 2020 natures'!Z2</f>
        <v>258.05978403141359</v>
      </c>
      <c r="AA20" s="4">
        <f>'4.1 Comptes 2020 natures'!AA20/'4.1 Comptes 2020 natures'!AA2</f>
        <v>264.25677083333335</v>
      </c>
      <c r="AB20" s="4">
        <f>'4.1 Comptes 2020 natures'!AB20/'4.1 Comptes 2020 natures'!AB2</f>
        <v>96.829865771812081</v>
      </c>
      <c r="AC20" s="4">
        <f>'4.1 Comptes 2020 natures'!AC20/'4.1 Comptes 2020 natures'!AC2</f>
        <v>403.24222868217055</v>
      </c>
      <c r="AD20" s="4">
        <f>'4.1 Comptes 2020 natures'!AD20/'4.1 Comptes 2020 natures'!AD2</f>
        <v>145.39910581222057</v>
      </c>
      <c r="AE20" s="4">
        <f>'4.1 Comptes 2020 natures'!AE20/'4.1 Comptes 2020 natures'!AE2</f>
        <v>235.91678321678322</v>
      </c>
      <c r="AF20" s="4">
        <f>'4.1 Comptes 2020 natures'!AF20/'4.1 Comptes 2020 natures'!AF2</f>
        <v>292.3388775510204</v>
      </c>
      <c r="AG20" s="4">
        <f>'4.1 Comptes 2020 natures'!AG20/'4.1 Comptes 2020 natures'!AG2</f>
        <v>183.79683908045979</v>
      </c>
      <c r="AH20" s="4">
        <f>'4.1 Comptes 2020 natures'!AH20/'4.1 Comptes 2020 natures'!AH2</f>
        <v>164.96915869980879</v>
      </c>
      <c r="AI20" s="4">
        <f>'4.1 Comptes 2020 natures'!AI20/'4.1 Comptes 2020 natures'!AI2</f>
        <v>210.74537444933918</v>
      </c>
      <c r="AJ20" s="4">
        <f>'4.1 Comptes 2020 natures'!AJ20/'4.1 Comptes 2020 natures'!AJ2</f>
        <v>623.26145038167942</v>
      </c>
      <c r="AK20" s="4">
        <f>'4.1 Comptes 2020 natures'!AK20/'4.1 Comptes 2020 natures'!AK2</f>
        <v>118.27736147757257</v>
      </c>
      <c r="AL20" s="4">
        <f>'4.1 Comptes 2020 natures'!AL20/'4.1 Comptes 2020 natures'!AL2</f>
        <v>265.12455506607927</v>
      </c>
      <c r="AM20" s="4">
        <f>'4.1 Comptes 2020 natures'!AM20/'4.1 Comptes 2020 natures'!AM2</f>
        <v>114.89758259468171</v>
      </c>
      <c r="AN20" s="4">
        <f>'4.1 Comptes 2020 natures'!AN20/'4.1 Comptes 2020 natures'!AN2</f>
        <v>117.48361344537814</v>
      </c>
      <c r="AO20" s="4">
        <f>'4.1 Comptes 2020 natures'!AO20/'4.1 Comptes 2020 natures'!AO2</f>
        <v>331.06121338912135</v>
      </c>
      <c r="AP20" s="4">
        <f>'4.1 Comptes 2020 natures'!AP20/'4.1 Comptes 2020 natures'!AP2</f>
        <v>152.1447963800905</v>
      </c>
      <c r="AQ20" s="4">
        <f>'4.1 Comptes 2020 natures'!AQ20/'4.1 Comptes 2020 natures'!AQ2</f>
        <v>202.47798449612404</v>
      </c>
      <c r="AR20" s="4">
        <f>'4.1 Comptes 2020 natures'!AR20/'4.1 Comptes 2020 natures'!AR2</f>
        <v>244.7561757719715</v>
      </c>
      <c r="AS20" s="4">
        <f>'4.1 Comptes 2020 natures'!AS20/'4.1 Comptes 2020 natures'!AS2</f>
        <v>72.183378378378379</v>
      </c>
      <c r="AT20" s="4">
        <f>'4.1 Comptes 2020 natures'!AT20/'4.1 Comptes 2020 natures'!AT2</f>
        <v>106.66439688715953</v>
      </c>
      <c r="AU20" s="4">
        <f>'4.1 Comptes 2020 natures'!AU20/'4.1 Comptes 2020 natures'!AU2</f>
        <v>173.66082802547771</v>
      </c>
      <c r="AV20" s="4">
        <f>'4.1 Comptes 2020 natures'!AV20/'4.1 Comptes 2020 natures'!AV2</f>
        <v>110.01085416666666</v>
      </c>
      <c r="AW20" s="4">
        <f>'4.1 Comptes 2020 natures'!AW20/'4.1 Comptes 2020 natures'!AW2</f>
        <v>100.7333774834437</v>
      </c>
      <c r="AX20" s="4">
        <f>'4.1 Comptes 2020 natures'!AX20/'4.1 Comptes 2020 natures'!AX2</f>
        <v>151.57900552486188</v>
      </c>
      <c r="AY20" s="4">
        <f>'4.1 Comptes 2020 natures'!AY20/'4.1 Comptes 2020 natures'!AY2</f>
        <v>198.25417867435158</v>
      </c>
      <c r="AZ20" s="4">
        <f>'4.1 Comptes 2020 natures'!AZ20/'4.1 Comptes 2020 natures'!AZ2</f>
        <v>79.688639053254434</v>
      </c>
      <c r="BA20" s="4">
        <f>'4.1 Comptes 2020 natures'!BA20/'4.1 Comptes 2020 natures'!BA2</f>
        <v>235.17364341085272</v>
      </c>
      <c r="BB20" s="4">
        <f>'4.1 Comptes 2020 natures'!BB20/'4.1 Comptes 2020 natures'!BB2</f>
        <v>135.60083029197082</v>
      </c>
      <c r="BC20" s="4">
        <f>'4.1 Comptes 2020 natures'!BC20/'4.1 Comptes 2020 natures'!BC2</f>
        <v>215.72898936170213</v>
      </c>
      <c r="BD20" s="4">
        <f>'4.1 Comptes 2020 natures'!BD20/'4.1 Comptes 2020 natures'!BD2</f>
        <v>139.34607087348462</v>
      </c>
      <c r="BE20" s="4">
        <f>'4.1 Comptes 2020 natures'!BE20/'4.1 Comptes 2020 natures'!BE2</f>
        <v>85.566160714285715</v>
      </c>
      <c r="BF20" s="4">
        <f t="shared" si="10"/>
        <v>9497.8511378757903</v>
      </c>
      <c r="BG20" s="4">
        <f t="shared" si="7"/>
        <v>3027.0404251159703</v>
      </c>
      <c r="BH20" s="4">
        <f t="shared" si="8"/>
        <v>3120.3970772929115</v>
      </c>
      <c r="BI20" s="4">
        <f t="shared" si="9"/>
        <v>3350.4136354669085</v>
      </c>
    </row>
    <row r="21" spans="2:61" x14ac:dyDescent="0.3">
      <c r="C21">
        <v>315</v>
      </c>
      <c r="D21" t="s">
        <v>93</v>
      </c>
      <c r="E21" s="4">
        <f>'4.1 Comptes 2020 natures'!E21/'4.1 Comptes 2020 natures'!E2</f>
        <v>35.926814734561212</v>
      </c>
      <c r="F21" s="4">
        <f>'4.1 Comptes 2020 natures'!F21/'4.1 Comptes 2020 natures'!F2</f>
        <v>48.681481481481484</v>
      </c>
      <c r="G21" s="4">
        <f>'4.1 Comptes 2020 natures'!G21/'4.1 Comptes 2020 natures'!G2</f>
        <v>26.830206185567011</v>
      </c>
      <c r="H21" s="4">
        <f>'4.1 Comptes 2020 natures'!H21/'4.1 Comptes 2020 natures'!H2</f>
        <v>44.628587443946188</v>
      </c>
      <c r="I21" s="4">
        <f>'4.1 Comptes 2020 natures'!I21/'4.1 Comptes 2020 natures'!I2</f>
        <v>38.497149545579731</v>
      </c>
      <c r="J21" s="4">
        <f>'4.1 Comptes 2020 natures'!J21/'4.1 Comptes 2020 natures'!J2</f>
        <v>4.5036070027165716</v>
      </c>
      <c r="K21" s="4">
        <f>'4.1 Comptes 2020 natures'!K21/'4.1 Comptes 2020 natures'!K2</f>
        <v>33.160442511346446</v>
      </c>
      <c r="L21" s="4">
        <f>'4.1 Comptes 2020 natures'!L21/'4.1 Comptes 2020 natures'!L2</f>
        <v>76.163992708828658</v>
      </c>
      <c r="M21" s="4">
        <f>'4.1 Comptes 2020 natures'!M21/'4.1 Comptes 2020 natures'!M2</f>
        <v>44.054522246535377</v>
      </c>
      <c r="N21" s="4">
        <f>'4.1 Comptes 2020 natures'!N21/'4.1 Comptes 2020 natures'!N2</f>
        <v>17.041525423728814</v>
      </c>
      <c r="O21" s="4">
        <f>'4.1 Comptes 2020 natures'!O21/'4.1 Comptes 2020 natures'!O2</f>
        <v>31.514245849030278</v>
      </c>
      <c r="P21" s="4">
        <f>'4.1 Comptes 2020 natures'!P21/'4.1 Comptes 2020 natures'!P2</f>
        <v>17.162594696969698</v>
      </c>
      <c r="Q21" s="4">
        <f>'4.1 Comptes 2020 natures'!Q21/'4.1 Comptes 2020 natures'!Q2</f>
        <v>22.80046296296296</v>
      </c>
      <c r="R21" s="4">
        <f>'4.1 Comptes 2020 natures'!R21/'4.1 Comptes 2020 natures'!R2</f>
        <v>51.240746987951809</v>
      </c>
      <c r="S21" s="4">
        <f>'4.1 Comptes 2020 natures'!S21/'4.1 Comptes 2020 natures'!S2</f>
        <v>15.972492836676217</v>
      </c>
      <c r="T21" s="4">
        <f>'4.1 Comptes 2020 natures'!T21/'4.1 Comptes 2020 natures'!T2</f>
        <v>18.619868995633187</v>
      </c>
      <c r="U21" s="4">
        <f>'4.1 Comptes 2020 natures'!U21/'4.1 Comptes 2020 natures'!U2</f>
        <v>33.272039215686277</v>
      </c>
      <c r="V21" s="4">
        <f>'4.1 Comptes 2020 natures'!V21/'4.1 Comptes 2020 natures'!V2</f>
        <v>49.822935779816511</v>
      </c>
      <c r="W21" s="4">
        <f>'4.1 Comptes 2020 natures'!W21/'4.1 Comptes 2020 natures'!W2</f>
        <v>39.219965517241377</v>
      </c>
      <c r="X21" s="4">
        <f>'4.1 Comptes 2020 natures'!X21/'4.1 Comptes 2020 natures'!X2</f>
        <v>5.2805555555555559</v>
      </c>
      <c r="Y21" s="4">
        <f>'4.1 Comptes 2020 natures'!Y21/'4.1 Comptes 2020 natures'!Y2</f>
        <v>70.814967897271259</v>
      </c>
      <c r="Z21" s="4">
        <f>'4.1 Comptes 2020 natures'!Z21/'4.1 Comptes 2020 natures'!Z2</f>
        <v>41.6315445026178</v>
      </c>
      <c r="AA21" s="4">
        <f>'4.1 Comptes 2020 natures'!AA21/'4.1 Comptes 2020 natures'!AA2</f>
        <v>79.606770833333329</v>
      </c>
      <c r="AB21" s="4">
        <f>'4.1 Comptes 2020 natures'!AB21/'4.1 Comptes 2020 natures'!AB2</f>
        <v>30.737248322147654</v>
      </c>
      <c r="AC21" s="4">
        <f>'4.1 Comptes 2020 natures'!AC21/'4.1 Comptes 2020 natures'!AC2</f>
        <v>83.470678294573645</v>
      </c>
      <c r="AD21" s="4">
        <f>'4.1 Comptes 2020 natures'!AD21/'4.1 Comptes 2020 natures'!AD2</f>
        <v>135.91627421758571</v>
      </c>
      <c r="AE21" s="4">
        <f>'4.1 Comptes 2020 natures'!AE21/'4.1 Comptes 2020 natures'!AE2</f>
        <v>87.540821678321677</v>
      </c>
      <c r="AF21" s="4">
        <f>'4.1 Comptes 2020 natures'!AF21/'4.1 Comptes 2020 natures'!AF2</f>
        <v>6.5614489795918374</v>
      </c>
      <c r="AG21" s="4">
        <f>'4.1 Comptes 2020 natures'!AG21/'4.1 Comptes 2020 natures'!AG2</f>
        <v>53.218798328108676</v>
      </c>
      <c r="AH21" s="4">
        <f>'4.1 Comptes 2020 natures'!AH21/'4.1 Comptes 2020 natures'!AH2</f>
        <v>16.409598470363289</v>
      </c>
      <c r="AI21" s="4">
        <f>'4.1 Comptes 2020 natures'!AI21/'4.1 Comptes 2020 natures'!AI2</f>
        <v>116.39647577092511</v>
      </c>
      <c r="AJ21" s="4">
        <f>'4.1 Comptes 2020 natures'!AJ21/'4.1 Comptes 2020 natures'!AJ2</f>
        <v>64.57175572519084</v>
      </c>
      <c r="AK21" s="4">
        <f>'4.1 Comptes 2020 natures'!AK21/'4.1 Comptes 2020 natures'!AK2</f>
        <v>10.386596306068601</v>
      </c>
      <c r="AL21" s="4">
        <f>'4.1 Comptes 2020 natures'!AL21/'4.1 Comptes 2020 natures'!AL2</f>
        <v>115.33929515418502</v>
      </c>
      <c r="AM21" s="4">
        <f>'4.1 Comptes 2020 natures'!AM21/'4.1 Comptes 2020 natures'!AM2</f>
        <v>36.719218372280423</v>
      </c>
      <c r="AN21" s="4">
        <f>'4.1 Comptes 2020 natures'!AN21/'4.1 Comptes 2020 natures'!AN2</f>
        <v>0</v>
      </c>
      <c r="AO21" s="4">
        <f>'4.1 Comptes 2020 natures'!AO21/'4.1 Comptes 2020 natures'!AO2</f>
        <v>44.927322175732222</v>
      </c>
      <c r="AP21" s="4">
        <f>'4.1 Comptes 2020 natures'!AP21/'4.1 Comptes 2020 natures'!AP2</f>
        <v>45.879260935143286</v>
      </c>
      <c r="AQ21" s="4">
        <f>'4.1 Comptes 2020 natures'!AQ21/'4.1 Comptes 2020 natures'!AQ2</f>
        <v>52.763999999999996</v>
      </c>
      <c r="AR21" s="4">
        <f>'4.1 Comptes 2020 natures'!AR21/'4.1 Comptes 2020 natures'!AR2</f>
        <v>55.391211401425181</v>
      </c>
      <c r="AS21" s="4">
        <f>'4.1 Comptes 2020 natures'!AS21/'4.1 Comptes 2020 natures'!AS2</f>
        <v>54.301148648648649</v>
      </c>
      <c r="AT21" s="4">
        <f>'4.1 Comptes 2020 natures'!AT21/'4.1 Comptes 2020 natures'!AT2</f>
        <v>40.031614785992218</v>
      </c>
      <c r="AU21" s="4">
        <f>'4.1 Comptes 2020 natures'!AU21/'4.1 Comptes 2020 natures'!AU2</f>
        <v>71.699203821656042</v>
      </c>
      <c r="AV21" s="4">
        <f>'4.1 Comptes 2020 natures'!AV21/'4.1 Comptes 2020 natures'!AV2</f>
        <v>23.019791666666666</v>
      </c>
      <c r="AW21" s="4">
        <f>'4.1 Comptes 2020 natures'!AW21/'4.1 Comptes 2020 natures'!AW2</f>
        <v>37.524900662251653</v>
      </c>
      <c r="AX21" s="4">
        <f>'4.1 Comptes 2020 natures'!AX21/'4.1 Comptes 2020 natures'!AX2</f>
        <v>40.440055248618783</v>
      </c>
      <c r="AY21" s="4">
        <f>'4.1 Comptes 2020 natures'!AY21/'4.1 Comptes 2020 natures'!AY2</f>
        <v>36.476801152737757</v>
      </c>
      <c r="AZ21" s="4">
        <f>'4.1 Comptes 2020 natures'!AZ21/'4.1 Comptes 2020 natures'!AZ2</f>
        <v>25.729082840236686</v>
      </c>
      <c r="BA21" s="4">
        <f>'4.1 Comptes 2020 natures'!BA21/'4.1 Comptes 2020 natures'!BA2</f>
        <v>22.600387596899225</v>
      </c>
      <c r="BB21" s="4">
        <f>'4.1 Comptes 2020 natures'!BB21/'4.1 Comptes 2020 natures'!BB2</f>
        <v>72.874635036496358</v>
      </c>
      <c r="BC21" s="4">
        <f>'4.1 Comptes 2020 natures'!BC21/'4.1 Comptes 2020 natures'!BC2</f>
        <v>28.830053191489363</v>
      </c>
      <c r="BD21" s="4">
        <f>'4.1 Comptes 2020 natures'!BD21/'4.1 Comptes 2020 natures'!BD2</f>
        <v>65.080138327634444</v>
      </c>
      <c r="BE21" s="4">
        <f>'4.1 Comptes 2020 natures'!BE21/'4.1 Comptes 2020 natures'!BE2</f>
        <v>75.325625000000002</v>
      </c>
      <c r="BF21" s="4">
        <f t="shared" si="10"/>
        <v>2396.6109630260075</v>
      </c>
      <c r="BG21" s="4">
        <f t="shared" si="7"/>
        <v>649.11368212625973</v>
      </c>
      <c r="BH21" s="4">
        <f t="shared" si="8"/>
        <v>792.15693857558654</v>
      </c>
      <c r="BI21" s="4">
        <f t="shared" si="9"/>
        <v>955.34034232416275</v>
      </c>
    </row>
    <row r="22" spans="2:61" x14ac:dyDescent="0.3">
      <c r="C22">
        <v>316</v>
      </c>
      <c r="D22" t="s">
        <v>94</v>
      </c>
      <c r="E22" s="4">
        <f>'4.1 Comptes 2020 natures'!E22/'4.1 Comptes 2020 natures'!E2</f>
        <v>4.2006500541711809</v>
      </c>
      <c r="F22" s="4">
        <f>'4.1 Comptes 2020 natures'!F22/'4.1 Comptes 2020 natures'!F2</f>
        <v>10.503888888888889</v>
      </c>
      <c r="G22" s="4">
        <f>'4.1 Comptes 2020 natures'!G22/'4.1 Comptes 2020 natures'!G2</f>
        <v>1.2213402061855672</v>
      </c>
      <c r="H22" s="4">
        <f>'4.1 Comptes 2020 natures'!H22/'4.1 Comptes 2020 natures'!H2</f>
        <v>9.2486547085201778</v>
      </c>
      <c r="I22" s="4">
        <f>'4.1 Comptes 2020 natures'!I22/'4.1 Comptes 2020 natures'!I2</f>
        <v>18.682855962544753</v>
      </c>
      <c r="J22" s="4">
        <f>'4.1 Comptes 2020 natures'!J22/'4.1 Comptes 2020 natures'!J2</f>
        <v>10.687277392091758</v>
      </c>
      <c r="K22" s="4">
        <f>'4.1 Comptes 2020 natures'!K22/'4.1 Comptes 2020 natures'!K2</f>
        <v>12.448562783661119</v>
      </c>
      <c r="L22" s="4">
        <f>'4.1 Comptes 2020 natures'!L22/'4.1 Comptes 2020 natures'!L2</f>
        <v>72.813595656997933</v>
      </c>
      <c r="M22" s="4">
        <f>'4.1 Comptes 2020 natures'!M22/'4.1 Comptes 2020 natures'!M2</f>
        <v>22.966119620714807</v>
      </c>
      <c r="N22" s="4">
        <f>'4.1 Comptes 2020 natures'!N22/'4.1 Comptes 2020 natures'!N2</f>
        <v>10.169491525423728</v>
      </c>
      <c r="O22" s="4">
        <f>'4.1 Comptes 2020 natures'!O22/'4.1 Comptes 2020 natures'!O2</f>
        <v>14.864287707548486</v>
      </c>
      <c r="P22" s="4">
        <f>'4.1 Comptes 2020 natures'!P22/'4.1 Comptes 2020 natures'!P2</f>
        <v>0</v>
      </c>
      <c r="Q22" s="4">
        <f>'4.1 Comptes 2020 natures'!Q22/'4.1 Comptes 2020 natures'!Q2</f>
        <v>0</v>
      </c>
      <c r="R22" s="4">
        <f>'4.1 Comptes 2020 natures'!R22/'4.1 Comptes 2020 natures'!R2</f>
        <v>0</v>
      </c>
      <c r="S22" s="4">
        <f>'4.1 Comptes 2020 natures'!S22/'4.1 Comptes 2020 natures'!S2</f>
        <v>0</v>
      </c>
      <c r="T22" s="4">
        <f>'4.1 Comptes 2020 natures'!T22/'4.1 Comptes 2020 natures'!T2</f>
        <v>2.0379912663755455</v>
      </c>
      <c r="U22" s="4">
        <f>'4.1 Comptes 2020 natures'!U22/'4.1 Comptes 2020 natures'!U2</f>
        <v>0</v>
      </c>
      <c r="V22" s="4">
        <f>'4.1 Comptes 2020 natures'!V22/'4.1 Comptes 2020 natures'!V2</f>
        <v>11.009174311926605</v>
      </c>
      <c r="W22" s="4">
        <f>'4.1 Comptes 2020 natures'!W22/'4.1 Comptes 2020 natures'!W2</f>
        <v>35.630830721003136</v>
      </c>
      <c r="X22" s="4">
        <f>'4.1 Comptes 2020 natures'!X22/'4.1 Comptes 2020 natures'!X2</f>
        <v>68.66552469135803</v>
      </c>
      <c r="Y22" s="4">
        <f>'4.1 Comptes 2020 natures'!Y22/'4.1 Comptes 2020 natures'!Y2</f>
        <v>11.797752808988765</v>
      </c>
      <c r="Z22" s="4">
        <f>'4.1 Comptes 2020 natures'!Z22/'4.1 Comptes 2020 natures'!Z2</f>
        <v>104.87434554973822</v>
      </c>
      <c r="AA22" s="4">
        <f>'4.1 Comptes 2020 natures'!AA22/'4.1 Comptes 2020 natures'!AA2</f>
        <v>0</v>
      </c>
      <c r="AB22" s="4">
        <f>'4.1 Comptes 2020 natures'!AB22/'4.1 Comptes 2020 natures'!AB2</f>
        <v>5.3691275167785237</v>
      </c>
      <c r="AC22" s="4">
        <f>'4.1 Comptes 2020 natures'!AC22/'4.1 Comptes 2020 natures'!AC2</f>
        <v>6.7144379844961239</v>
      </c>
      <c r="AD22" s="4">
        <f>'4.1 Comptes 2020 natures'!AD22/'4.1 Comptes 2020 natures'!AD2</f>
        <v>66.97824143070045</v>
      </c>
      <c r="AE22" s="4">
        <f>'4.1 Comptes 2020 natures'!AE22/'4.1 Comptes 2020 natures'!AE2</f>
        <v>4.3126748251748248</v>
      </c>
      <c r="AF22" s="4">
        <f>'4.1 Comptes 2020 natures'!AF22/'4.1 Comptes 2020 natures'!AF2</f>
        <v>0</v>
      </c>
      <c r="AG22" s="4">
        <f>'4.1 Comptes 2020 natures'!AG22/'4.1 Comptes 2020 natures'!AG2</f>
        <v>1.1606583072100314</v>
      </c>
      <c r="AH22" s="4">
        <f>'4.1 Comptes 2020 natures'!AH22/'4.1 Comptes 2020 natures'!AH2</f>
        <v>41.663135755258125</v>
      </c>
      <c r="AI22" s="4">
        <f>'4.1 Comptes 2020 natures'!AI22/'4.1 Comptes 2020 natures'!AI2</f>
        <v>0</v>
      </c>
      <c r="AJ22" s="4">
        <f>'4.1 Comptes 2020 natures'!AJ22/'4.1 Comptes 2020 natures'!AJ2</f>
        <v>0</v>
      </c>
      <c r="AK22" s="4">
        <f>'4.1 Comptes 2020 natures'!AK22/'4.1 Comptes 2020 natures'!AK2</f>
        <v>0</v>
      </c>
      <c r="AL22" s="4">
        <f>'4.1 Comptes 2020 natures'!AL22/'4.1 Comptes 2020 natures'!AL2</f>
        <v>7.9003524229074884</v>
      </c>
      <c r="AM22" s="4">
        <f>'4.1 Comptes 2020 natures'!AM22/'4.1 Comptes 2020 natures'!AM2</f>
        <v>12.047945205479452</v>
      </c>
      <c r="AN22" s="4">
        <f>'4.1 Comptes 2020 natures'!AN22/'4.1 Comptes 2020 natures'!AN2</f>
        <v>5.0420168067226889</v>
      </c>
      <c r="AO22" s="4">
        <f>'4.1 Comptes 2020 natures'!AO22/'4.1 Comptes 2020 natures'!AO2</f>
        <v>30.1255230125523</v>
      </c>
      <c r="AP22" s="4">
        <f>'4.1 Comptes 2020 natures'!AP22/'4.1 Comptes 2020 natures'!AP2</f>
        <v>58.332277526395181</v>
      </c>
      <c r="AQ22" s="4">
        <f>'4.1 Comptes 2020 natures'!AQ22/'4.1 Comptes 2020 natures'!AQ2</f>
        <v>0</v>
      </c>
      <c r="AR22" s="4">
        <f>'4.1 Comptes 2020 natures'!AR22/'4.1 Comptes 2020 natures'!AR2</f>
        <v>33.841488519398261</v>
      </c>
      <c r="AS22" s="4">
        <f>'4.1 Comptes 2020 natures'!AS22/'4.1 Comptes 2020 natures'!AS2</f>
        <v>13.159662162162162</v>
      </c>
      <c r="AT22" s="4">
        <f>'4.1 Comptes 2020 natures'!AT22/'4.1 Comptes 2020 natures'!AT2</f>
        <v>0</v>
      </c>
      <c r="AU22" s="4">
        <f>'4.1 Comptes 2020 natures'!AU22/'4.1 Comptes 2020 natures'!AU2</f>
        <v>0</v>
      </c>
      <c r="AV22" s="4">
        <f>'4.1 Comptes 2020 natures'!AV22/'4.1 Comptes 2020 natures'!AV2</f>
        <v>4.3690625000000001</v>
      </c>
      <c r="AW22" s="4">
        <f>'4.1 Comptes 2020 natures'!AW22/'4.1 Comptes 2020 natures'!AW2</f>
        <v>25.303377483443708</v>
      </c>
      <c r="AX22" s="4">
        <f>'4.1 Comptes 2020 natures'!AX22/'4.1 Comptes 2020 natures'!AX2</f>
        <v>0</v>
      </c>
      <c r="AY22" s="4">
        <f>'4.1 Comptes 2020 natures'!AY22/'4.1 Comptes 2020 natures'!AY2</f>
        <v>7.8953890489913539</v>
      </c>
      <c r="AZ22" s="4">
        <f>'4.1 Comptes 2020 natures'!AZ22/'4.1 Comptes 2020 natures'!AZ2</f>
        <v>23.524260355029586</v>
      </c>
      <c r="BA22" s="4">
        <f>'4.1 Comptes 2020 natures'!BA22/'4.1 Comptes 2020 natures'!BA2</f>
        <v>15.194832041343668</v>
      </c>
      <c r="BB22" s="4">
        <f>'4.1 Comptes 2020 natures'!BB22/'4.1 Comptes 2020 natures'!BB2</f>
        <v>7.0214872262773724</v>
      </c>
      <c r="BC22" s="4">
        <f>'4.1 Comptes 2020 natures'!BC22/'4.1 Comptes 2020 natures'!BC2</f>
        <v>0</v>
      </c>
      <c r="BD22" s="4">
        <f>'4.1 Comptes 2020 natures'!BD22/'4.1 Comptes 2020 natures'!BD2</f>
        <v>121.90677339135841</v>
      </c>
      <c r="BE22" s="4">
        <f>'4.1 Comptes 2020 natures'!BE22/'4.1 Comptes 2020 natures'!BE2</f>
        <v>1.0714285714285714</v>
      </c>
      <c r="BF22" s="4">
        <f t="shared" si="10"/>
        <v>914.7564959492471</v>
      </c>
      <c r="BG22" s="4">
        <f t="shared" si="7"/>
        <v>236.4847208060537</v>
      </c>
      <c r="BH22" s="4">
        <f t="shared" si="8"/>
        <v>311.53589886970315</v>
      </c>
      <c r="BI22" s="4">
        <f t="shared" si="9"/>
        <v>366.73587627349019</v>
      </c>
    </row>
    <row r="23" spans="2:61" x14ac:dyDescent="0.3">
      <c r="C23">
        <v>317</v>
      </c>
      <c r="D23" t="s">
        <v>95</v>
      </c>
      <c r="E23" s="4">
        <f>'4.1 Comptes 2020 natures'!E23/'4.1 Comptes 2020 natures'!E2</f>
        <v>18.963542795232936</v>
      </c>
      <c r="F23" s="4">
        <f>'4.1 Comptes 2020 natures'!F23/'4.1 Comptes 2020 natures'!F2</f>
        <v>6.4903703703703703</v>
      </c>
      <c r="G23" s="4">
        <f>'4.1 Comptes 2020 natures'!G23/'4.1 Comptes 2020 natures'!G2</f>
        <v>1.246701030927835</v>
      </c>
      <c r="H23" s="4">
        <f>'4.1 Comptes 2020 natures'!H23/'4.1 Comptes 2020 natures'!H2</f>
        <v>2.0162331838565022</v>
      </c>
      <c r="I23" s="4">
        <f>'4.1 Comptes 2020 natures'!I23/'4.1 Comptes 2020 natures'!I2</f>
        <v>7.7563068025337376</v>
      </c>
      <c r="J23" s="4">
        <f>'4.1 Comptes 2020 natures'!J23/'4.1 Comptes 2020 natures'!J2</f>
        <v>12.785888922426803</v>
      </c>
      <c r="K23" s="4">
        <f>'4.1 Comptes 2020 natures'!K23/'4.1 Comptes 2020 natures'!K2</f>
        <v>7.0324886535552196</v>
      </c>
      <c r="L23" s="4">
        <f>'4.1 Comptes 2020 natures'!L23/'4.1 Comptes 2020 natures'!L2</f>
        <v>5.1095720399429387</v>
      </c>
      <c r="M23" s="4">
        <f>'4.1 Comptes 2020 natures'!M23/'4.1 Comptes 2020 natures'!M2</f>
        <v>8.990627279358133</v>
      </c>
      <c r="N23" s="4">
        <f>'4.1 Comptes 2020 natures'!N23/'4.1 Comptes 2020 natures'!N2</f>
        <v>1.3135593220338984</v>
      </c>
      <c r="O23" s="4">
        <f>'4.1 Comptes 2020 natures'!O23/'4.1 Comptes 2020 natures'!O2</f>
        <v>9.8741593414259814</v>
      </c>
      <c r="P23" s="4">
        <f>'4.1 Comptes 2020 natures'!P23/'4.1 Comptes 2020 natures'!P2</f>
        <v>5.1880681818181822</v>
      </c>
      <c r="Q23" s="4">
        <f>'4.1 Comptes 2020 natures'!Q23/'4.1 Comptes 2020 natures'!Q2</f>
        <v>12.126851851851852</v>
      </c>
      <c r="R23" s="4">
        <f>'4.1 Comptes 2020 natures'!R23/'4.1 Comptes 2020 natures'!R2</f>
        <v>2.9815662650602408</v>
      </c>
      <c r="S23" s="4">
        <f>'4.1 Comptes 2020 natures'!S23/'4.1 Comptes 2020 natures'!S2</f>
        <v>16.686962750716333</v>
      </c>
      <c r="T23" s="4">
        <f>'4.1 Comptes 2020 natures'!T23/'4.1 Comptes 2020 natures'!T2</f>
        <v>38.147962154294035</v>
      </c>
      <c r="U23" s="4">
        <f>'4.1 Comptes 2020 natures'!U23/'4.1 Comptes 2020 natures'!U2</f>
        <v>10.747450980392156</v>
      </c>
      <c r="V23" s="4">
        <f>'4.1 Comptes 2020 natures'!V23/'4.1 Comptes 2020 natures'!V2</f>
        <v>7.2560779816513765</v>
      </c>
      <c r="W23" s="4">
        <f>'4.1 Comptes 2020 natures'!W23/'4.1 Comptes 2020 natures'!W2</f>
        <v>5.3929623824451411</v>
      </c>
      <c r="X23" s="4">
        <f>'4.1 Comptes 2020 natures'!X23/'4.1 Comptes 2020 natures'!X2</f>
        <v>65.499845679012353</v>
      </c>
      <c r="Y23" s="4">
        <f>'4.1 Comptes 2020 natures'!Y23/'4.1 Comptes 2020 natures'!Y2</f>
        <v>5.6667736757624398</v>
      </c>
      <c r="Z23" s="4">
        <f>'4.1 Comptes 2020 natures'!Z23/'4.1 Comptes 2020 natures'!Z2</f>
        <v>19.630497382198953</v>
      </c>
      <c r="AA23" s="4">
        <f>'4.1 Comptes 2020 natures'!AA23/'4.1 Comptes 2020 natures'!AA2</f>
        <v>4.2635416666666668</v>
      </c>
      <c r="AB23" s="4">
        <f>'4.1 Comptes 2020 natures'!AB23/'4.1 Comptes 2020 natures'!AB2</f>
        <v>3.7255033557046979</v>
      </c>
      <c r="AC23" s="4">
        <f>'4.1 Comptes 2020 natures'!AC23/'4.1 Comptes 2020 natures'!AC2</f>
        <v>5.5305232558139537</v>
      </c>
      <c r="AD23" s="4">
        <f>'4.1 Comptes 2020 natures'!AD23/'4.1 Comptes 2020 natures'!AD2</f>
        <v>11.762891207153501</v>
      </c>
      <c r="AE23" s="4">
        <f>'4.1 Comptes 2020 natures'!AE23/'4.1 Comptes 2020 natures'!AE2</f>
        <v>11.912587412587413</v>
      </c>
      <c r="AF23" s="4">
        <f>'4.1 Comptes 2020 natures'!AF23/'4.1 Comptes 2020 natures'!AF2</f>
        <v>0</v>
      </c>
      <c r="AG23" s="4">
        <f>'4.1 Comptes 2020 natures'!AG23/'4.1 Comptes 2020 natures'!AG2</f>
        <v>8.3482236154649954</v>
      </c>
      <c r="AH23" s="4">
        <f>'4.1 Comptes 2020 natures'!AH23/'4.1 Comptes 2020 natures'!AH2</f>
        <v>2.9801338432122373</v>
      </c>
      <c r="AI23" s="4">
        <f>'4.1 Comptes 2020 natures'!AI23/'4.1 Comptes 2020 natures'!AI2</f>
        <v>7.4722466960352421</v>
      </c>
      <c r="AJ23" s="4">
        <f>'4.1 Comptes 2020 natures'!AJ23/'4.1 Comptes 2020 natures'!AJ2</f>
        <v>4.0847328244274808</v>
      </c>
      <c r="AK23" s="4">
        <f>'4.1 Comptes 2020 natures'!AK23/'4.1 Comptes 2020 natures'!AK2</f>
        <v>16.043324538258574</v>
      </c>
      <c r="AL23" s="4">
        <f>'4.1 Comptes 2020 natures'!AL23/'4.1 Comptes 2020 natures'!AL2</f>
        <v>12.657973568281937</v>
      </c>
      <c r="AM23" s="4">
        <f>'4.1 Comptes 2020 natures'!AM23/'4.1 Comptes 2020 natures'!AM2</f>
        <v>11.913618049959709</v>
      </c>
      <c r="AN23" s="4">
        <f>'4.1 Comptes 2020 natures'!AN23/'4.1 Comptes 2020 natures'!AN2</f>
        <v>3.7109243697478993</v>
      </c>
      <c r="AO23" s="4">
        <f>'4.1 Comptes 2020 natures'!AO23/'4.1 Comptes 2020 natures'!AO2</f>
        <v>21.83041841004184</v>
      </c>
      <c r="AP23" s="4">
        <f>'4.1 Comptes 2020 natures'!AP23/'4.1 Comptes 2020 natures'!AP2</f>
        <v>4.0340874811463046</v>
      </c>
      <c r="AQ23" s="4">
        <f>'4.1 Comptes 2020 natures'!AQ23/'4.1 Comptes 2020 natures'!AQ2</f>
        <v>0.71449612403100782</v>
      </c>
      <c r="AR23" s="4">
        <f>'4.1 Comptes 2020 natures'!AR23/'4.1 Comptes 2020 natures'!AR2</f>
        <v>15.167220902612828</v>
      </c>
      <c r="AS23" s="4">
        <f>'4.1 Comptes 2020 natures'!AS23/'4.1 Comptes 2020 natures'!AS2</f>
        <v>36.365810810810814</v>
      </c>
      <c r="AT23" s="4">
        <f>'4.1 Comptes 2020 natures'!AT23/'4.1 Comptes 2020 natures'!AT2</f>
        <v>6.7021887159533078</v>
      </c>
      <c r="AU23" s="4">
        <f>'4.1 Comptes 2020 natures'!AU23/'4.1 Comptes 2020 natures'!AU2</f>
        <v>5.2006369426751595</v>
      </c>
      <c r="AV23" s="4">
        <f>'4.1 Comptes 2020 natures'!AV23/'4.1 Comptes 2020 natures'!AV2</f>
        <v>12.824375</v>
      </c>
      <c r="AW23" s="4">
        <f>'4.1 Comptes 2020 natures'!AW23/'4.1 Comptes 2020 natures'!AW2</f>
        <v>1.8980132450331126</v>
      </c>
      <c r="AX23" s="4">
        <f>'4.1 Comptes 2020 natures'!AX23/'4.1 Comptes 2020 natures'!AX2</f>
        <v>3.4325966850828729</v>
      </c>
      <c r="AY23" s="4">
        <f>'4.1 Comptes 2020 natures'!AY23/'4.1 Comptes 2020 natures'!AY2</f>
        <v>10.929971181556196</v>
      </c>
      <c r="AZ23" s="4">
        <f>'4.1 Comptes 2020 natures'!AZ23/'4.1 Comptes 2020 natures'!AZ2</f>
        <v>11.668644970414201</v>
      </c>
      <c r="BA23" s="4">
        <f>'4.1 Comptes 2020 natures'!BA23/'4.1 Comptes 2020 natures'!BA2</f>
        <v>7.9078811369509046</v>
      </c>
      <c r="BB23" s="4">
        <f>'4.1 Comptes 2020 natures'!BB23/'4.1 Comptes 2020 natures'!BB2</f>
        <v>15.393521897810219</v>
      </c>
      <c r="BC23" s="4">
        <f>'4.1 Comptes 2020 natures'!BC23/'4.1 Comptes 2020 natures'!BC2</f>
        <v>1.7739361702127661</v>
      </c>
      <c r="BD23" s="4">
        <f>'4.1 Comptes 2020 natures'!BD23/'4.1 Comptes 2020 natures'!BD2</f>
        <v>5.8062635996269814</v>
      </c>
      <c r="BE23" s="4">
        <f>'4.1 Comptes 2020 natures'!BE23/'4.1 Comptes 2020 natures'!BE2</f>
        <v>1.980892857142857</v>
      </c>
      <c r="BF23" s="4">
        <f t="shared" si="10"/>
        <v>538.94164956128304</v>
      </c>
      <c r="BG23" s="4">
        <f t="shared" si="7"/>
        <v>180.10735228989367</v>
      </c>
      <c r="BH23" s="4">
        <f t="shared" si="8"/>
        <v>150.87750061403995</v>
      </c>
      <c r="BI23" s="4">
        <f t="shared" si="9"/>
        <v>207.95679665734949</v>
      </c>
    </row>
    <row r="24" spans="2:61" x14ac:dyDescent="0.3">
      <c r="C24">
        <v>318</v>
      </c>
      <c r="D24" t="s">
        <v>96</v>
      </c>
      <c r="E24" s="4">
        <f>'4.1 Comptes 2020 natures'!E24/'4.1 Comptes 2020 natures'!E2</f>
        <v>96.872101841820154</v>
      </c>
      <c r="F24" s="4">
        <f>'4.1 Comptes 2020 natures'!F24/'4.1 Comptes 2020 natures'!F2</f>
        <v>-99.6624074074074</v>
      </c>
      <c r="G24" s="4">
        <f>'4.1 Comptes 2020 natures'!G24/'4.1 Comptes 2020 natures'!G2</f>
        <v>23.067030927835052</v>
      </c>
      <c r="H24" s="4">
        <f>'4.1 Comptes 2020 natures'!H24/'4.1 Comptes 2020 natures'!H2</f>
        <v>28.760986547085199</v>
      </c>
      <c r="I24" s="4">
        <f>'4.1 Comptes 2020 natures'!I24/'4.1 Comptes 2020 natures'!I2</f>
        <v>19.923340677499311</v>
      </c>
      <c r="J24" s="4">
        <f>'4.1 Comptes 2020 natures'!J24/'4.1 Comptes 2020 natures'!J2</f>
        <v>5.951750679142771</v>
      </c>
      <c r="K24" s="4">
        <f>'4.1 Comptes 2020 natures'!K24/'4.1 Comptes 2020 natures'!K2</f>
        <v>11.521198940998486</v>
      </c>
      <c r="L24" s="4">
        <f>'4.1 Comptes 2020 natures'!L24/'4.1 Comptes 2020 natures'!L2</f>
        <v>-18.417908543350769</v>
      </c>
      <c r="M24" s="4">
        <f>'4.1 Comptes 2020 natures'!M24/'4.1 Comptes 2020 natures'!M2</f>
        <v>-45.689460247994163</v>
      </c>
      <c r="N24" s="4">
        <f>'4.1 Comptes 2020 natures'!N24/'4.1 Comptes 2020 natures'!N2</f>
        <v>89.280084745762707</v>
      </c>
      <c r="O24" s="4">
        <f>'4.1 Comptes 2020 natures'!O24/'4.1 Comptes 2020 natures'!O2</f>
        <v>-6.0167224780242776</v>
      </c>
      <c r="P24" s="4">
        <f>'4.1 Comptes 2020 natures'!P24/'4.1 Comptes 2020 natures'!P2</f>
        <v>138.43958333333333</v>
      </c>
      <c r="Q24" s="4">
        <f>'4.1 Comptes 2020 natures'!Q24/'4.1 Comptes 2020 natures'!Q2</f>
        <v>0.55046296296296304</v>
      </c>
      <c r="R24" s="4">
        <f>'4.1 Comptes 2020 natures'!R24/'4.1 Comptes 2020 natures'!R2</f>
        <v>14.215542168674698</v>
      </c>
      <c r="S24" s="4">
        <f>'4.1 Comptes 2020 natures'!S24/'4.1 Comptes 2020 natures'!S2</f>
        <v>106.71303724928366</v>
      </c>
      <c r="T24" s="4">
        <f>'4.1 Comptes 2020 natures'!T24/'4.1 Comptes 2020 natures'!T2</f>
        <v>40.525181950509463</v>
      </c>
      <c r="U24" s="4">
        <f>'4.1 Comptes 2020 natures'!U24/'4.1 Comptes 2020 natures'!U2</f>
        <v>57.901568627450978</v>
      </c>
      <c r="V24" s="4">
        <f>'4.1 Comptes 2020 natures'!V24/'4.1 Comptes 2020 natures'!V2</f>
        <v>97.510321100917437</v>
      </c>
      <c r="W24" s="4">
        <f>'4.1 Comptes 2020 natures'!W24/'4.1 Comptes 2020 natures'!W2</f>
        <v>51.754893416927892</v>
      </c>
      <c r="X24" s="4">
        <f>'4.1 Comptes 2020 natures'!X24/'4.1 Comptes 2020 natures'!X2</f>
        <v>44.720216049382714</v>
      </c>
      <c r="Y24" s="4">
        <f>'4.1 Comptes 2020 natures'!Y24/'4.1 Comptes 2020 natures'!Y2</f>
        <v>28.862311396468701</v>
      </c>
      <c r="Z24" s="4">
        <f>'4.1 Comptes 2020 natures'!Z24/'4.1 Comptes 2020 natures'!Z2</f>
        <v>39.55261780104712</v>
      </c>
      <c r="AA24" s="4">
        <f>'4.1 Comptes 2020 natures'!AA24/'4.1 Comptes 2020 natures'!AA2</f>
        <v>41.288541666666667</v>
      </c>
      <c r="AB24" s="4">
        <f>'4.1 Comptes 2020 natures'!AB24/'4.1 Comptes 2020 natures'!AB2</f>
        <v>40.519463087248319</v>
      </c>
      <c r="AC24" s="4">
        <f>'4.1 Comptes 2020 natures'!AC24/'4.1 Comptes 2020 natures'!AC2</f>
        <v>-167.09680232558139</v>
      </c>
      <c r="AD24" s="4">
        <f>'4.1 Comptes 2020 natures'!AD24/'4.1 Comptes 2020 natures'!AD2</f>
        <v>36.277004470938898</v>
      </c>
      <c r="AE24" s="4">
        <f>'4.1 Comptes 2020 natures'!AE24/'4.1 Comptes 2020 natures'!AE2</f>
        <v>12.993164335664336</v>
      </c>
      <c r="AF24" s="4">
        <f>'4.1 Comptes 2020 natures'!AF24/'4.1 Comptes 2020 natures'!AF2</f>
        <v>51.374183673469382</v>
      </c>
      <c r="AG24" s="4">
        <f>'4.1 Comptes 2020 natures'!AG24/'4.1 Comptes 2020 natures'!AG2</f>
        <v>12.976849529780564</v>
      </c>
      <c r="AH24" s="4">
        <f>'4.1 Comptes 2020 natures'!AH24/'4.1 Comptes 2020 natures'!AH2</f>
        <v>39.604183556405353</v>
      </c>
      <c r="AI24" s="4">
        <f>'4.1 Comptes 2020 natures'!AI24/'4.1 Comptes 2020 natures'!AI2</f>
        <v>47.104405286343614</v>
      </c>
      <c r="AJ24" s="4">
        <f>'4.1 Comptes 2020 natures'!AJ24/'4.1 Comptes 2020 natures'!AJ2</f>
        <v>51.753053435114502</v>
      </c>
      <c r="AK24" s="4">
        <f>'4.1 Comptes 2020 natures'!AK24/'4.1 Comptes 2020 natures'!AK2</f>
        <v>56.786807387862794</v>
      </c>
      <c r="AL24" s="4">
        <f>'4.1 Comptes 2020 natures'!AL24/'4.1 Comptes 2020 natures'!AL2</f>
        <v>93.842977973568281</v>
      </c>
      <c r="AM24" s="4">
        <f>'4.1 Comptes 2020 natures'!AM24/'4.1 Comptes 2020 natures'!AM2</f>
        <v>75.615310233682521</v>
      </c>
      <c r="AN24" s="4">
        <f>'4.1 Comptes 2020 natures'!AN24/'4.1 Comptes 2020 natures'!AN2</f>
        <v>116.6290756302521</v>
      </c>
      <c r="AO24" s="4">
        <f>'4.1 Comptes 2020 natures'!AO24/'4.1 Comptes 2020 natures'!AO2</f>
        <v>-132.30837656903768</v>
      </c>
      <c r="AP24" s="4">
        <f>'4.1 Comptes 2020 natures'!AP24/'4.1 Comptes 2020 natures'!AP2</f>
        <v>-182.69794871794872</v>
      </c>
      <c r="AQ24" s="4">
        <f>'4.1 Comptes 2020 natures'!AQ24/'4.1 Comptes 2020 natures'!AQ2</f>
        <v>33.213953488372091</v>
      </c>
      <c r="AR24" s="4">
        <f>'4.1 Comptes 2020 natures'!AR24/'4.1 Comptes 2020 natures'!AR2</f>
        <v>80.41757719714964</v>
      </c>
      <c r="AS24" s="4">
        <f>'4.1 Comptes 2020 natures'!AS24/'4.1 Comptes 2020 natures'!AS2</f>
        <v>16.696081081081083</v>
      </c>
      <c r="AT24" s="4">
        <f>'4.1 Comptes 2020 natures'!AT24/'4.1 Comptes 2020 natures'!AT2</f>
        <v>26.118511673151751</v>
      </c>
      <c r="AU24" s="4">
        <f>'4.1 Comptes 2020 natures'!AU24/'4.1 Comptes 2020 natures'!AU2</f>
        <v>229.90700636942677</v>
      </c>
      <c r="AV24" s="4">
        <f>'4.1 Comptes 2020 natures'!AV24/'4.1 Comptes 2020 natures'!AV2</f>
        <v>106.45011666666666</v>
      </c>
      <c r="AW24" s="4">
        <f>'4.1 Comptes 2020 natures'!AW24/'4.1 Comptes 2020 natures'!AW2</f>
        <v>78.865019867549663</v>
      </c>
      <c r="AX24" s="4">
        <f>'4.1 Comptes 2020 natures'!AX24/'4.1 Comptes 2020 natures'!AX2</f>
        <v>53.501657458563535</v>
      </c>
      <c r="AY24" s="4">
        <f>'4.1 Comptes 2020 natures'!AY24/'4.1 Comptes 2020 natures'!AY2</f>
        <v>65.698270893371756</v>
      </c>
      <c r="AZ24" s="4">
        <f>'4.1 Comptes 2020 natures'!AZ24/'4.1 Comptes 2020 natures'!AZ2</f>
        <v>37.605088757396452</v>
      </c>
      <c r="BA24" s="4">
        <f>'4.1 Comptes 2020 natures'!BA24/'4.1 Comptes 2020 natures'!BA2</f>
        <v>28.426356589147286</v>
      </c>
      <c r="BB24" s="4">
        <f>'4.1 Comptes 2020 natures'!BB24/'4.1 Comptes 2020 natures'!BB2</f>
        <v>12.457992700729926</v>
      </c>
      <c r="BC24" s="4">
        <f>'4.1 Comptes 2020 natures'!BC24/'4.1 Comptes 2020 natures'!BC2</f>
        <v>40.324202127659575</v>
      </c>
      <c r="BD24" s="4">
        <f>'4.1 Comptes 2020 natures'!BD24/'4.1 Comptes 2020 natures'!BD2</f>
        <v>72.408400683866958</v>
      </c>
      <c r="BE24" s="4">
        <f>'4.1 Comptes 2020 natures'!BE24/'4.1 Comptes 2020 natures'!BE2</f>
        <v>37.56964285714286</v>
      </c>
      <c r="BF24" s="4">
        <f t="shared" si="10"/>
        <v>1840.6575028060315</v>
      </c>
      <c r="BG24" s="4">
        <f t="shared" si="7"/>
        <v>613.20058649342752</v>
      </c>
      <c r="BH24" s="4">
        <f t="shared" si="8"/>
        <v>279.92919196294878</v>
      </c>
      <c r="BI24" s="4">
        <f t="shared" si="9"/>
        <v>947.52772434965516</v>
      </c>
    </row>
    <row r="25" spans="2:61" x14ac:dyDescent="0.3">
      <c r="C25">
        <v>319</v>
      </c>
      <c r="D25" t="s">
        <v>97</v>
      </c>
      <c r="E25" s="4">
        <f>'4.1 Comptes 2020 natures'!E25/'4.1 Comptes 2020 natures'!E2</f>
        <v>2.522101841820152</v>
      </c>
      <c r="F25" s="4">
        <f>'4.1 Comptes 2020 natures'!F25/'4.1 Comptes 2020 natures'!F2</f>
        <v>0.18518518518518517</v>
      </c>
      <c r="G25" s="4">
        <f>'4.1 Comptes 2020 natures'!G25/'4.1 Comptes 2020 natures'!G2</f>
        <v>9.005567010309278</v>
      </c>
      <c r="H25" s="4">
        <f>'4.1 Comptes 2020 natures'!H25/'4.1 Comptes 2020 natures'!H2</f>
        <v>6.0732062780269063</v>
      </c>
      <c r="I25" s="4">
        <f>'4.1 Comptes 2020 natures'!I25/'4.1 Comptes 2020 natures'!I2</f>
        <v>9.0913026714403742</v>
      </c>
      <c r="J25" s="4">
        <f>'4.1 Comptes 2020 natures'!J25/'4.1 Comptes 2020 natures'!J2</f>
        <v>7.153649260488983</v>
      </c>
      <c r="K25" s="4">
        <f>'4.1 Comptes 2020 natures'!K25/'4.1 Comptes 2020 natures'!K2</f>
        <v>8.1077344931921331</v>
      </c>
      <c r="L25" s="4">
        <f>'4.1 Comptes 2020 natures'!L25/'4.1 Comptes 2020 natures'!L2</f>
        <v>14.673755745760026</v>
      </c>
      <c r="M25" s="4">
        <f>'4.1 Comptes 2020 natures'!M25/'4.1 Comptes 2020 natures'!M2</f>
        <v>39.02261123267688</v>
      </c>
      <c r="N25" s="4">
        <f>'4.1 Comptes 2020 natures'!N25/'4.1 Comptes 2020 natures'!N2</f>
        <v>25.010169491525421</v>
      </c>
      <c r="O25" s="4">
        <f>'4.1 Comptes 2020 natures'!O25/'4.1 Comptes 2020 natures'!O2</f>
        <v>1.9034951862704061</v>
      </c>
      <c r="P25" s="4">
        <f>'4.1 Comptes 2020 natures'!P25/'4.1 Comptes 2020 natures'!P2</f>
        <v>0.35984848484848486</v>
      </c>
      <c r="Q25" s="4">
        <f>'4.1 Comptes 2020 natures'!Q25/'4.1 Comptes 2020 natures'!Q2</f>
        <v>5.493981481481482</v>
      </c>
      <c r="R25" s="4">
        <f>'4.1 Comptes 2020 natures'!R25/'4.1 Comptes 2020 natures'!R2</f>
        <v>0</v>
      </c>
      <c r="S25" s="4">
        <f>'4.1 Comptes 2020 natures'!S25/'4.1 Comptes 2020 natures'!S2</f>
        <v>3.8584527220630371</v>
      </c>
      <c r="T25" s="4">
        <f>'4.1 Comptes 2020 natures'!T25/'4.1 Comptes 2020 natures'!T2</f>
        <v>6.9767103347889377</v>
      </c>
      <c r="U25" s="4">
        <f>'4.1 Comptes 2020 natures'!U25/'4.1 Comptes 2020 natures'!U2</f>
        <v>2.7023921568627451</v>
      </c>
      <c r="V25" s="4">
        <f>'4.1 Comptes 2020 natures'!V25/'4.1 Comptes 2020 natures'!V2</f>
        <v>2.7512614678899081</v>
      </c>
      <c r="W25" s="4">
        <f>'4.1 Comptes 2020 natures'!W25/'4.1 Comptes 2020 natures'!W2</f>
        <v>2.1802821316614422</v>
      </c>
      <c r="X25" s="4">
        <f>'4.1 Comptes 2020 natures'!X25/'4.1 Comptes 2020 natures'!X2</f>
        <v>4.5828703703703697</v>
      </c>
      <c r="Y25" s="4">
        <f>'4.1 Comptes 2020 natures'!Y25/'4.1 Comptes 2020 natures'!Y2</f>
        <v>12.220505617977528</v>
      </c>
      <c r="Z25" s="4">
        <f>'4.1 Comptes 2020 natures'!Z25/'4.1 Comptes 2020 natures'!Z2</f>
        <v>10.922513089005234</v>
      </c>
      <c r="AA25" s="4">
        <f>'4.1 Comptes 2020 natures'!AA25/'4.1 Comptes 2020 natures'!AA2</f>
        <v>10.161458333333334</v>
      </c>
      <c r="AB25" s="4">
        <f>'4.1 Comptes 2020 natures'!AB25/'4.1 Comptes 2020 natures'!AB2</f>
        <v>9.1261744966442944</v>
      </c>
      <c r="AC25" s="4">
        <f>'4.1 Comptes 2020 natures'!AC25/'4.1 Comptes 2020 natures'!AC2</f>
        <v>1.9201550387596897</v>
      </c>
      <c r="AD25" s="4">
        <f>'4.1 Comptes 2020 natures'!AD25/'4.1 Comptes 2020 natures'!AD2</f>
        <v>10.682712369597615</v>
      </c>
      <c r="AE25" s="4">
        <f>'4.1 Comptes 2020 natures'!AE25/'4.1 Comptes 2020 natures'!AE2</f>
        <v>5.1392482517482518</v>
      </c>
      <c r="AF25" s="4">
        <f>'4.1 Comptes 2020 natures'!AF25/'4.1 Comptes 2020 natures'!AF2</f>
        <v>3.6542857142857139</v>
      </c>
      <c r="AG25" s="4">
        <f>'4.1 Comptes 2020 natures'!AG25/'4.1 Comptes 2020 natures'!AG2</f>
        <v>3.4472309299895505</v>
      </c>
      <c r="AH25" s="4">
        <f>'4.1 Comptes 2020 natures'!AH25/'4.1 Comptes 2020 natures'!AH2</f>
        <v>4.5572084130019119</v>
      </c>
      <c r="AI25" s="4">
        <f>'4.1 Comptes 2020 natures'!AI25/'4.1 Comptes 2020 natures'!AI2</f>
        <v>3.0365638766519822</v>
      </c>
      <c r="AJ25" s="4">
        <f>'4.1 Comptes 2020 natures'!AJ25/'4.1 Comptes 2020 natures'!AJ2</f>
        <v>11.809160305343511</v>
      </c>
      <c r="AK25" s="4">
        <f>'4.1 Comptes 2020 natures'!AK25/'4.1 Comptes 2020 natures'!AK2</f>
        <v>0</v>
      </c>
      <c r="AL25" s="4">
        <f>'4.1 Comptes 2020 natures'!AL25/'4.1 Comptes 2020 natures'!AL2</f>
        <v>15.63784140969163</v>
      </c>
      <c r="AM25" s="4">
        <f>'4.1 Comptes 2020 natures'!AM25/'4.1 Comptes 2020 natures'!AM2</f>
        <v>0.76075745366639813</v>
      </c>
      <c r="AN25" s="4">
        <f>'4.1 Comptes 2020 natures'!AN25/'4.1 Comptes 2020 natures'!AN2</f>
        <v>0</v>
      </c>
      <c r="AO25" s="4">
        <f>'4.1 Comptes 2020 natures'!AO25/'4.1 Comptes 2020 natures'!AO2</f>
        <v>27.862343096234309</v>
      </c>
      <c r="AP25" s="4">
        <f>'4.1 Comptes 2020 natures'!AP25/'4.1 Comptes 2020 natures'!AP2</f>
        <v>2.0484917043740576</v>
      </c>
      <c r="AQ25" s="4">
        <f>'4.1 Comptes 2020 natures'!AQ25/'4.1 Comptes 2020 natures'!AQ2</f>
        <v>0.15720930232558139</v>
      </c>
      <c r="AR25" s="4">
        <f>'4.1 Comptes 2020 natures'!AR25/'4.1 Comptes 2020 natures'!AR2</f>
        <v>12.653127474267617</v>
      </c>
      <c r="AS25" s="4">
        <f>'4.1 Comptes 2020 natures'!AS25/'4.1 Comptes 2020 natures'!AS2</f>
        <v>3.2316216216216218</v>
      </c>
      <c r="AT25" s="4">
        <f>'4.1 Comptes 2020 natures'!AT25/'4.1 Comptes 2020 natures'!AT2</f>
        <v>21.918482490272375</v>
      </c>
      <c r="AU25" s="4">
        <f>'4.1 Comptes 2020 natures'!AU25/'4.1 Comptes 2020 natures'!AU2</f>
        <v>7.061783439490446</v>
      </c>
      <c r="AV25" s="4">
        <f>'4.1 Comptes 2020 natures'!AV25/'4.1 Comptes 2020 natures'!AV2</f>
        <v>8.75</v>
      </c>
      <c r="AW25" s="4">
        <f>'4.1 Comptes 2020 natures'!AW25/'4.1 Comptes 2020 natures'!AW2</f>
        <v>14.230860927152317</v>
      </c>
      <c r="AX25" s="4">
        <f>'4.1 Comptes 2020 natures'!AX25/'4.1 Comptes 2020 natures'!AX2</f>
        <v>0.97182320441988956</v>
      </c>
      <c r="AY25" s="4">
        <f>'4.1 Comptes 2020 natures'!AY25/'4.1 Comptes 2020 natures'!AY2</f>
        <v>0</v>
      </c>
      <c r="AZ25" s="4">
        <f>'4.1 Comptes 2020 natures'!AZ25/'4.1 Comptes 2020 natures'!AZ2</f>
        <v>1.9602071005917159</v>
      </c>
      <c r="BA25" s="4">
        <f>'4.1 Comptes 2020 natures'!BA25/'4.1 Comptes 2020 natures'!BA2</f>
        <v>0</v>
      </c>
      <c r="BB25" s="4">
        <f>'4.1 Comptes 2020 natures'!BB25/'4.1 Comptes 2020 natures'!BB2</f>
        <v>6.9255474452554742</v>
      </c>
      <c r="BC25" s="4">
        <f>'4.1 Comptes 2020 natures'!BC25/'4.1 Comptes 2020 natures'!BC2</f>
        <v>3.9393617021276599</v>
      </c>
      <c r="BD25" s="4">
        <f>'4.1 Comptes 2020 natures'!BD25/'4.1 Comptes 2020 natures'!BD2</f>
        <v>24.783136462542743</v>
      </c>
      <c r="BE25" s="4">
        <f>'4.1 Comptes 2020 natures'!BE25/'4.1 Comptes 2020 natures'!BE2</f>
        <v>5.8784821428571421</v>
      </c>
      <c r="BF25" s="4">
        <f t="shared" si="10"/>
        <v>397.10287095989173</v>
      </c>
      <c r="BG25" s="4">
        <f t="shared" si="7"/>
        <v>147.0717071762918</v>
      </c>
      <c r="BH25" s="4">
        <f t="shared" si="8"/>
        <v>91.260086806708998</v>
      </c>
      <c r="BI25" s="4">
        <f t="shared" si="9"/>
        <v>158.77107697689098</v>
      </c>
    </row>
    <row r="26" spans="2:61" x14ac:dyDescent="0.3">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3">
      <c r="B27" s="94">
        <v>33</v>
      </c>
      <c r="C27" s="94"/>
      <c r="D27" s="94" t="s">
        <v>98</v>
      </c>
      <c r="E27" s="95">
        <f>E28+E29</f>
        <v>547.51785482123512</v>
      </c>
      <c r="F27" s="95">
        <f t="shared" ref="F27:BI27" si="11">F28+F29</f>
        <v>294.75555555555553</v>
      </c>
      <c r="G27" s="95">
        <f t="shared" si="11"/>
        <v>75.136082474226811</v>
      </c>
      <c r="H27" s="95">
        <f t="shared" si="11"/>
        <v>224.7982062780269</v>
      </c>
      <c r="I27" s="95">
        <f t="shared" si="11"/>
        <v>204.53010190030295</v>
      </c>
      <c r="J27" s="95">
        <f t="shared" si="11"/>
        <v>304.35559915484453</v>
      </c>
      <c r="K27" s="95">
        <f t="shared" si="11"/>
        <v>212.65181543116492</v>
      </c>
      <c r="L27" s="95">
        <f t="shared" si="11"/>
        <v>405.69524568077355</v>
      </c>
      <c r="M27" s="95">
        <f t="shared" si="11"/>
        <v>192.87099927060541</v>
      </c>
      <c r="N27" s="95">
        <f t="shared" si="11"/>
        <v>463.8541525423729</v>
      </c>
      <c r="O27" s="95">
        <f t="shared" si="11"/>
        <v>182.98382168271243</v>
      </c>
      <c r="P27" s="95">
        <f t="shared" si="11"/>
        <v>259.61742424242425</v>
      </c>
      <c r="Q27" s="95">
        <f t="shared" si="11"/>
        <v>118.93518518518519</v>
      </c>
      <c r="R27" s="95">
        <f t="shared" si="11"/>
        <v>228.67469879518072</v>
      </c>
      <c r="S27" s="95">
        <f t="shared" si="11"/>
        <v>193.55300859598853</v>
      </c>
      <c r="T27" s="95">
        <f t="shared" si="11"/>
        <v>217.09359534206695</v>
      </c>
      <c r="U27" s="95">
        <f t="shared" si="11"/>
        <v>129.44749019607843</v>
      </c>
      <c r="V27" s="95">
        <f t="shared" si="11"/>
        <v>356.44392201834864</v>
      </c>
      <c r="W27" s="95">
        <f t="shared" si="11"/>
        <v>299.33158934169279</v>
      </c>
      <c r="X27" s="95">
        <f t="shared" si="11"/>
        <v>159.47885802469136</v>
      </c>
      <c r="Y27" s="95">
        <f t="shared" si="11"/>
        <v>211.6343900481541</v>
      </c>
      <c r="Z27" s="95">
        <f t="shared" si="11"/>
        <v>203.17402486910993</v>
      </c>
      <c r="AA27" s="95">
        <f t="shared" si="11"/>
        <v>419.1385416666667</v>
      </c>
      <c r="AB27" s="95">
        <f t="shared" si="11"/>
        <v>4.6979865771812079</v>
      </c>
      <c r="AC27" s="95">
        <f t="shared" si="11"/>
        <v>188.6449612403101</v>
      </c>
      <c r="AD27" s="95">
        <f t="shared" si="11"/>
        <v>261.41526080476905</v>
      </c>
      <c r="AE27" s="95">
        <f t="shared" si="11"/>
        <v>197.37762237762237</v>
      </c>
      <c r="AF27" s="95">
        <f t="shared" si="11"/>
        <v>94.084795918367348</v>
      </c>
      <c r="AG27" s="95">
        <f t="shared" si="11"/>
        <v>314.59717868338561</v>
      </c>
      <c r="AH27" s="95">
        <f t="shared" si="11"/>
        <v>430.77837476099427</v>
      </c>
      <c r="AI27" s="95">
        <f t="shared" si="11"/>
        <v>323.87687224669605</v>
      </c>
      <c r="AJ27" s="95">
        <f t="shared" si="11"/>
        <v>85.648854961832058</v>
      </c>
      <c r="AK27" s="95">
        <f t="shared" si="11"/>
        <v>222.46121372031664</v>
      </c>
      <c r="AL27" s="95">
        <f t="shared" si="11"/>
        <v>338.1918061674009</v>
      </c>
      <c r="AM27" s="95">
        <f t="shared" si="11"/>
        <v>212.61079774375503</v>
      </c>
      <c r="AN27" s="95">
        <f t="shared" si="11"/>
        <v>156.30252100840337</v>
      </c>
      <c r="AO27" s="95">
        <f t="shared" si="11"/>
        <v>513.40920502092047</v>
      </c>
      <c r="AP27" s="95">
        <f t="shared" si="11"/>
        <v>101.58371040723982</v>
      </c>
      <c r="AQ27" s="95">
        <f t="shared" si="11"/>
        <v>320.13775193798449</v>
      </c>
      <c r="AR27" s="95">
        <f t="shared" si="11"/>
        <v>468.65783847980998</v>
      </c>
      <c r="AS27" s="95">
        <f t="shared" si="11"/>
        <v>179.5943243243243</v>
      </c>
      <c r="AT27" s="95">
        <f t="shared" si="11"/>
        <v>229.57847276264593</v>
      </c>
      <c r="AU27" s="95">
        <f t="shared" si="11"/>
        <v>1376.0952229299364</v>
      </c>
      <c r="AV27" s="95">
        <f t="shared" si="11"/>
        <v>181.38256666666666</v>
      </c>
      <c r="AW27" s="95">
        <f t="shared" si="11"/>
        <v>141.02949668874172</v>
      </c>
      <c r="AX27" s="95">
        <f t="shared" si="11"/>
        <v>173.53591160220995</v>
      </c>
      <c r="AY27" s="95">
        <f t="shared" si="11"/>
        <v>536.49855907780977</v>
      </c>
      <c r="AZ27" s="95">
        <f t="shared" si="11"/>
        <v>338.3390828402367</v>
      </c>
      <c r="BA27" s="95">
        <f t="shared" si="11"/>
        <v>75.038759689922486</v>
      </c>
      <c r="BB27" s="95">
        <f t="shared" si="11"/>
        <v>348.00148722627739</v>
      </c>
      <c r="BC27" s="95">
        <f t="shared" si="11"/>
        <v>66.361702127659569</v>
      </c>
      <c r="BD27" s="95">
        <f t="shared" si="11"/>
        <v>501.9920329499534</v>
      </c>
      <c r="BE27" s="95">
        <f t="shared" si="11"/>
        <v>183.17601785714288</v>
      </c>
      <c r="BF27" s="95">
        <f t="shared" si="11"/>
        <v>14470.772551917922</v>
      </c>
      <c r="BG27" s="95">
        <f t="shared" si="11"/>
        <v>4912.2463485087874</v>
      </c>
      <c r="BH27" s="95">
        <f t="shared" si="11"/>
        <v>2894.5477221797801</v>
      </c>
      <c r="BI27" s="95">
        <f t="shared" si="11"/>
        <v>6663.9784812293565</v>
      </c>
    </row>
    <row r="28" spans="2:61" x14ac:dyDescent="0.3">
      <c r="C28">
        <v>330</v>
      </c>
      <c r="D28" t="s">
        <v>100</v>
      </c>
      <c r="E28" s="4">
        <f>'4.1 Comptes 2020 natures'!E28/'4.1 Comptes 2020 natures'!E2</f>
        <v>511.99821235102922</v>
      </c>
      <c r="F28" s="4">
        <f>'4.1 Comptes 2020 natures'!F28/'4.1 Comptes 2020 natures'!F2</f>
        <v>251.49629629629629</v>
      </c>
      <c r="G28" s="4">
        <f>'4.1 Comptes 2020 natures'!G28/'4.1 Comptes 2020 natures'!G2</f>
        <v>71.535051546391756</v>
      </c>
      <c r="H28" s="4">
        <f>'4.1 Comptes 2020 natures'!H28/'4.1 Comptes 2020 natures'!H2</f>
        <v>224.7982062780269</v>
      </c>
      <c r="I28" s="4">
        <f>'4.1 Comptes 2020 natures'!I28/'4.1 Comptes 2020 natures'!I2</f>
        <v>199.51220049573121</v>
      </c>
      <c r="J28" s="4">
        <f>'4.1 Comptes 2020 natures'!J28/'4.1 Comptes 2020 natures'!J2</f>
        <v>301.70802897675821</v>
      </c>
      <c r="K28" s="4">
        <f>'4.1 Comptes 2020 natures'!K28/'4.1 Comptes 2020 natures'!K2</f>
        <v>212.65181543116492</v>
      </c>
      <c r="L28" s="4">
        <f>'4.1 Comptes 2020 natures'!L28/'4.1 Comptes 2020 natures'!L2</f>
        <v>405.69524568077355</v>
      </c>
      <c r="M28" s="4">
        <f>'4.1 Comptes 2020 natures'!M28/'4.1 Comptes 2020 natures'!M2</f>
        <v>191.53620714806712</v>
      </c>
      <c r="N28" s="4">
        <f>'4.1 Comptes 2020 natures'!N28/'4.1 Comptes 2020 natures'!N2</f>
        <v>463.8541525423729</v>
      </c>
      <c r="O28" s="4">
        <f>'4.1 Comptes 2020 natures'!O28/'4.1 Comptes 2020 natures'!O2</f>
        <v>179.4945862983117</v>
      </c>
      <c r="P28" s="4">
        <f>'4.1 Comptes 2020 natures'!P28/'4.1 Comptes 2020 natures'!P2</f>
        <v>259.61742424242425</v>
      </c>
      <c r="Q28" s="4">
        <f>'4.1 Comptes 2020 natures'!Q28/'4.1 Comptes 2020 natures'!Q2</f>
        <v>118.93518518518519</v>
      </c>
      <c r="R28" s="4">
        <f>'4.1 Comptes 2020 natures'!R28/'4.1 Comptes 2020 natures'!R2</f>
        <v>228.67469879518072</v>
      </c>
      <c r="S28" s="4">
        <f>'4.1 Comptes 2020 natures'!S28/'4.1 Comptes 2020 natures'!S2</f>
        <v>193.55300859598853</v>
      </c>
      <c r="T28" s="4">
        <f>'4.1 Comptes 2020 natures'!T28/'4.1 Comptes 2020 natures'!T2</f>
        <v>217.09359534206695</v>
      </c>
      <c r="U28" s="4">
        <f>'4.1 Comptes 2020 natures'!U28/'4.1 Comptes 2020 natures'!U2</f>
        <v>129.44749019607843</v>
      </c>
      <c r="V28" s="4">
        <f>'4.1 Comptes 2020 natures'!V28/'4.1 Comptes 2020 natures'!V2</f>
        <v>315.36697247706422</v>
      </c>
      <c r="W28" s="4">
        <f>'4.1 Comptes 2020 natures'!W28/'4.1 Comptes 2020 natures'!W2</f>
        <v>282.30031974921633</v>
      </c>
      <c r="X28" s="4">
        <f>'4.1 Comptes 2020 natures'!X28/'4.1 Comptes 2020 natures'!X2</f>
        <v>159.47885802469136</v>
      </c>
      <c r="Y28" s="4">
        <f>'4.1 Comptes 2020 natures'!Y28/'4.1 Comptes 2020 natures'!Y2</f>
        <v>211.6343900481541</v>
      </c>
      <c r="Z28" s="4">
        <f>'4.1 Comptes 2020 natures'!Z28/'4.1 Comptes 2020 natures'!Z2</f>
        <v>203.17402486910993</v>
      </c>
      <c r="AA28" s="4">
        <f>'4.1 Comptes 2020 natures'!AA28/'4.1 Comptes 2020 natures'!AA2</f>
        <v>419.1385416666667</v>
      </c>
      <c r="AB28" s="4">
        <f>'4.1 Comptes 2020 natures'!AB28/'4.1 Comptes 2020 natures'!AB2</f>
        <v>4.6979865771812079</v>
      </c>
      <c r="AC28" s="4">
        <f>'4.1 Comptes 2020 natures'!AC28/'4.1 Comptes 2020 natures'!AC2</f>
        <v>178.90658914728684</v>
      </c>
      <c r="AD28" s="4">
        <f>'4.1 Comptes 2020 natures'!AD28/'4.1 Comptes 2020 natures'!AD2</f>
        <v>261.41526080476905</v>
      </c>
      <c r="AE28" s="4">
        <f>'4.1 Comptes 2020 natures'!AE28/'4.1 Comptes 2020 natures'!AE2</f>
        <v>197.37762237762237</v>
      </c>
      <c r="AF28" s="4">
        <f>'4.1 Comptes 2020 natures'!AF28/'4.1 Comptes 2020 natures'!AF2</f>
        <v>94.084795918367348</v>
      </c>
      <c r="AG28" s="4">
        <f>'4.1 Comptes 2020 natures'!AG28/'4.1 Comptes 2020 natures'!AG2</f>
        <v>314.59717868338561</v>
      </c>
      <c r="AH28" s="4">
        <f>'4.1 Comptes 2020 natures'!AH28/'4.1 Comptes 2020 natures'!AH2</f>
        <v>415.41891013384321</v>
      </c>
      <c r="AI28" s="4">
        <f>'4.1 Comptes 2020 natures'!AI28/'4.1 Comptes 2020 natures'!AI2</f>
        <v>323.87687224669605</v>
      </c>
      <c r="AJ28" s="4">
        <f>'4.1 Comptes 2020 natures'!AJ28/'4.1 Comptes 2020 natures'!AJ2</f>
        <v>85.648854961832058</v>
      </c>
      <c r="AK28" s="4">
        <f>'4.1 Comptes 2020 natures'!AK28/'4.1 Comptes 2020 natures'!AK2</f>
        <v>222.46121372031664</v>
      </c>
      <c r="AL28" s="4">
        <f>'4.1 Comptes 2020 natures'!AL28/'4.1 Comptes 2020 natures'!AL2</f>
        <v>338.1918061674009</v>
      </c>
      <c r="AM28" s="4">
        <f>'4.1 Comptes 2020 natures'!AM28/'4.1 Comptes 2020 natures'!AM2</f>
        <v>196.696212731668</v>
      </c>
      <c r="AN28" s="4">
        <f>'4.1 Comptes 2020 natures'!AN28/'4.1 Comptes 2020 natures'!AN2</f>
        <v>156.30252100840337</v>
      </c>
      <c r="AO28" s="4">
        <f>'4.1 Comptes 2020 natures'!AO28/'4.1 Comptes 2020 natures'!AO2</f>
        <v>504.70627615062762</v>
      </c>
      <c r="AP28" s="4">
        <f>'4.1 Comptes 2020 natures'!AP28/'4.1 Comptes 2020 natures'!AP2</f>
        <v>101.58371040723982</v>
      </c>
      <c r="AQ28" s="4">
        <f>'4.1 Comptes 2020 natures'!AQ28/'4.1 Comptes 2020 natures'!AQ2</f>
        <v>320.13775193798449</v>
      </c>
      <c r="AR28" s="4">
        <f>'4.1 Comptes 2020 natures'!AR28/'4.1 Comptes 2020 natures'!AR2</f>
        <v>461.53194774346792</v>
      </c>
      <c r="AS28" s="4">
        <f>'4.1 Comptes 2020 natures'!AS28/'4.1 Comptes 2020 natures'!AS2</f>
        <v>179.5943243243243</v>
      </c>
      <c r="AT28" s="4">
        <f>'4.1 Comptes 2020 natures'!AT28/'4.1 Comptes 2020 natures'!AT2</f>
        <v>229.12786964980546</v>
      </c>
      <c r="AU28" s="4">
        <f>'4.1 Comptes 2020 natures'!AU28/'4.1 Comptes 2020 natures'!AU2</f>
        <v>1376.0952229299364</v>
      </c>
      <c r="AV28" s="4">
        <f>'4.1 Comptes 2020 natures'!AV28/'4.1 Comptes 2020 natures'!AV2</f>
        <v>181.38256666666666</v>
      </c>
      <c r="AW28" s="4">
        <f>'4.1 Comptes 2020 natures'!AW28/'4.1 Comptes 2020 natures'!AW2</f>
        <v>141.02949668874172</v>
      </c>
      <c r="AX28" s="4">
        <f>'4.1 Comptes 2020 natures'!AX28/'4.1 Comptes 2020 natures'!AX2</f>
        <v>173.53591160220995</v>
      </c>
      <c r="AY28" s="4">
        <f>'4.1 Comptes 2020 natures'!AY28/'4.1 Comptes 2020 natures'!AY2</f>
        <v>523.5302593659942</v>
      </c>
      <c r="AZ28" s="4">
        <f>'4.1 Comptes 2020 natures'!AZ28/'4.1 Comptes 2020 natures'!AZ2</f>
        <v>313.54322485207103</v>
      </c>
      <c r="BA28" s="4">
        <f>'4.1 Comptes 2020 natures'!BA28/'4.1 Comptes 2020 natures'!BA2</f>
        <v>75.038759689922486</v>
      </c>
      <c r="BB28" s="4">
        <f>'4.1 Comptes 2020 natures'!BB28/'4.1 Comptes 2020 natures'!BB2</f>
        <v>348.00148722627739</v>
      </c>
      <c r="BC28" s="4">
        <f>'4.1 Comptes 2020 natures'!BC28/'4.1 Comptes 2020 natures'!BC2</f>
        <v>66.361702127659569</v>
      </c>
      <c r="BD28" s="4">
        <f>'4.1 Comptes 2020 natures'!BD28/'4.1 Comptes 2020 natures'!BD2</f>
        <v>459.97377059372087</v>
      </c>
      <c r="BE28" s="4">
        <f>'4.1 Comptes 2020 natures'!BE28/'4.1 Comptes 2020 natures'!BE2</f>
        <v>183.17601785714288</v>
      </c>
      <c r="BF28" s="4">
        <f t="shared" ref="BF28:BF29" si="12">SUM(E28:BE28)</f>
        <v>14180.720636529313</v>
      </c>
      <c r="BG28" s="4">
        <f t="shared" ref="BG28:BG29" si="13">SUM(E28:W28)</f>
        <v>4759.2686976281293</v>
      </c>
      <c r="BH28" s="4">
        <f t="shared" ref="BH28:BH29" si="14">SUM(X28:AJ28)</f>
        <v>2869.4498854596059</v>
      </c>
      <c r="BI28" s="4">
        <f t="shared" ref="BI28:BI29" si="15">SUM(AK28:BE28)</f>
        <v>6552.0020534415808</v>
      </c>
    </row>
    <row r="29" spans="2:61" x14ac:dyDescent="0.3">
      <c r="C29">
        <v>332</v>
      </c>
      <c r="D29" t="s">
        <v>99</v>
      </c>
      <c r="E29" s="4">
        <f>'4.1 Comptes 2020 natures'!E29/'4.1 Comptes 2020 natures'!E2</f>
        <v>35.519642470205845</v>
      </c>
      <c r="F29" s="4">
        <f>'4.1 Comptes 2020 natures'!F29/'4.1 Comptes 2020 natures'!F2</f>
        <v>43.25925925925926</v>
      </c>
      <c r="G29" s="4">
        <f>'4.1 Comptes 2020 natures'!G29/'4.1 Comptes 2020 natures'!G2</f>
        <v>3.6010309278350516</v>
      </c>
      <c r="H29" s="4">
        <f>'4.1 Comptes 2020 natures'!H29/'4.1 Comptes 2020 natures'!H2</f>
        <v>0</v>
      </c>
      <c r="I29" s="4">
        <f>'4.1 Comptes 2020 natures'!I29/'4.1 Comptes 2020 natures'!I2</f>
        <v>5.0179014045717434</v>
      </c>
      <c r="J29" s="4">
        <f>'4.1 Comptes 2020 natures'!J29/'4.1 Comptes 2020 natures'!J2</f>
        <v>2.6475701780863266</v>
      </c>
      <c r="K29" s="4">
        <f>'4.1 Comptes 2020 natures'!K29/'4.1 Comptes 2020 natures'!K2</f>
        <v>0</v>
      </c>
      <c r="L29" s="4">
        <f>'4.1 Comptes 2020 natures'!L29/'4.1 Comptes 2020 natures'!L2</f>
        <v>0</v>
      </c>
      <c r="M29" s="4">
        <f>'4.1 Comptes 2020 natures'!M29/'4.1 Comptes 2020 natures'!M2</f>
        <v>1.3347921225382933</v>
      </c>
      <c r="N29" s="4">
        <f>'4.1 Comptes 2020 natures'!N29/'4.1 Comptes 2020 natures'!N2</f>
        <v>0</v>
      </c>
      <c r="O29" s="4">
        <f>'4.1 Comptes 2020 natures'!O29/'4.1 Comptes 2020 natures'!O2</f>
        <v>3.4892353844007253</v>
      </c>
      <c r="P29" s="4">
        <f>'4.1 Comptes 2020 natures'!P29/'4.1 Comptes 2020 natures'!P2</f>
        <v>0</v>
      </c>
      <c r="Q29" s="4">
        <f>'4.1 Comptes 2020 natures'!Q29/'4.1 Comptes 2020 natures'!Q2</f>
        <v>0</v>
      </c>
      <c r="R29" s="4">
        <f>'4.1 Comptes 2020 natures'!R29/'4.1 Comptes 2020 natures'!R2</f>
        <v>0</v>
      </c>
      <c r="S29" s="4">
        <f>'4.1 Comptes 2020 natures'!S29/'4.1 Comptes 2020 natures'!S2</f>
        <v>0</v>
      </c>
      <c r="T29" s="4">
        <f>'4.1 Comptes 2020 natures'!T29/'4.1 Comptes 2020 natures'!T2</f>
        <v>0</v>
      </c>
      <c r="U29" s="4">
        <f>'4.1 Comptes 2020 natures'!U29/'4.1 Comptes 2020 natures'!U2</f>
        <v>0</v>
      </c>
      <c r="V29" s="4">
        <f>'4.1 Comptes 2020 natures'!V29/'4.1 Comptes 2020 natures'!V2</f>
        <v>41.076949541284399</v>
      </c>
      <c r="W29" s="4">
        <f>'4.1 Comptes 2020 natures'!W29/'4.1 Comptes 2020 natures'!W2</f>
        <v>17.031269592476487</v>
      </c>
      <c r="X29" s="4">
        <f>'4.1 Comptes 2020 natures'!X29/'4.1 Comptes 2020 natures'!X2</f>
        <v>0</v>
      </c>
      <c r="Y29" s="4">
        <f>'4.1 Comptes 2020 natures'!Y29/'4.1 Comptes 2020 natures'!Y2</f>
        <v>0</v>
      </c>
      <c r="Z29" s="4">
        <f>'4.1 Comptes 2020 natures'!Z29/'4.1 Comptes 2020 natures'!Z2</f>
        <v>0</v>
      </c>
      <c r="AA29" s="4">
        <f>'4.1 Comptes 2020 natures'!AA29/'4.1 Comptes 2020 natures'!AA2</f>
        <v>0</v>
      </c>
      <c r="AB29" s="4">
        <f>'4.1 Comptes 2020 natures'!AB29/'4.1 Comptes 2020 natures'!AB2</f>
        <v>0</v>
      </c>
      <c r="AC29" s="4">
        <f>'4.1 Comptes 2020 natures'!AC29/'4.1 Comptes 2020 natures'!AC2</f>
        <v>9.7383720930232567</v>
      </c>
      <c r="AD29" s="4">
        <f>'4.1 Comptes 2020 natures'!AD29/'4.1 Comptes 2020 natures'!AD2</f>
        <v>0</v>
      </c>
      <c r="AE29" s="4">
        <f>'4.1 Comptes 2020 natures'!AE29/'4.1 Comptes 2020 natures'!AE2</f>
        <v>0</v>
      </c>
      <c r="AF29" s="4">
        <f>'4.1 Comptes 2020 natures'!AF29/'4.1 Comptes 2020 natures'!AF2</f>
        <v>0</v>
      </c>
      <c r="AG29" s="4">
        <f>'4.1 Comptes 2020 natures'!AG29/'4.1 Comptes 2020 natures'!AG2</f>
        <v>0</v>
      </c>
      <c r="AH29" s="4">
        <f>'4.1 Comptes 2020 natures'!AH29/'4.1 Comptes 2020 natures'!AH2</f>
        <v>15.359464627151052</v>
      </c>
      <c r="AI29" s="4">
        <f>'4.1 Comptes 2020 natures'!AI29/'4.1 Comptes 2020 natures'!AI2</f>
        <v>0</v>
      </c>
      <c r="AJ29" s="4">
        <f>'4.1 Comptes 2020 natures'!AJ29/'4.1 Comptes 2020 natures'!AJ2</f>
        <v>0</v>
      </c>
      <c r="AK29" s="4">
        <f>'4.1 Comptes 2020 natures'!AK29/'4.1 Comptes 2020 natures'!AK2</f>
        <v>0</v>
      </c>
      <c r="AL29" s="4">
        <f>'4.1 Comptes 2020 natures'!AL29/'4.1 Comptes 2020 natures'!AL2</f>
        <v>0</v>
      </c>
      <c r="AM29" s="4">
        <f>'4.1 Comptes 2020 natures'!AM29/'4.1 Comptes 2020 natures'!AM2</f>
        <v>15.914585012087027</v>
      </c>
      <c r="AN29" s="4">
        <f>'4.1 Comptes 2020 natures'!AN29/'4.1 Comptes 2020 natures'!AN2</f>
        <v>0</v>
      </c>
      <c r="AO29" s="4">
        <f>'4.1 Comptes 2020 natures'!AO29/'4.1 Comptes 2020 natures'!AO2</f>
        <v>8.7029288702928866</v>
      </c>
      <c r="AP29" s="4">
        <f>'4.1 Comptes 2020 natures'!AP29/'4.1 Comptes 2020 natures'!AP2</f>
        <v>0</v>
      </c>
      <c r="AQ29" s="4">
        <f>'4.1 Comptes 2020 natures'!AQ29/'4.1 Comptes 2020 natures'!AQ2</f>
        <v>0</v>
      </c>
      <c r="AR29" s="4">
        <f>'4.1 Comptes 2020 natures'!AR29/'4.1 Comptes 2020 natures'!AR2</f>
        <v>7.1258907363420425</v>
      </c>
      <c r="AS29" s="4">
        <f>'4.1 Comptes 2020 natures'!AS29/'4.1 Comptes 2020 natures'!AS2</f>
        <v>0</v>
      </c>
      <c r="AT29" s="4">
        <f>'4.1 Comptes 2020 natures'!AT29/'4.1 Comptes 2020 natures'!AT2</f>
        <v>0.45060311284046695</v>
      </c>
      <c r="AU29" s="4">
        <f>'4.1 Comptes 2020 natures'!AU29/'4.1 Comptes 2020 natures'!AU2</f>
        <v>0</v>
      </c>
      <c r="AV29" s="4">
        <f>'4.1 Comptes 2020 natures'!AV29/'4.1 Comptes 2020 natures'!AV2</f>
        <v>0</v>
      </c>
      <c r="AW29" s="4">
        <f>'4.1 Comptes 2020 natures'!AW29/'4.1 Comptes 2020 natures'!AW2</f>
        <v>0</v>
      </c>
      <c r="AX29" s="4">
        <f>'4.1 Comptes 2020 natures'!AX29/'4.1 Comptes 2020 natures'!AX2</f>
        <v>0</v>
      </c>
      <c r="AY29" s="4">
        <f>'4.1 Comptes 2020 natures'!AY29/'4.1 Comptes 2020 natures'!AY2</f>
        <v>12.968299711815561</v>
      </c>
      <c r="AZ29" s="4">
        <f>'4.1 Comptes 2020 natures'!AZ29/'4.1 Comptes 2020 natures'!AZ2</f>
        <v>24.795857988165679</v>
      </c>
      <c r="BA29" s="4">
        <f>'4.1 Comptes 2020 natures'!BA29/'4.1 Comptes 2020 natures'!BA2</f>
        <v>0</v>
      </c>
      <c r="BB29" s="4">
        <f>'4.1 Comptes 2020 natures'!BB29/'4.1 Comptes 2020 natures'!BB2</f>
        <v>0</v>
      </c>
      <c r="BC29" s="4">
        <f>'4.1 Comptes 2020 natures'!BC29/'4.1 Comptes 2020 natures'!BC2</f>
        <v>0</v>
      </c>
      <c r="BD29" s="4">
        <f>'4.1 Comptes 2020 natures'!BD29/'4.1 Comptes 2020 natures'!BD2</f>
        <v>42.018262356232512</v>
      </c>
      <c r="BE29" s="4">
        <f>'4.1 Comptes 2020 natures'!BE29/'4.1 Comptes 2020 natures'!BE2</f>
        <v>0</v>
      </c>
      <c r="BF29" s="4">
        <f t="shared" si="12"/>
        <v>290.05191538860862</v>
      </c>
      <c r="BG29" s="4">
        <f t="shared" si="13"/>
        <v>152.97765088065813</v>
      </c>
      <c r="BH29" s="4">
        <f t="shared" si="14"/>
        <v>25.097836720174307</v>
      </c>
      <c r="BI29" s="4">
        <f t="shared" si="15"/>
        <v>111.97642778777617</v>
      </c>
    </row>
    <row r="30" spans="2:61" x14ac:dyDescent="0.3">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3">
      <c r="B31" s="94">
        <v>34</v>
      </c>
      <c r="C31" s="94"/>
      <c r="D31" s="94" t="s">
        <v>101</v>
      </c>
      <c r="E31" s="95">
        <f>E32+E33+E34+E35+E36+E37</f>
        <v>40.224962080173349</v>
      </c>
      <c r="F31" s="95">
        <f t="shared" ref="F31:BI31" si="16">F32+F33+F34+F35+F36+F37</f>
        <v>232.46625925925929</v>
      </c>
      <c r="G31" s="95">
        <f t="shared" si="16"/>
        <v>231.84861855670107</v>
      </c>
      <c r="H31" s="95">
        <f t="shared" si="16"/>
        <v>178.47997757847534</v>
      </c>
      <c r="I31" s="95">
        <f t="shared" si="16"/>
        <v>177.39237400165246</v>
      </c>
      <c r="J31" s="95">
        <f t="shared" si="16"/>
        <v>117.14456685783277</v>
      </c>
      <c r="K31" s="95">
        <f t="shared" si="16"/>
        <v>72.165798033282911</v>
      </c>
      <c r="L31" s="95">
        <f t="shared" si="16"/>
        <v>169.47025122840387</v>
      </c>
      <c r="M31" s="95">
        <f t="shared" si="16"/>
        <v>52.556834427425237</v>
      </c>
      <c r="N31" s="95">
        <f t="shared" si="16"/>
        <v>65.21949152542372</v>
      </c>
      <c r="O31" s="95">
        <f t="shared" si="16"/>
        <v>57.104702106878754</v>
      </c>
      <c r="P31" s="95">
        <f t="shared" si="16"/>
        <v>94.331079545454557</v>
      </c>
      <c r="Q31" s="95">
        <f t="shared" si="16"/>
        <v>86.347499999999997</v>
      </c>
      <c r="R31" s="95">
        <f t="shared" si="16"/>
        <v>106.25691566265061</v>
      </c>
      <c r="S31" s="95">
        <f t="shared" si="16"/>
        <v>179.10065902578796</v>
      </c>
      <c r="T31" s="95">
        <f t="shared" si="16"/>
        <v>155.3305676855895</v>
      </c>
      <c r="U31" s="95">
        <f t="shared" si="16"/>
        <v>54.232196078431372</v>
      </c>
      <c r="V31" s="95">
        <f t="shared" si="16"/>
        <v>147.58314220183485</v>
      </c>
      <c r="W31" s="95">
        <f t="shared" si="16"/>
        <v>74.052329153605001</v>
      </c>
      <c r="X31" s="95">
        <f t="shared" si="16"/>
        <v>55.014074074074067</v>
      </c>
      <c r="Y31" s="95">
        <f t="shared" si="16"/>
        <v>142.95228731942217</v>
      </c>
      <c r="Z31" s="95">
        <f t="shared" si="16"/>
        <v>32.239443717277489</v>
      </c>
      <c r="AA31" s="95">
        <f t="shared" si="16"/>
        <v>51.677604166666661</v>
      </c>
      <c r="AB31" s="95">
        <f t="shared" si="16"/>
        <v>122.38590604026847</v>
      </c>
      <c r="AC31" s="95">
        <f t="shared" si="16"/>
        <v>98.560968992248064</v>
      </c>
      <c r="AD31" s="95">
        <f t="shared" si="16"/>
        <v>226.70985096870345</v>
      </c>
      <c r="AE31" s="95">
        <f t="shared" si="16"/>
        <v>67.064178321678312</v>
      </c>
      <c r="AF31" s="95">
        <f t="shared" si="16"/>
        <v>109.51581632653061</v>
      </c>
      <c r="AG31" s="95">
        <f t="shared" si="16"/>
        <v>74.316562173458721</v>
      </c>
      <c r="AH31" s="95">
        <f t="shared" si="16"/>
        <v>135.08865391969408</v>
      </c>
      <c r="AI31" s="95">
        <f t="shared" si="16"/>
        <v>109.3471806167401</v>
      </c>
      <c r="AJ31" s="95">
        <f t="shared" si="16"/>
        <v>333.71587786259539</v>
      </c>
      <c r="AK31" s="95">
        <f t="shared" si="16"/>
        <v>127.52673878627968</v>
      </c>
      <c r="AL31" s="95">
        <f t="shared" si="16"/>
        <v>167.51462555066081</v>
      </c>
      <c r="AM31" s="95">
        <f t="shared" si="16"/>
        <v>131.96518936341661</v>
      </c>
      <c r="AN31" s="95">
        <f t="shared" si="16"/>
        <v>240.7236974789916</v>
      </c>
      <c r="AO31" s="95">
        <f t="shared" si="16"/>
        <v>217.28349790794979</v>
      </c>
      <c r="AP31" s="95">
        <f t="shared" si="16"/>
        <v>100.67194570135747</v>
      </c>
      <c r="AQ31" s="95">
        <f t="shared" si="16"/>
        <v>110.43069767441861</v>
      </c>
      <c r="AR31" s="95">
        <f t="shared" si="16"/>
        <v>211.14720506730009</v>
      </c>
      <c r="AS31" s="95">
        <f t="shared" si="16"/>
        <v>159.23260810810814</v>
      </c>
      <c r="AT31" s="95">
        <f t="shared" si="16"/>
        <v>175.93428988326849</v>
      </c>
      <c r="AU31" s="95">
        <f t="shared" si="16"/>
        <v>73.898885350318466</v>
      </c>
      <c r="AV31" s="95">
        <f t="shared" si="16"/>
        <v>85.541158333333328</v>
      </c>
      <c r="AW31" s="95">
        <f t="shared" si="16"/>
        <v>87.371986754966883</v>
      </c>
      <c r="AX31" s="95">
        <f t="shared" si="16"/>
        <v>73.128176795580103</v>
      </c>
      <c r="AY31" s="95">
        <f t="shared" si="16"/>
        <v>47.59095100864554</v>
      </c>
      <c r="AZ31" s="95">
        <f t="shared" si="16"/>
        <v>195.85750295857989</v>
      </c>
      <c r="BA31" s="95">
        <f t="shared" si="16"/>
        <v>29.850413436692506</v>
      </c>
      <c r="BB31" s="95">
        <f t="shared" si="16"/>
        <v>104.10847627737226</v>
      </c>
      <c r="BC31" s="95">
        <f t="shared" si="16"/>
        <v>2.3946808510638298</v>
      </c>
      <c r="BD31" s="95">
        <f t="shared" si="16"/>
        <v>152.70716350637238</v>
      </c>
      <c r="BE31" s="95">
        <f t="shared" si="16"/>
        <v>125.51598214285713</v>
      </c>
      <c r="BF31" s="95">
        <f t="shared" si="16"/>
        <v>6470.2925024457536</v>
      </c>
      <c r="BG31" s="95">
        <f t="shared" si="16"/>
        <v>2291.3082250088623</v>
      </c>
      <c r="BH31" s="95">
        <f t="shared" si="16"/>
        <v>1558.5884044993575</v>
      </c>
      <c r="BI31" s="95">
        <f t="shared" si="16"/>
        <v>2620.3958729375345</v>
      </c>
    </row>
    <row r="32" spans="2:61" x14ac:dyDescent="0.3">
      <c r="C32">
        <v>340</v>
      </c>
      <c r="D32" t="s">
        <v>102</v>
      </c>
      <c r="E32" s="4">
        <f>'4.1 Comptes 2020 natures'!E32/'4.1 Comptes 2020 natures'!E2</f>
        <v>40.224962080173349</v>
      </c>
      <c r="F32" s="4">
        <f>'4.1 Comptes 2020 natures'!F32/'4.1 Comptes 2020 natures'!F2</f>
        <v>162.52385185185187</v>
      </c>
      <c r="G32" s="4">
        <f>'4.1 Comptes 2020 natures'!G32/'4.1 Comptes 2020 natures'!G2</f>
        <v>136.68113402061857</v>
      </c>
      <c r="H32" s="4">
        <f>'4.1 Comptes 2020 natures'!H32/'4.1 Comptes 2020 natures'!H2</f>
        <v>140.85811659192825</v>
      </c>
      <c r="I32" s="4">
        <f>'4.1 Comptes 2020 natures'!I32/'4.1 Comptes 2020 natures'!I2</f>
        <v>131.19409529055358</v>
      </c>
      <c r="J32" s="4">
        <f>'4.1 Comptes 2020 natures'!J32/'4.1 Comptes 2020 natures'!J2</f>
        <v>97.842601871415624</v>
      </c>
      <c r="K32" s="4">
        <f>'4.1 Comptes 2020 natures'!K32/'4.1 Comptes 2020 natures'!K2</f>
        <v>49.566308623298035</v>
      </c>
      <c r="L32" s="4">
        <f>'4.1 Comptes 2020 natures'!L32/'4.1 Comptes 2020 natures'!L2</f>
        <v>154.03591139641782</v>
      </c>
      <c r="M32" s="4">
        <f>'4.1 Comptes 2020 natures'!M32/'4.1 Comptes 2020 natures'!M2</f>
        <v>45.030561633843909</v>
      </c>
      <c r="N32" s="4">
        <f>'4.1 Comptes 2020 natures'!N32/'4.1 Comptes 2020 natures'!N2</f>
        <v>65.21949152542372</v>
      </c>
      <c r="O32" s="4">
        <f>'4.1 Comptes 2020 natures'!O32/'4.1 Comptes 2020 natures'!O2</f>
        <v>48.298960513464493</v>
      </c>
      <c r="P32" s="4">
        <f>'4.1 Comptes 2020 natures'!P32/'4.1 Comptes 2020 natures'!P2</f>
        <v>74.272272727272735</v>
      </c>
      <c r="Q32" s="4">
        <f>'4.1 Comptes 2020 natures'!Q32/'4.1 Comptes 2020 natures'!Q2</f>
        <v>84.217870370370377</v>
      </c>
      <c r="R32" s="4">
        <f>'4.1 Comptes 2020 natures'!R32/'4.1 Comptes 2020 natures'!R2</f>
        <v>88.861132530120486</v>
      </c>
      <c r="S32" s="4">
        <f>'4.1 Comptes 2020 natures'!S32/'4.1 Comptes 2020 natures'!S2</f>
        <v>162.87945558739256</v>
      </c>
      <c r="T32" s="4">
        <f>'4.1 Comptes 2020 natures'!T32/'4.1 Comptes 2020 natures'!T2</f>
        <v>76.090538573507999</v>
      </c>
      <c r="U32" s="4">
        <f>'4.1 Comptes 2020 natures'!U32/'4.1 Comptes 2020 natures'!U2</f>
        <v>32.567215686274508</v>
      </c>
      <c r="V32" s="4">
        <f>'4.1 Comptes 2020 natures'!V32/'4.1 Comptes 2020 natures'!V2</f>
        <v>124.32855504587155</v>
      </c>
      <c r="W32" s="4">
        <f>'4.1 Comptes 2020 natures'!W32/'4.1 Comptes 2020 natures'!W2</f>
        <v>70.215260188087768</v>
      </c>
      <c r="X32" s="4">
        <f>'4.1 Comptes 2020 natures'!X32/'4.1 Comptes 2020 natures'!X2</f>
        <v>19.207901234567899</v>
      </c>
      <c r="Y32" s="4">
        <f>'4.1 Comptes 2020 natures'!Y32/'4.1 Comptes 2020 natures'!Y2</f>
        <v>143.07118780096309</v>
      </c>
      <c r="Z32" s="4">
        <f>'4.1 Comptes 2020 natures'!Z32/'4.1 Comptes 2020 natures'!Z2</f>
        <v>7.9288089005235598</v>
      </c>
      <c r="AA32" s="4">
        <f>'4.1 Comptes 2020 natures'!AA32/'4.1 Comptes 2020 natures'!AA2</f>
        <v>50.590104166666663</v>
      </c>
      <c r="AB32" s="4">
        <f>'4.1 Comptes 2020 natures'!AB32/'4.1 Comptes 2020 natures'!AB2</f>
        <v>47.638993288590605</v>
      </c>
      <c r="AC32" s="4">
        <f>'4.1 Comptes 2020 natures'!AC32/'4.1 Comptes 2020 natures'!AC2</f>
        <v>85.260775193798452</v>
      </c>
      <c r="AD32" s="4">
        <f>'4.1 Comptes 2020 natures'!AD32/'4.1 Comptes 2020 natures'!AD2</f>
        <v>183.68995529061104</v>
      </c>
      <c r="AE32" s="4">
        <f>'4.1 Comptes 2020 natures'!AE32/'4.1 Comptes 2020 natures'!AE2</f>
        <v>66.714527972027966</v>
      </c>
      <c r="AF32" s="4">
        <f>'4.1 Comptes 2020 natures'!AF32/'4.1 Comptes 2020 natures'!AF2</f>
        <v>5.5775510204081629</v>
      </c>
      <c r="AG32" s="4">
        <f>'4.1 Comptes 2020 natures'!AG32/'4.1 Comptes 2020 natures'!AG2</f>
        <v>49.755642633228838</v>
      </c>
      <c r="AH32" s="4">
        <f>'4.1 Comptes 2020 natures'!AH32/'4.1 Comptes 2020 natures'!AH2</f>
        <v>88.197468451242827</v>
      </c>
      <c r="AI32" s="4">
        <f>'4.1 Comptes 2020 natures'!AI32/'4.1 Comptes 2020 natures'!AI2</f>
        <v>82.247400881057274</v>
      </c>
      <c r="AJ32" s="4">
        <f>'4.1 Comptes 2020 natures'!AJ32/'4.1 Comptes 2020 natures'!AJ2</f>
        <v>41.971603053435111</v>
      </c>
      <c r="AK32" s="4">
        <f>'4.1 Comptes 2020 natures'!AK32/'4.1 Comptes 2020 natures'!AK2</f>
        <v>75.5395092348285</v>
      </c>
      <c r="AL32" s="4">
        <f>'4.1 Comptes 2020 natures'!AL32/'4.1 Comptes 2020 natures'!AL2</f>
        <v>129.46788546255505</v>
      </c>
      <c r="AM32" s="4">
        <f>'4.1 Comptes 2020 natures'!AM32/'4.1 Comptes 2020 natures'!AM2</f>
        <v>108.14995970991137</v>
      </c>
      <c r="AN32" s="4">
        <f>'4.1 Comptes 2020 natures'!AN32/'4.1 Comptes 2020 natures'!AN2</f>
        <v>159.41235294117647</v>
      </c>
      <c r="AO32" s="4">
        <f>'4.1 Comptes 2020 natures'!AO32/'4.1 Comptes 2020 natures'!AO2</f>
        <v>66.160192468619243</v>
      </c>
      <c r="AP32" s="4">
        <f>'4.1 Comptes 2020 natures'!AP32/'4.1 Comptes 2020 natures'!AP2</f>
        <v>88.204449472096542</v>
      </c>
      <c r="AQ32" s="4">
        <f>'4.1 Comptes 2020 natures'!AQ32/'4.1 Comptes 2020 natures'!AQ2</f>
        <v>110.43069767441861</v>
      </c>
      <c r="AR32" s="4">
        <f>'4.1 Comptes 2020 natures'!AR32/'4.1 Comptes 2020 natures'!AR2</f>
        <v>70.967949326999218</v>
      </c>
      <c r="AS32" s="4">
        <f>'4.1 Comptes 2020 natures'!AS32/'4.1 Comptes 2020 natures'!AS2</f>
        <v>118.85490540540542</v>
      </c>
      <c r="AT32" s="4">
        <f>'4.1 Comptes 2020 natures'!AT32/'4.1 Comptes 2020 natures'!AT2</f>
        <v>148.02670233463036</v>
      </c>
      <c r="AU32" s="4">
        <f>'4.1 Comptes 2020 natures'!AU32/'4.1 Comptes 2020 natures'!AU2</f>
        <v>73.898885350318466</v>
      </c>
      <c r="AV32" s="4">
        <f>'4.1 Comptes 2020 natures'!AV32/'4.1 Comptes 2020 natures'!AV2</f>
        <v>83.458241666666666</v>
      </c>
      <c r="AW32" s="4">
        <f>'4.1 Comptes 2020 natures'!AW32/'4.1 Comptes 2020 natures'!AW2</f>
        <v>86.022225165562915</v>
      </c>
      <c r="AX32" s="4">
        <f>'4.1 Comptes 2020 natures'!AX32/'4.1 Comptes 2020 natures'!AX2</f>
        <v>40.601104972375694</v>
      </c>
      <c r="AY32" s="4">
        <f>'4.1 Comptes 2020 natures'!AY32/'4.1 Comptes 2020 natures'!AY2</f>
        <v>47.59095100864554</v>
      </c>
      <c r="AZ32" s="4">
        <f>'4.1 Comptes 2020 natures'!AZ32/'4.1 Comptes 2020 natures'!AZ2</f>
        <v>187.61549112426036</v>
      </c>
      <c r="BA32" s="4">
        <f>'4.1 Comptes 2020 natures'!BA32/'4.1 Comptes 2020 natures'!BA2</f>
        <v>23.539431524547805</v>
      </c>
      <c r="BB32" s="4">
        <f>'4.1 Comptes 2020 natures'!BB32/'4.1 Comptes 2020 natures'!BB2</f>
        <v>83.859616788321162</v>
      </c>
      <c r="BC32" s="4">
        <f>'4.1 Comptes 2020 natures'!BC32/'4.1 Comptes 2020 natures'!BC2</f>
        <v>0</v>
      </c>
      <c r="BD32" s="4">
        <f>'4.1 Comptes 2020 natures'!BD32/'4.1 Comptes 2020 natures'!BD2</f>
        <v>138.16304009947154</v>
      </c>
      <c r="BE32" s="4">
        <f>'4.1 Comptes 2020 natures'!BE32/'4.1 Comptes 2020 natures'!BE2</f>
        <v>87.745535714285708</v>
      </c>
      <c r="BF32" s="4">
        <f t="shared" ref="BF32:BF37" si="17">SUM(E32:BE32)</f>
        <v>4584.4693434401051</v>
      </c>
      <c r="BG32" s="4">
        <f t="shared" ref="BG32:BG37" si="18">SUM(E32:W32)</f>
        <v>1784.9082961078873</v>
      </c>
      <c r="BH32" s="4">
        <f t="shared" ref="BH32:BH37" si="19">SUM(X32:AJ32)</f>
        <v>871.85191988712154</v>
      </c>
      <c r="BI32" s="4">
        <f t="shared" ref="BI32:BI37" si="20">SUM(AK32:BE32)</f>
        <v>1927.7091274450968</v>
      </c>
    </row>
    <row r="33" spans="2:61" x14ac:dyDescent="0.3">
      <c r="C33">
        <v>341</v>
      </c>
      <c r="D33" t="s">
        <v>103</v>
      </c>
      <c r="E33" s="4">
        <f>'4.1 Comptes 2020 natures'!E33/'4.1 Comptes 2020 natures'!E2</f>
        <v>0</v>
      </c>
      <c r="F33" s="4">
        <f>'4.1 Comptes 2020 natures'!F33/'4.1 Comptes 2020 natures'!F2</f>
        <v>0</v>
      </c>
      <c r="G33" s="4">
        <f>'4.1 Comptes 2020 natures'!G33/'4.1 Comptes 2020 natures'!G2</f>
        <v>0</v>
      </c>
      <c r="H33" s="4">
        <f>'4.1 Comptes 2020 natures'!H33/'4.1 Comptes 2020 natures'!H2</f>
        <v>0</v>
      </c>
      <c r="I33" s="4">
        <f>'4.1 Comptes 2020 natures'!I33/'4.1 Comptes 2020 natures'!I2</f>
        <v>0</v>
      </c>
      <c r="J33" s="4">
        <f>'4.1 Comptes 2020 natures'!J33/'4.1 Comptes 2020 natures'!J2</f>
        <v>0</v>
      </c>
      <c r="K33" s="4">
        <f>'4.1 Comptes 2020 natures'!K33/'4.1 Comptes 2020 natures'!K2</f>
        <v>0</v>
      </c>
      <c r="L33" s="4">
        <f>'4.1 Comptes 2020 natures'!L33/'4.1 Comptes 2020 natures'!L2</f>
        <v>0</v>
      </c>
      <c r="M33" s="4">
        <f>'4.1 Comptes 2020 natures'!M33/'4.1 Comptes 2020 natures'!M2</f>
        <v>0</v>
      </c>
      <c r="N33" s="4">
        <f>'4.1 Comptes 2020 natures'!N33/'4.1 Comptes 2020 natures'!N2</f>
        <v>0</v>
      </c>
      <c r="O33" s="4">
        <f>'4.1 Comptes 2020 natures'!O33/'4.1 Comptes 2020 natures'!O2</f>
        <v>0</v>
      </c>
      <c r="P33" s="4">
        <f>'4.1 Comptes 2020 natures'!P33/'4.1 Comptes 2020 natures'!P2</f>
        <v>0</v>
      </c>
      <c r="Q33" s="4">
        <f>'4.1 Comptes 2020 natures'!Q33/'4.1 Comptes 2020 natures'!Q2</f>
        <v>0</v>
      </c>
      <c r="R33" s="4">
        <f>'4.1 Comptes 2020 natures'!R33/'4.1 Comptes 2020 natures'!R2</f>
        <v>0</v>
      </c>
      <c r="S33" s="4">
        <f>'4.1 Comptes 2020 natures'!S33/'4.1 Comptes 2020 natures'!S2</f>
        <v>0</v>
      </c>
      <c r="T33" s="4">
        <f>'4.1 Comptes 2020 natures'!T33/'4.1 Comptes 2020 natures'!T2</f>
        <v>0</v>
      </c>
      <c r="U33" s="4">
        <f>'4.1 Comptes 2020 natures'!U33/'4.1 Comptes 2020 natures'!U2</f>
        <v>0</v>
      </c>
      <c r="V33" s="4">
        <f>'4.1 Comptes 2020 natures'!V33/'4.1 Comptes 2020 natures'!V2</f>
        <v>0</v>
      </c>
      <c r="W33" s="4">
        <f>'4.1 Comptes 2020 natures'!W33/'4.1 Comptes 2020 natures'!W2</f>
        <v>0</v>
      </c>
      <c r="X33" s="4">
        <f>'4.1 Comptes 2020 natures'!X33/'4.1 Comptes 2020 natures'!X2</f>
        <v>0</v>
      </c>
      <c r="Y33" s="4">
        <f>'4.1 Comptes 2020 natures'!Y33/'4.1 Comptes 2020 natures'!Y2</f>
        <v>-0.11890048154093098</v>
      </c>
      <c r="Z33" s="4">
        <f>'4.1 Comptes 2020 natures'!Z33/'4.1 Comptes 2020 natures'!Z2</f>
        <v>0</v>
      </c>
      <c r="AA33" s="4">
        <f>'4.1 Comptes 2020 natures'!AA33/'4.1 Comptes 2020 natures'!AA2</f>
        <v>0</v>
      </c>
      <c r="AB33" s="4">
        <f>'4.1 Comptes 2020 natures'!AB33/'4.1 Comptes 2020 natures'!AB2</f>
        <v>0</v>
      </c>
      <c r="AC33" s="4">
        <f>'4.1 Comptes 2020 natures'!AC33/'4.1 Comptes 2020 natures'!AC2</f>
        <v>0</v>
      </c>
      <c r="AD33" s="4">
        <f>'4.1 Comptes 2020 natures'!AD33/'4.1 Comptes 2020 natures'!AD2</f>
        <v>0</v>
      </c>
      <c r="AE33" s="4">
        <f>'4.1 Comptes 2020 natures'!AE33/'4.1 Comptes 2020 natures'!AE2</f>
        <v>0</v>
      </c>
      <c r="AF33" s="4">
        <f>'4.1 Comptes 2020 natures'!AF33/'4.1 Comptes 2020 natures'!AF2</f>
        <v>0</v>
      </c>
      <c r="AG33" s="4">
        <f>'4.1 Comptes 2020 natures'!AG33/'4.1 Comptes 2020 natures'!AG2</f>
        <v>0</v>
      </c>
      <c r="AH33" s="4">
        <f>'4.1 Comptes 2020 natures'!AH33/'4.1 Comptes 2020 natures'!AH2</f>
        <v>38.24091778202677</v>
      </c>
      <c r="AI33" s="4">
        <f>'4.1 Comptes 2020 natures'!AI33/'4.1 Comptes 2020 natures'!AI2</f>
        <v>0</v>
      </c>
      <c r="AJ33" s="4">
        <f>'4.1 Comptes 2020 natures'!AJ33/'4.1 Comptes 2020 natures'!AJ2</f>
        <v>0</v>
      </c>
      <c r="AK33" s="4">
        <f>'4.1 Comptes 2020 natures'!AK33/'4.1 Comptes 2020 natures'!AK2</f>
        <v>0</v>
      </c>
      <c r="AL33" s="4">
        <f>'4.1 Comptes 2020 natures'!AL33/'4.1 Comptes 2020 natures'!AL2</f>
        <v>0.51352422907488993</v>
      </c>
      <c r="AM33" s="4">
        <f>'4.1 Comptes 2020 natures'!AM33/'4.1 Comptes 2020 natures'!AM2</f>
        <v>0</v>
      </c>
      <c r="AN33" s="4">
        <f>'4.1 Comptes 2020 natures'!AN33/'4.1 Comptes 2020 natures'!AN2</f>
        <v>0</v>
      </c>
      <c r="AO33" s="4">
        <f>'4.1 Comptes 2020 natures'!AO33/'4.1 Comptes 2020 natures'!AO2</f>
        <v>0</v>
      </c>
      <c r="AP33" s="4">
        <f>'4.1 Comptes 2020 natures'!AP33/'4.1 Comptes 2020 natures'!AP2</f>
        <v>0</v>
      </c>
      <c r="AQ33" s="4">
        <f>'4.1 Comptes 2020 natures'!AQ33/'4.1 Comptes 2020 natures'!AQ2</f>
        <v>0</v>
      </c>
      <c r="AR33" s="4">
        <f>'4.1 Comptes 2020 natures'!AR33/'4.1 Comptes 2020 natures'!AR2</f>
        <v>0</v>
      </c>
      <c r="AS33" s="4">
        <f>'4.1 Comptes 2020 natures'!AS33/'4.1 Comptes 2020 natures'!AS2</f>
        <v>0</v>
      </c>
      <c r="AT33" s="4">
        <f>'4.1 Comptes 2020 natures'!AT33/'4.1 Comptes 2020 natures'!AT2</f>
        <v>0</v>
      </c>
      <c r="AU33" s="4">
        <f>'4.1 Comptes 2020 natures'!AU33/'4.1 Comptes 2020 natures'!AU2</f>
        <v>0</v>
      </c>
      <c r="AV33" s="4">
        <f>'4.1 Comptes 2020 natures'!AV33/'4.1 Comptes 2020 natures'!AV2</f>
        <v>0</v>
      </c>
      <c r="AW33" s="4">
        <f>'4.1 Comptes 2020 natures'!AW33/'4.1 Comptes 2020 natures'!AW2</f>
        <v>0</v>
      </c>
      <c r="AX33" s="4">
        <f>'4.1 Comptes 2020 natures'!AX33/'4.1 Comptes 2020 natures'!AX2</f>
        <v>0</v>
      </c>
      <c r="AY33" s="4">
        <f>'4.1 Comptes 2020 natures'!AY33/'4.1 Comptes 2020 natures'!AY2</f>
        <v>0</v>
      </c>
      <c r="AZ33" s="4">
        <f>'4.1 Comptes 2020 natures'!AZ33/'4.1 Comptes 2020 natures'!AZ2</f>
        <v>0</v>
      </c>
      <c r="BA33" s="4">
        <f>'4.1 Comptes 2020 natures'!BA33/'4.1 Comptes 2020 natures'!BA2</f>
        <v>7.7519379844961239E-3</v>
      </c>
      <c r="BB33" s="4">
        <f>'4.1 Comptes 2020 natures'!BB33/'4.1 Comptes 2020 natures'!BB2</f>
        <v>0</v>
      </c>
      <c r="BC33" s="4">
        <f>'4.1 Comptes 2020 natures'!BC33/'4.1 Comptes 2020 natures'!BC2</f>
        <v>0</v>
      </c>
      <c r="BD33" s="4">
        <f>'4.1 Comptes 2020 natures'!BD33/'4.1 Comptes 2020 natures'!BD2</f>
        <v>0</v>
      </c>
      <c r="BE33" s="4">
        <f>'4.1 Comptes 2020 natures'!BE33/'4.1 Comptes 2020 natures'!BE2</f>
        <v>0</v>
      </c>
      <c r="BF33" s="4">
        <f t="shared" si="17"/>
        <v>38.64329346754522</v>
      </c>
      <c r="BG33" s="4">
        <f t="shared" si="18"/>
        <v>0</v>
      </c>
      <c r="BH33" s="4">
        <f t="shared" si="19"/>
        <v>38.122017300485837</v>
      </c>
      <c r="BI33" s="4">
        <f t="shared" si="20"/>
        <v>0.52127616705938606</v>
      </c>
    </row>
    <row r="34" spans="2:61" x14ac:dyDescent="0.3">
      <c r="C34">
        <v>342</v>
      </c>
      <c r="D34" t="s">
        <v>104</v>
      </c>
      <c r="E34" s="4">
        <f>'4.1 Comptes 2020 natures'!E34/'4.1 Comptes 2020 natures'!E2</f>
        <v>0</v>
      </c>
      <c r="F34" s="4">
        <f>'4.1 Comptes 2020 natures'!F34/'4.1 Comptes 2020 natures'!F2</f>
        <v>0</v>
      </c>
      <c r="G34" s="4">
        <f>'4.1 Comptes 2020 natures'!G34/'4.1 Comptes 2020 natures'!G2</f>
        <v>0</v>
      </c>
      <c r="H34" s="4">
        <f>'4.1 Comptes 2020 natures'!H34/'4.1 Comptes 2020 natures'!H2</f>
        <v>0</v>
      </c>
      <c r="I34" s="4">
        <f>'4.1 Comptes 2020 natures'!I34/'4.1 Comptes 2020 natures'!I2</f>
        <v>0</v>
      </c>
      <c r="J34" s="4">
        <f>'4.1 Comptes 2020 natures'!J34/'4.1 Comptes 2020 natures'!J2</f>
        <v>0</v>
      </c>
      <c r="K34" s="4">
        <f>'4.1 Comptes 2020 natures'!K34/'4.1 Comptes 2020 natures'!K2</f>
        <v>0</v>
      </c>
      <c r="L34" s="4">
        <f>'4.1 Comptes 2020 natures'!L34/'4.1 Comptes 2020 natures'!L2</f>
        <v>0</v>
      </c>
      <c r="M34" s="4">
        <f>'4.1 Comptes 2020 natures'!M34/'4.1 Comptes 2020 natures'!M2</f>
        <v>0</v>
      </c>
      <c r="N34" s="4">
        <f>'4.1 Comptes 2020 natures'!N34/'4.1 Comptes 2020 natures'!N2</f>
        <v>0</v>
      </c>
      <c r="O34" s="4">
        <f>'4.1 Comptes 2020 natures'!O34/'4.1 Comptes 2020 natures'!O2</f>
        <v>0</v>
      </c>
      <c r="P34" s="4">
        <f>'4.1 Comptes 2020 natures'!P34/'4.1 Comptes 2020 natures'!P2</f>
        <v>0</v>
      </c>
      <c r="Q34" s="4">
        <f>'4.1 Comptes 2020 natures'!Q34/'4.1 Comptes 2020 natures'!Q2</f>
        <v>0</v>
      </c>
      <c r="R34" s="4">
        <f>'4.1 Comptes 2020 natures'!R34/'4.1 Comptes 2020 natures'!R2</f>
        <v>0</v>
      </c>
      <c r="S34" s="4">
        <f>'4.1 Comptes 2020 natures'!S34/'4.1 Comptes 2020 natures'!S2</f>
        <v>0</v>
      </c>
      <c r="T34" s="4">
        <f>'4.1 Comptes 2020 natures'!T34/'4.1 Comptes 2020 natures'!T2</f>
        <v>0</v>
      </c>
      <c r="U34" s="4">
        <f>'4.1 Comptes 2020 natures'!U34/'4.1 Comptes 2020 natures'!U2</f>
        <v>0</v>
      </c>
      <c r="V34" s="4">
        <f>'4.1 Comptes 2020 natures'!V34/'4.1 Comptes 2020 natures'!V2</f>
        <v>0</v>
      </c>
      <c r="W34" s="4">
        <f>'4.1 Comptes 2020 natures'!W34/'4.1 Comptes 2020 natures'!W2</f>
        <v>0</v>
      </c>
      <c r="X34" s="4">
        <f>'4.1 Comptes 2020 natures'!X34/'4.1 Comptes 2020 natures'!X2</f>
        <v>0</v>
      </c>
      <c r="Y34" s="4">
        <f>'4.1 Comptes 2020 natures'!Y34/'4.1 Comptes 2020 natures'!Y2</f>
        <v>0</v>
      </c>
      <c r="Z34" s="4">
        <f>'4.1 Comptes 2020 natures'!Z34/'4.1 Comptes 2020 natures'!Z2</f>
        <v>0</v>
      </c>
      <c r="AA34" s="4">
        <f>'4.1 Comptes 2020 natures'!AA34/'4.1 Comptes 2020 natures'!AA2</f>
        <v>0</v>
      </c>
      <c r="AB34" s="4">
        <f>'4.1 Comptes 2020 natures'!AB34/'4.1 Comptes 2020 natures'!AB2</f>
        <v>0</v>
      </c>
      <c r="AC34" s="4">
        <f>'4.1 Comptes 2020 natures'!AC34/'4.1 Comptes 2020 natures'!AC2</f>
        <v>0</v>
      </c>
      <c r="AD34" s="4">
        <f>'4.1 Comptes 2020 natures'!AD34/'4.1 Comptes 2020 natures'!AD2</f>
        <v>0</v>
      </c>
      <c r="AE34" s="4">
        <f>'4.1 Comptes 2020 natures'!AE34/'4.1 Comptes 2020 natures'!AE2</f>
        <v>0</v>
      </c>
      <c r="AF34" s="4">
        <f>'4.1 Comptes 2020 natures'!AF34/'4.1 Comptes 2020 natures'!AF2</f>
        <v>0</v>
      </c>
      <c r="AG34" s="4">
        <f>'4.1 Comptes 2020 natures'!AG34/'4.1 Comptes 2020 natures'!AG2</f>
        <v>0</v>
      </c>
      <c r="AH34" s="4">
        <f>'4.1 Comptes 2020 natures'!AH34/'4.1 Comptes 2020 natures'!AH2</f>
        <v>0</v>
      </c>
      <c r="AI34" s="4">
        <f>'4.1 Comptes 2020 natures'!AI34/'4.1 Comptes 2020 natures'!AI2</f>
        <v>0</v>
      </c>
      <c r="AJ34" s="4">
        <f>'4.1 Comptes 2020 natures'!AJ34/'4.1 Comptes 2020 natures'!AJ2</f>
        <v>0</v>
      </c>
      <c r="AK34" s="4">
        <f>'4.1 Comptes 2020 natures'!AK34/'4.1 Comptes 2020 natures'!AK2</f>
        <v>0</v>
      </c>
      <c r="AL34" s="4">
        <f>'4.1 Comptes 2020 natures'!AL34/'4.1 Comptes 2020 natures'!AL2</f>
        <v>0</v>
      </c>
      <c r="AM34" s="4">
        <f>'4.1 Comptes 2020 natures'!AM34/'4.1 Comptes 2020 natures'!AM2</f>
        <v>0</v>
      </c>
      <c r="AN34" s="4">
        <f>'4.1 Comptes 2020 natures'!AN34/'4.1 Comptes 2020 natures'!AN2</f>
        <v>0</v>
      </c>
      <c r="AO34" s="4">
        <f>'4.1 Comptes 2020 natures'!AO34/'4.1 Comptes 2020 natures'!AO2</f>
        <v>0</v>
      </c>
      <c r="AP34" s="4">
        <f>'4.1 Comptes 2020 natures'!AP34/'4.1 Comptes 2020 natures'!AP2</f>
        <v>0</v>
      </c>
      <c r="AQ34" s="4">
        <f>'4.1 Comptes 2020 natures'!AQ34/'4.1 Comptes 2020 natures'!AQ2</f>
        <v>0</v>
      </c>
      <c r="AR34" s="4">
        <f>'4.1 Comptes 2020 natures'!AR34/'4.1 Comptes 2020 natures'!AR2</f>
        <v>0</v>
      </c>
      <c r="AS34" s="4">
        <f>'4.1 Comptes 2020 natures'!AS34/'4.1 Comptes 2020 natures'!AS2</f>
        <v>0</v>
      </c>
      <c r="AT34" s="4">
        <f>'4.1 Comptes 2020 natures'!AT34/'4.1 Comptes 2020 natures'!AT2</f>
        <v>0</v>
      </c>
      <c r="AU34" s="4">
        <f>'4.1 Comptes 2020 natures'!AU34/'4.1 Comptes 2020 natures'!AU2</f>
        <v>0</v>
      </c>
      <c r="AV34" s="4">
        <f>'4.1 Comptes 2020 natures'!AV34/'4.1 Comptes 2020 natures'!AV2</f>
        <v>0</v>
      </c>
      <c r="AW34" s="4">
        <f>'4.1 Comptes 2020 natures'!AW34/'4.1 Comptes 2020 natures'!AW2</f>
        <v>0</v>
      </c>
      <c r="AX34" s="4">
        <f>'4.1 Comptes 2020 natures'!AX34/'4.1 Comptes 2020 natures'!AX2</f>
        <v>0</v>
      </c>
      <c r="AY34" s="4">
        <f>'4.1 Comptes 2020 natures'!AY34/'4.1 Comptes 2020 natures'!AY2</f>
        <v>0</v>
      </c>
      <c r="AZ34" s="4">
        <f>'4.1 Comptes 2020 natures'!AZ34/'4.1 Comptes 2020 natures'!AZ2</f>
        <v>0</v>
      </c>
      <c r="BA34" s="4">
        <f>'4.1 Comptes 2020 natures'!BA34/'4.1 Comptes 2020 natures'!BA2</f>
        <v>0</v>
      </c>
      <c r="BB34" s="4">
        <f>'4.1 Comptes 2020 natures'!BB34/'4.1 Comptes 2020 natures'!BB2</f>
        <v>0</v>
      </c>
      <c r="BC34" s="4">
        <f>'4.1 Comptes 2020 natures'!BC34/'4.1 Comptes 2020 natures'!BC2</f>
        <v>0</v>
      </c>
      <c r="BD34" s="4">
        <f>'4.1 Comptes 2020 natures'!BD34/'4.1 Comptes 2020 natures'!BD2</f>
        <v>0</v>
      </c>
      <c r="BE34" s="4">
        <f>'4.1 Comptes 2020 natures'!BE34/'4.1 Comptes 2020 natures'!BE2</f>
        <v>0</v>
      </c>
      <c r="BF34" s="4">
        <f t="shared" si="17"/>
        <v>0</v>
      </c>
      <c r="BG34" s="4">
        <f t="shared" si="18"/>
        <v>0</v>
      </c>
      <c r="BH34" s="4">
        <f t="shared" si="19"/>
        <v>0</v>
      </c>
      <c r="BI34" s="4">
        <f t="shared" si="20"/>
        <v>0</v>
      </c>
    </row>
    <row r="35" spans="2:61" x14ac:dyDescent="0.3">
      <c r="C35">
        <v>343</v>
      </c>
      <c r="D35" t="s">
        <v>105</v>
      </c>
      <c r="E35" s="4">
        <f>'4.1 Comptes 2020 natures'!E35/'4.1 Comptes 2020 natures'!E2</f>
        <v>0</v>
      </c>
      <c r="F35" s="4">
        <f>'4.1 Comptes 2020 natures'!F35/'4.1 Comptes 2020 natures'!F2</f>
        <v>69.924999999999997</v>
      </c>
      <c r="G35" s="4">
        <f>'4.1 Comptes 2020 natures'!G35/'4.1 Comptes 2020 natures'!G2</f>
        <v>95.167484536082483</v>
      </c>
      <c r="H35" s="4">
        <f>'4.1 Comptes 2020 natures'!H35/'4.1 Comptes 2020 natures'!H2</f>
        <v>37.621860986547084</v>
      </c>
      <c r="I35" s="4">
        <f>'4.1 Comptes 2020 natures'!I35/'4.1 Comptes 2020 natures'!I2</f>
        <v>45.763136876893419</v>
      </c>
      <c r="J35" s="4">
        <f>'4.1 Comptes 2020 natures'!J35/'4.1 Comptes 2020 natures'!J2</f>
        <v>9.7637820706308478</v>
      </c>
      <c r="K35" s="4">
        <f>'4.1 Comptes 2020 natures'!K35/'4.1 Comptes 2020 natures'!K2</f>
        <v>21.664580181543116</v>
      </c>
      <c r="L35" s="4">
        <f>'4.1 Comptes 2020 natures'!L35/'4.1 Comptes 2020 natures'!L2</f>
        <v>15.386788714534791</v>
      </c>
      <c r="M35" s="4">
        <f>'4.1 Comptes 2020 natures'!M35/'4.1 Comptes 2020 natures'!M2</f>
        <v>7.5000364697301238</v>
      </c>
      <c r="N35" s="4">
        <f>'4.1 Comptes 2020 natures'!N35/'4.1 Comptes 2020 natures'!N2</f>
        <v>0</v>
      </c>
      <c r="O35" s="4">
        <f>'4.1 Comptes 2020 natures'!O35/'4.1 Comptes 2020 natures'!O2</f>
        <v>8.1830403237058746</v>
      </c>
      <c r="P35" s="4">
        <f>'4.1 Comptes 2020 natures'!P35/'4.1 Comptes 2020 natures'!P2</f>
        <v>20.058806818181818</v>
      </c>
      <c r="Q35" s="4">
        <f>'4.1 Comptes 2020 natures'!Q35/'4.1 Comptes 2020 natures'!Q2</f>
        <v>1.7592592592592593</v>
      </c>
      <c r="R35" s="4">
        <f>'4.1 Comptes 2020 natures'!R35/'4.1 Comptes 2020 natures'!R2</f>
        <v>17.39578313253012</v>
      </c>
      <c r="S35" s="4">
        <f>'4.1 Comptes 2020 natures'!S35/'4.1 Comptes 2020 natures'!S2</f>
        <v>2.467621776504298</v>
      </c>
      <c r="T35" s="4">
        <f>'4.1 Comptes 2020 natures'!T35/'4.1 Comptes 2020 natures'!T2</f>
        <v>60.529985443959241</v>
      </c>
      <c r="U35" s="4">
        <f>'4.1 Comptes 2020 natures'!U35/'4.1 Comptes 2020 natures'!U2</f>
        <v>21.664980392156863</v>
      </c>
      <c r="V35" s="4">
        <f>'4.1 Comptes 2020 natures'!V35/'4.1 Comptes 2020 natures'!V2</f>
        <v>23.254587155963304</v>
      </c>
      <c r="W35" s="4">
        <f>'4.1 Comptes 2020 natures'!W35/'4.1 Comptes 2020 natures'!W2</f>
        <v>3.8342476489028212</v>
      </c>
      <c r="X35" s="4">
        <f>'4.1 Comptes 2020 natures'!X35/'4.1 Comptes 2020 natures'!X2</f>
        <v>27.370061728395061</v>
      </c>
      <c r="Y35" s="4">
        <f>'4.1 Comptes 2020 natures'!Y35/'4.1 Comptes 2020 natures'!Y2</f>
        <v>0</v>
      </c>
      <c r="Z35" s="4">
        <f>'4.1 Comptes 2020 natures'!Z35/'4.1 Comptes 2020 natures'!Z2</f>
        <v>24.310634816753929</v>
      </c>
      <c r="AA35" s="4">
        <f>'4.1 Comptes 2020 natures'!AA35/'4.1 Comptes 2020 natures'!AA2</f>
        <v>1.0875000000000001</v>
      </c>
      <c r="AB35" s="4">
        <f>'4.1 Comptes 2020 natures'!AB35/'4.1 Comptes 2020 natures'!AB2</f>
        <v>61.449328859060408</v>
      </c>
      <c r="AC35" s="4">
        <f>'4.1 Comptes 2020 natures'!AC35/'4.1 Comptes 2020 natures'!AC2</f>
        <v>13.300193798449612</v>
      </c>
      <c r="AD35" s="4">
        <f>'4.1 Comptes 2020 natures'!AD35/'4.1 Comptes 2020 natures'!AD2</f>
        <v>42.960283159463486</v>
      </c>
      <c r="AE35" s="4">
        <f>'4.1 Comptes 2020 natures'!AE35/'4.1 Comptes 2020 natures'!AE2</f>
        <v>0</v>
      </c>
      <c r="AF35" s="4">
        <f>'4.1 Comptes 2020 natures'!AF35/'4.1 Comptes 2020 natures'!AF2</f>
        <v>103.93704081632653</v>
      </c>
      <c r="AG35" s="4">
        <f>'4.1 Comptes 2020 natures'!AG35/'4.1 Comptes 2020 natures'!AG2</f>
        <v>24.55569487983281</v>
      </c>
      <c r="AH35" s="4">
        <f>'4.1 Comptes 2020 natures'!AH35/'4.1 Comptes 2020 natures'!AH2</f>
        <v>8.6502676864244741</v>
      </c>
      <c r="AI35" s="4">
        <f>'4.1 Comptes 2020 natures'!AI35/'4.1 Comptes 2020 natures'!AI2</f>
        <v>2.7013215859030839</v>
      </c>
      <c r="AJ35" s="4">
        <f>'4.1 Comptes 2020 natures'!AJ35/'4.1 Comptes 2020 natures'!AJ2</f>
        <v>291.74427480916029</v>
      </c>
      <c r="AK35" s="4">
        <f>'4.1 Comptes 2020 natures'!AK35/'4.1 Comptes 2020 natures'!AK2</f>
        <v>51.987229551451186</v>
      </c>
      <c r="AL35" s="4">
        <f>'4.1 Comptes 2020 natures'!AL35/'4.1 Comptes 2020 natures'!AL2</f>
        <v>30.575374449339211</v>
      </c>
      <c r="AM35" s="4">
        <f>'4.1 Comptes 2020 natures'!AM35/'4.1 Comptes 2020 natures'!AM2</f>
        <v>23.628001611603544</v>
      </c>
      <c r="AN35" s="4">
        <f>'4.1 Comptes 2020 natures'!AN35/'4.1 Comptes 2020 natures'!AN2</f>
        <v>73.242436974789925</v>
      </c>
      <c r="AO35" s="4">
        <f>'4.1 Comptes 2020 natures'!AO35/'4.1 Comptes 2020 natures'!AO2</f>
        <v>151.12330543933055</v>
      </c>
      <c r="AP35" s="4">
        <f>'4.1 Comptes 2020 natures'!AP35/'4.1 Comptes 2020 natures'!AP2</f>
        <v>8.6325791855203615</v>
      </c>
      <c r="AQ35" s="4">
        <f>'4.1 Comptes 2020 natures'!AQ35/'4.1 Comptes 2020 natures'!AQ2</f>
        <v>0</v>
      </c>
      <c r="AR35" s="4">
        <f>'4.1 Comptes 2020 natures'!AR35/'4.1 Comptes 2020 natures'!AR2</f>
        <v>140.17925574030087</v>
      </c>
      <c r="AS35" s="4">
        <f>'4.1 Comptes 2020 natures'!AS35/'4.1 Comptes 2020 natures'!AS2</f>
        <v>40.347770270270267</v>
      </c>
      <c r="AT35" s="4">
        <f>'4.1 Comptes 2020 natures'!AT35/'4.1 Comptes 2020 natures'!AT2</f>
        <v>27.907587548638134</v>
      </c>
      <c r="AU35" s="4">
        <f>'4.1 Comptes 2020 natures'!AU35/'4.1 Comptes 2020 natures'!AU2</f>
        <v>0</v>
      </c>
      <c r="AV35" s="4">
        <f>'4.1 Comptes 2020 natures'!AV35/'4.1 Comptes 2020 natures'!AV2</f>
        <v>0</v>
      </c>
      <c r="AW35" s="4">
        <f>'4.1 Comptes 2020 natures'!AW35/'4.1 Comptes 2020 natures'!AW2</f>
        <v>0</v>
      </c>
      <c r="AX35" s="4">
        <f>'4.1 Comptes 2020 natures'!AX35/'4.1 Comptes 2020 natures'!AX2</f>
        <v>0</v>
      </c>
      <c r="AY35" s="4">
        <f>'4.1 Comptes 2020 natures'!AY35/'4.1 Comptes 2020 natures'!AY2</f>
        <v>0</v>
      </c>
      <c r="AZ35" s="4">
        <f>'4.1 Comptes 2020 natures'!AZ35/'4.1 Comptes 2020 natures'!AZ2</f>
        <v>8.242011834319527</v>
      </c>
      <c r="BA35" s="4">
        <f>'4.1 Comptes 2020 natures'!BA35/'4.1 Comptes 2020 natures'!BA2</f>
        <v>6.3032299741602067</v>
      </c>
      <c r="BB35" s="4">
        <f>'4.1 Comptes 2020 natures'!BB35/'4.1 Comptes 2020 natures'!BB2</f>
        <v>19.263458029197082</v>
      </c>
      <c r="BC35" s="4">
        <f>'4.1 Comptes 2020 natures'!BC35/'4.1 Comptes 2020 natures'!BC2</f>
        <v>2.3148936170212764</v>
      </c>
      <c r="BD35" s="4">
        <f>'4.1 Comptes 2020 natures'!BD35/'4.1 Comptes 2020 natures'!BD2</f>
        <v>14.544123406900839</v>
      </c>
      <c r="BE35" s="4">
        <f>'4.1 Comptes 2020 natures'!BE35/'4.1 Comptes 2020 natures'!BE2</f>
        <v>33.320267857142852</v>
      </c>
      <c r="BF35" s="4">
        <f t="shared" si="17"/>
        <v>1695.6191094168812</v>
      </c>
      <c r="BG35" s="4">
        <f t="shared" si="18"/>
        <v>461.94098178712545</v>
      </c>
      <c r="BH35" s="4">
        <f t="shared" si="19"/>
        <v>602.06660213976966</v>
      </c>
      <c r="BI35" s="4">
        <f t="shared" si="20"/>
        <v>631.61152548998609</v>
      </c>
    </row>
    <row r="36" spans="2:61" x14ac:dyDescent="0.3">
      <c r="C36">
        <v>344</v>
      </c>
      <c r="D36" t="s">
        <v>106</v>
      </c>
      <c r="E36" s="4">
        <f>'4.1 Comptes 2020 natures'!E36/'4.1 Comptes 2020 natures'!E2</f>
        <v>0</v>
      </c>
      <c r="F36" s="4">
        <f>'4.1 Comptes 2020 natures'!F36/'4.1 Comptes 2020 natures'!F2</f>
        <v>0</v>
      </c>
      <c r="G36" s="4">
        <f>'4.1 Comptes 2020 natures'!G36/'4.1 Comptes 2020 natures'!G2</f>
        <v>0</v>
      </c>
      <c r="H36" s="4">
        <f>'4.1 Comptes 2020 natures'!H36/'4.1 Comptes 2020 natures'!H2</f>
        <v>0</v>
      </c>
      <c r="I36" s="4">
        <f>'4.1 Comptes 2020 natures'!I36/'4.1 Comptes 2020 natures'!I2</f>
        <v>0.43514183420545305</v>
      </c>
      <c r="J36" s="4">
        <f>'4.1 Comptes 2020 natures'!J36/'4.1 Comptes 2020 natures'!J2</f>
        <v>9.5381829157862956</v>
      </c>
      <c r="K36" s="4">
        <f>'4.1 Comptes 2020 natures'!K36/'4.1 Comptes 2020 natures'!K2</f>
        <v>0.93490922844175495</v>
      </c>
      <c r="L36" s="4">
        <f>'4.1 Comptes 2020 natures'!L36/'4.1 Comptes 2020 natures'!L2</f>
        <v>4.7551117451260103E-2</v>
      </c>
      <c r="M36" s="4">
        <f>'4.1 Comptes 2020 natures'!M36/'4.1 Comptes 2020 natures'!M2</f>
        <v>0</v>
      </c>
      <c r="N36" s="4">
        <f>'4.1 Comptes 2020 natures'!N36/'4.1 Comptes 2020 natures'!N2</f>
        <v>0</v>
      </c>
      <c r="O36" s="4">
        <f>'4.1 Comptes 2020 natures'!O36/'4.1 Comptes 2020 natures'!O2</f>
        <v>0.62270126970838557</v>
      </c>
      <c r="P36" s="4">
        <f>'4.1 Comptes 2020 natures'!P36/'4.1 Comptes 2020 natures'!P2</f>
        <v>0</v>
      </c>
      <c r="Q36" s="4">
        <f>'4.1 Comptes 2020 natures'!Q36/'4.1 Comptes 2020 natures'!Q2</f>
        <v>0.37037037037037035</v>
      </c>
      <c r="R36" s="4">
        <f>'4.1 Comptes 2020 natures'!R36/'4.1 Comptes 2020 natures'!R2</f>
        <v>0</v>
      </c>
      <c r="S36" s="4">
        <f>'4.1 Comptes 2020 natures'!S36/'4.1 Comptes 2020 natures'!S2</f>
        <v>13.753581661891117</v>
      </c>
      <c r="T36" s="4">
        <f>'4.1 Comptes 2020 natures'!T36/'4.1 Comptes 2020 natures'!T2</f>
        <v>18.710043668122271</v>
      </c>
      <c r="U36" s="4">
        <f>'4.1 Comptes 2020 natures'!U36/'4.1 Comptes 2020 natures'!U2</f>
        <v>0</v>
      </c>
      <c r="V36" s="4">
        <f>'4.1 Comptes 2020 natures'!V36/'4.1 Comptes 2020 natures'!V2</f>
        <v>0</v>
      </c>
      <c r="W36" s="4">
        <f>'4.1 Comptes 2020 natures'!W36/'4.1 Comptes 2020 natures'!W2</f>
        <v>0</v>
      </c>
      <c r="X36" s="4">
        <f>'4.1 Comptes 2020 natures'!X36/'4.1 Comptes 2020 natures'!X2</f>
        <v>0</v>
      </c>
      <c r="Y36" s="4">
        <f>'4.1 Comptes 2020 natures'!Y36/'4.1 Comptes 2020 natures'!Y2</f>
        <v>0</v>
      </c>
      <c r="Z36" s="4">
        <f>'4.1 Comptes 2020 natures'!Z36/'4.1 Comptes 2020 natures'!Z2</f>
        <v>0</v>
      </c>
      <c r="AA36" s="4">
        <f>'4.1 Comptes 2020 natures'!AA36/'4.1 Comptes 2020 natures'!AA2</f>
        <v>0</v>
      </c>
      <c r="AB36" s="4">
        <f>'4.1 Comptes 2020 natures'!AB36/'4.1 Comptes 2020 natures'!AB2</f>
        <v>0</v>
      </c>
      <c r="AC36" s="4">
        <f>'4.1 Comptes 2020 natures'!AC36/'4.1 Comptes 2020 natures'!AC2</f>
        <v>0</v>
      </c>
      <c r="AD36" s="4">
        <f>'4.1 Comptes 2020 natures'!AD36/'4.1 Comptes 2020 natures'!AD2</f>
        <v>5.9612518628912071E-2</v>
      </c>
      <c r="AE36" s="4">
        <f>'4.1 Comptes 2020 natures'!AE36/'4.1 Comptes 2020 natures'!AE2</f>
        <v>0.34965034965034963</v>
      </c>
      <c r="AF36" s="4">
        <f>'4.1 Comptes 2020 natures'!AF36/'4.1 Comptes 2020 natures'!AF2</f>
        <v>0</v>
      </c>
      <c r="AG36" s="4">
        <f>'4.1 Comptes 2020 natures'!AG36/'4.1 Comptes 2020 natures'!AG2</f>
        <v>0</v>
      </c>
      <c r="AH36" s="4">
        <f>'4.1 Comptes 2020 natures'!AH36/'4.1 Comptes 2020 natures'!AH2</f>
        <v>0</v>
      </c>
      <c r="AI36" s="4">
        <f>'4.1 Comptes 2020 natures'!AI36/'4.1 Comptes 2020 natures'!AI2</f>
        <v>22.60286343612335</v>
      </c>
      <c r="AJ36" s="4">
        <f>'4.1 Comptes 2020 natures'!AJ36/'4.1 Comptes 2020 natures'!AJ2</f>
        <v>0</v>
      </c>
      <c r="AK36" s="4">
        <f>'4.1 Comptes 2020 natures'!AK36/'4.1 Comptes 2020 natures'!AK2</f>
        <v>0</v>
      </c>
      <c r="AL36" s="4">
        <f>'4.1 Comptes 2020 natures'!AL36/'4.1 Comptes 2020 natures'!AL2</f>
        <v>0</v>
      </c>
      <c r="AM36" s="4">
        <f>'4.1 Comptes 2020 natures'!AM36/'4.1 Comptes 2020 natures'!AM2</f>
        <v>0</v>
      </c>
      <c r="AN36" s="4">
        <f>'4.1 Comptes 2020 natures'!AN36/'4.1 Comptes 2020 natures'!AN2</f>
        <v>0</v>
      </c>
      <c r="AO36" s="4">
        <f>'4.1 Comptes 2020 natures'!AO36/'4.1 Comptes 2020 natures'!AO2</f>
        <v>0</v>
      </c>
      <c r="AP36" s="4">
        <f>'4.1 Comptes 2020 natures'!AP36/'4.1 Comptes 2020 natures'!AP2</f>
        <v>0</v>
      </c>
      <c r="AQ36" s="4">
        <f>'4.1 Comptes 2020 natures'!AQ36/'4.1 Comptes 2020 natures'!AQ2</f>
        <v>0</v>
      </c>
      <c r="AR36" s="4">
        <f>'4.1 Comptes 2020 natures'!AR36/'4.1 Comptes 2020 natures'!AR2</f>
        <v>0</v>
      </c>
      <c r="AS36" s="4">
        <f>'4.1 Comptes 2020 natures'!AS36/'4.1 Comptes 2020 natures'!AS2</f>
        <v>2.9932432432432432E-2</v>
      </c>
      <c r="AT36" s="4">
        <f>'4.1 Comptes 2020 natures'!AT36/'4.1 Comptes 2020 natures'!AT2</f>
        <v>0</v>
      </c>
      <c r="AU36" s="4">
        <f>'4.1 Comptes 2020 natures'!AU36/'4.1 Comptes 2020 natures'!AU2</f>
        <v>0</v>
      </c>
      <c r="AV36" s="4">
        <f>'4.1 Comptes 2020 natures'!AV36/'4.1 Comptes 2020 natures'!AV2</f>
        <v>2.0829166666666667</v>
      </c>
      <c r="AW36" s="4">
        <f>'4.1 Comptes 2020 natures'!AW36/'4.1 Comptes 2020 natures'!AW2</f>
        <v>0</v>
      </c>
      <c r="AX36" s="4">
        <f>'4.1 Comptes 2020 natures'!AX36/'4.1 Comptes 2020 natures'!AX2</f>
        <v>29.281767955801104</v>
      </c>
      <c r="AY36" s="4">
        <f>'4.1 Comptes 2020 natures'!AY36/'4.1 Comptes 2020 natures'!AY2</f>
        <v>0</v>
      </c>
      <c r="AZ36" s="4">
        <f>'4.1 Comptes 2020 natures'!AZ36/'4.1 Comptes 2020 natures'!AZ2</f>
        <v>0</v>
      </c>
      <c r="BA36" s="4">
        <f>'4.1 Comptes 2020 natures'!BA36/'4.1 Comptes 2020 natures'!BA2</f>
        <v>0</v>
      </c>
      <c r="BB36" s="4">
        <f>'4.1 Comptes 2020 natures'!BB36/'4.1 Comptes 2020 natures'!BB2</f>
        <v>0.98540145985401462</v>
      </c>
      <c r="BC36" s="4">
        <f>'4.1 Comptes 2020 natures'!BC36/'4.1 Comptes 2020 natures'!BC2</f>
        <v>7.9787234042553196E-2</v>
      </c>
      <c r="BD36" s="4">
        <f>'4.1 Comptes 2020 natures'!BD36/'4.1 Comptes 2020 natures'!BD2</f>
        <v>0</v>
      </c>
      <c r="BE36" s="4">
        <f>'4.1 Comptes 2020 natures'!BE36/'4.1 Comptes 2020 natures'!BE2</f>
        <v>0</v>
      </c>
      <c r="BF36" s="4">
        <f t="shared" si="17"/>
        <v>99.88441411917627</v>
      </c>
      <c r="BG36" s="4">
        <f t="shared" si="18"/>
        <v>44.412482065976903</v>
      </c>
      <c r="BH36" s="4">
        <f t="shared" si="19"/>
        <v>23.01212630440261</v>
      </c>
      <c r="BI36" s="4">
        <f t="shared" si="20"/>
        <v>32.459805748796775</v>
      </c>
    </row>
    <row r="37" spans="2:61" x14ac:dyDescent="0.3">
      <c r="C37">
        <v>349</v>
      </c>
      <c r="D37" t="s">
        <v>107</v>
      </c>
      <c r="E37" s="4">
        <f>'4.1 Comptes 2020 natures'!E37/'4.1 Comptes 2020 natures'!E2</f>
        <v>0</v>
      </c>
      <c r="F37" s="4">
        <f>'4.1 Comptes 2020 natures'!F37/'4.1 Comptes 2020 natures'!F2</f>
        <v>1.740740740740741E-2</v>
      </c>
      <c r="G37" s="4">
        <f>'4.1 Comptes 2020 natures'!G37/'4.1 Comptes 2020 natures'!G2</f>
        <v>0</v>
      </c>
      <c r="H37" s="4">
        <f>'4.1 Comptes 2020 natures'!H37/'4.1 Comptes 2020 natures'!H2</f>
        <v>0</v>
      </c>
      <c r="I37" s="4">
        <f>'4.1 Comptes 2020 natures'!I37/'4.1 Comptes 2020 natures'!I2</f>
        <v>0</v>
      </c>
      <c r="J37" s="4">
        <f>'4.1 Comptes 2020 natures'!J37/'4.1 Comptes 2020 natures'!J2</f>
        <v>0</v>
      </c>
      <c r="K37" s="4">
        <f>'4.1 Comptes 2020 natures'!K37/'4.1 Comptes 2020 natures'!K2</f>
        <v>0</v>
      </c>
      <c r="L37" s="4">
        <f>'4.1 Comptes 2020 natures'!L37/'4.1 Comptes 2020 natures'!L2</f>
        <v>0</v>
      </c>
      <c r="M37" s="4">
        <f>'4.1 Comptes 2020 natures'!M37/'4.1 Comptes 2020 natures'!M2</f>
        <v>2.6236323851203499E-2</v>
      </c>
      <c r="N37" s="4">
        <f>'4.1 Comptes 2020 natures'!N37/'4.1 Comptes 2020 natures'!N2</f>
        <v>0</v>
      </c>
      <c r="O37" s="4">
        <f>'4.1 Comptes 2020 natures'!O37/'4.1 Comptes 2020 natures'!O2</f>
        <v>0</v>
      </c>
      <c r="P37" s="4">
        <f>'4.1 Comptes 2020 natures'!P37/'4.1 Comptes 2020 natures'!P2</f>
        <v>0</v>
      </c>
      <c r="Q37" s="4">
        <f>'4.1 Comptes 2020 natures'!Q37/'4.1 Comptes 2020 natures'!Q2</f>
        <v>0</v>
      </c>
      <c r="R37" s="4">
        <f>'4.1 Comptes 2020 natures'!R37/'4.1 Comptes 2020 natures'!R2</f>
        <v>0</v>
      </c>
      <c r="S37" s="4">
        <f>'4.1 Comptes 2020 natures'!S37/'4.1 Comptes 2020 natures'!S2</f>
        <v>0</v>
      </c>
      <c r="T37" s="4">
        <f>'4.1 Comptes 2020 natures'!T37/'4.1 Comptes 2020 natures'!T2</f>
        <v>0</v>
      </c>
      <c r="U37" s="4">
        <f>'4.1 Comptes 2020 natures'!U37/'4.1 Comptes 2020 natures'!U2</f>
        <v>0</v>
      </c>
      <c r="V37" s="4">
        <f>'4.1 Comptes 2020 natures'!V37/'4.1 Comptes 2020 natures'!V2</f>
        <v>0</v>
      </c>
      <c r="W37" s="4">
        <f>'4.1 Comptes 2020 natures'!W37/'4.1 Comptes 2020 natures'!W2</f>
        <v>2.8213166144200625E-3</v>
      </c>
      <c r="X37" s="4">
        <f>'4.1 Comptes 2020 natures'!X37/'4.1 Comptes 2020 natures'!X2</f>
        <v>8.4361111111111118</v>
      </c>
      <c r="Y37" s="4">
        <f>'4.1 Comptes 2020 natures'!Y37/'4.1 Comptes 2020 natures'!Y2</f>
        <v>0</v>
      </c>
      <c r="Z37" s="4">
        <f>'4.1 Comptes 2020 natures'!Z37/'4.1 Comptes 2020 natures'!Z2</f>
        <v>0</v>
      </c>
      <c r="AA37" s="4">
        <f>'4.1 Comptes 2020 natures'!AA37/'4.1 Comptes 2020 natures'!AA2</f>
        <v>0</v>
      </c>
      <c r="AB37" s="4">
        <f>'4.1 Comptes 2020 natures'!AB37/'4.1 Comptes 2020 natures'!AB2</f>
        <v>13.29758389261745</v>
      </c>
      <c r="AC37" s="4">
        <f>'4.1 Comptes 2020 natures'!AC37/'4.1 Comptes 2020 natures'!AC2</f>
        <v>0</v>
      </c>
      <c r="AD37" s="4">
        <f>'4.1 Comptes 2020 natures'!AD37/'4.1 Comptes 2020 natures'!AD2</f>
        <v>0</v>
      </c>
      <c r="AE37" s="4">
        <f>'4.1 Comptes 2020 natures'!AE37/'4.1 Comptes 2020 natures'!AE2</f>
        <v>0</v>
      </c>
      <c r="AF37" s="4">
        <f>'4.1 Comptes 2020 natures'!AF37/'4.1 Comptes 2020 natures'!AF2</f>
        <v>1.2244897959183673E-3</v>
      </c>
      <c r="AG37" s="4">
        <f>'4.1 Comptes 2020 natures'!AG37/'4.1 Comptes 2020 natures'!AG2</f>
        <v>5.2246603970741903E-3</v>
      </c>
      <c r="AH37" s="4">
        <f>'4.1 Comptes 2020 natures'!AH37/'4.1 Comptes 2020 natures'!AH2</f>
        <v>0</v>
      </c>
      <c r="AI37" s="4">
        <f>'4.1 Comptes 2020 natures'!AI37/'4.1 Comptes 2020 natures'!AI2</f>
        <v>1.7955947136563877</v>
      </c>
      <c r="AJ37" s="4">
        <f>'4.1 Comptes 2020 natures'!AJ37/'4.1 Comptes 2020 natures'!AJ2</f>
        <v>0</v>
      </c>
      <c r="AK37" s="4">
        <f>'4.1 Comptes 2020 natures'!AK37/'4.1 Comptes 2020 natures'!AK2</f>
        <v>0</v>
      </c>
      <c r="AL37" s="4">
        <f>'4.1 Comptes 2020 natures'!AL37/'4.1 Comptes 2020 natures'!AL2</f>
        <v>6.9578414096916292</v>
      </c>
      <c r="AM37" s="4">
        <f>'4.1 Comptes 2020 natures'!AM37/'4.1 Comptes 2020 natures'!AM2</f>
        <v>0.18722804190169218</v>
      </c>
      <c r="AN37" s="4">
        <f>'4.1 Comptes 2020 natures'!AN37/'4.1 Comptes 2020 natures'!AN2</f>
        <v>8.0689075630252098</v>
      </c>
      <c r="AO37" s="4">
        <f>'4.1 Comptes 2020 natures'!AO37/'4.1 Comptes 2020 natures'!AO2</f>
        <v>0</v>
      </c>
      <c r="AP37" s="4">
        <f>'4.1 Comptes 2020 natures'!AP37/'4.1 Comptes 2020 natures'!AP2</f>
        <v>3.8349170437405733</v>
      </c>
      <c r="AQ37" s="4">
        <f>'4.1 Comptes 2020 natures'!AQ37/'4.1 Comptes 2020 natures'!AQ2</f>
        <v>0</v>
      </c>
      <c r="AR37" s="4">
        <f>'4.1 Comptes 2020 natures'!AR37/'4.1 Comptes 2020 natures'!AR2</f>
        <v>0</v>
      </c>
      <c r="AS37" s="4">
        <f>'4.1 Comptes 2020 natures'!AS37/'4.1 Comptes 2020 natures'!AS2</f>
        <v>0</v>
      </c>
      <c r="AT37" s="4">
        <f>'4.1 Comptes 2020 natures'!AT37/'4.1 Comptes 2020 natures'!AT2</f>
        <v>0</v>
      </c>
      <c r="AU37" s="4">
        <f>'4.1 Comptes 2020 natures'!AU37/'4.1 Comptes 2020 natures'!AU2</f>
        <v>0</v>
      </c>
      <c r="AV37" s="4">
        <f>'4.1 Comptes 2020 natures'!AV37/'4.1 Comptes 2020 natures'!AV2</f>
        <v>0</v>
      </c>
      <c r="AW37" s="4">
        <f>'4.1 Comptes 2020 natures'!AW37/'4.1 Comptes 2020 natures'!AW2</f>
        <v>1.3497615894039736</v>
      </c>
      <c r="AX37" s="4">
        <f>'4.1 Comptes 2020 natures'!AX37/'4.1 Comptes 2020 natures'!AX2</f>
        <v>3.2453038674033148</v>
      </c>
      <c r="AY37" s="4">
        <f>'4.1 Comptes 2020 natures'!AY37/'4.1 Comptes 2020 natures'!AY2</f>
        <v>0</v>
      </c>
      <c r="AZ37" s="4">
        <f>'4.1 Comptes 2020 natures'!AZ37/'4.1 Comptes 2020 natures'!AZ2</f>
        <v>0</v>
      </c>
      <c r="BA37" s="4">
        <f>'4.1 Comptes 2020 natures'!BA37/'4.1 Comptes 2020 natures'!BA2</f>
        <v>0</v>
      </c>
      <c r="BB37" s="4">
        <f>'4.1 Comptes 2020 natures'!BB37/'4.1 Comptes 2020 natures'!BB2</f>
        <v>0</v>
      </c>
      <c r="BC37" s="4">
        <f>'4.1 Comptes 2020 natures'!BC37/'4.1 Comptes 2020 natures'!BC2</f>
        <v>0</v>
      </c>
      <c r="BD37" s="4">
        <f>'4.1 Comptes 2020 natures'!BD37/'4.1 Comptes 2020 natures'!BD2</f>
        <v>0</v>
      </c>
      <c r="BE37" s="4">
        <f>'4.1 Comptes 2020 natures'!BE37/'4.1 Comptes 2020 natures'!BE2</f>
        <v>4.4501785714285713</v>
      </c>
      <c r="BF37" s="4">
        <f t="shared" si="17"/>
        <v>51.676342002045949</v>
      </c>
      <c r="BG37" s="4">
        <f t="shared" si="18"/>
        <v>4.6465047873030969E-2</v>
      </c>
      <c r="BH37" s="4">
        <f t="shared" si="19"/>
        <v>23.535738867577948</v>
      </c>
      <c r="BI37" s="4">
        <f t="shared" si="20"/>
        <v>28.094138086594967</v>
      </c>
    </row>
    <row r="38" spans="2:61" x14ac:dyDescent="0.3">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3">
      <c r="B39" s="94">
        <v>35</v>
      </c>
      <c r="C39" s="94"/>
      <c r="D39" s="94" t="s">
        <v>109</v>
      </c>
      <c r="E39" s="95">
        <f>E40+E41</f>
        <v>23.058017334777897</v>
      </c>
      <c r="F39" s="95">
        <f t="shared" ref="F39:BI39" si="21">F40+F41</f>
        <v>20.942999999999998</v>
      </c>
      <c r="G39" s="95">
        <f t="shared" si="21"/>
        <v>2.1889278350515466</v>
      </c>
      <c r="H39" s="95">
        <f t="shared" si="21"/>
        <v>270.810201793722</v>
      </c>
      <c r="I39" s="95">
        <f t="shared" si="21"/>
        <v>5.3340402093087311</v>
      </c>
      <c r="J39" s="95">
        <f t="shared" si="21"/>
        <v>2.5003923936009658</v>
      </c>
      <c r="K39" s="95">
        <f t="shared" si="21"/>
        <v>46.456115733736766</v>
      </c>
      <c r="L39" s="95">
        <f t="shared" si="21"/>
        <v>0</v>
      </c>
      <c r="M39" s="95">
        <f t="shared" si="21"/>
        <v>85.491108679795772</v>
      </c>
      <c r="N39" s="95">
        <f t="shared" si="21"/>
        <v>130.28093220338982</v>
      </c>
      <c r="O39" s="95">
        <f t="shared" si="21"/>
        <v>91.724304450955771</v>
      </c>
      <c r="P39" s="95">
        <f t="shared" si="21"/>
        <v>81.755208333333329</v>
      </c>
      <c r="Q39" s="95">
        <f t="shared" si="21"/>
        <v>0</v>
      </c>
      <c r="R39" s="95">
        <f t="shared" si="21"/>
        <v>0.30120481927710846</v>
      </c>
      <c r="S39" s="95">
        <f t="shared" si="21"/>
        <v>0</v>
      </c>
      <c r="T39" s="95">
        <f t="shared" si="21"/>
        <v>0</v>
      </c>
      <c r="U39" s="95">
        <f t="shared" si="21"/>
        <v>105.15705882352941</v>
      </c>
      <c r="V39" s="95">
        <f t="shared" si="21"/>
        <v>4.2447247706422022</v>
      </c>
      <c r="W39" s="95">
        <f t="shared" si="21"/>
        <v>0</v>
      </c>
      <c r="X39" s="95">
        <f t="shared" si="21"/>
        <v>136.94351851851852</v>
      </c>
      <c r="Y39" s="95">
        <f t="shared" si="21"/>
        <v>0.24470304975922952</v>
      </c>
      <c r="Z39" s="95">
        <f t="shared" si="21"/>
        <v>9.8524869109947648</v>
      </c>
      <c r="AA39" s="95">
        <f t="shared" si="21"/>
        <v>75.491145833333334</v>
      </c>
      <c r="AB39" s="95">
        <f t="shared" si="21"/>
        <v>50.335570469798661</v>
      </c>
      <c r="AC39" s="95">
        <f t="shared" si="21"/>
        <v>1.8972480620155039</v>
      </c>
      <c r="AD39" s="95">
        <f t="shared" si="21"/>
        <v>6.8638599105812217</v>
      </c>
      <c r="AE39" s="95">
        <f t="shared" si="21"/>
        <v>11.124527972027972</v>
      </c>
      <c r="AF39" s="95">
        <f t="shared" si="21"/>
        <v>181.53877551020409</v>
      </c>
      <c r="AG39" s="95">
        <f t="shared" si="21"/>
        <v>34.16734587251829</v>
      </c>
      <c r="AH39" s="95">
        <f t="shared" si="21"/>
        <v>13.451147227533461</v>
      </c>
      <c r="AI39" s="95">
        <f t="shared" si="21"/>
        <v>71.18299559471366</v>
      </c>
      <c r="AJ39" s="95">
        <f t="shared" si="21"/>
        <v>22.900763358778626</v>
      </c>
      <c r="AK39" s="95">
        <f t="shared" si="21"/>
        <v>60.476321899736149</v>
      </c>
      <c r="AL39" s="95">
        <f t="shared" si="21"/>
        <v>75.999762114537447</v>
      </c>
      <c r="AM39" s="95">
        <f t="shared" si="21"/>
        <v>0</v>
      </c>
      <c r="AN39" s="95">
        <f t="shared" si="21"/>
        <v>5.6186554621848739</v>
      </c>
      <c r="AO39" s="95">
        <f t="shared" si="21"/>
        <v>0.62560669456066953</v>
      </c>
      <c r="AP39" s="95">
        <f t="shared" si="21"/>
        <v>22.76923076923077</v>
      </c>
      <c r="AQ39" s="95">
        <f t="shared" si="21"/>
        <v>18.669922480620155</v>
      </c>
      <c r="AR39" s="95">
        <f t="shared" si="21"/>
        <v>70.146912114014256</v>
      </c>
      <c r="AS39" s="95">
        <f t="shared" si="21"/>
        <v>145.49617567567569</v>
      </c>
      <c r="AT39" s="95">
        <f t="shared" si="21"/>
        <v>55.130992217898836</v>
      </c>
      <c r="AU39" s="95">
        <f t="shared" si="21"/>
        <v>277.01433121019107</v>
      </c>
      <c r="AV39" s="95">
        <f t="shared" si="21"/>
        <v>5.0187416666666662</v>
      </c>
      <c r="AW39" s="95">
        <f t="shared" si="21"/>
        <v>19.931125827814569</v>
      </c>
      <c r="AX39" s="95">
        <f t="shared" si="21"/>
        <v>0.64662983425414367</v>
      </c>
      <c r="AY39" s="95">
        <f t="shared" si="21"/>
        <v>0.89337175792507206</v>
      </c>
      <c r="AZ39" s="95">
        <f t="shared" si="21"/>
        <v>5.1232544378698224</v>
      </c>
      <c r="BA39" s="95">
        <f t="shared" si="21"/>
        <v>60.706847545219638</v>
      </c>
      <c r="BB39" s="95">
        <f t="shared" si="21"/>
        <v>35.290565693430658</v>
      </c>
      <c r="BC39" s="95">
        <f t="shared" si="21"/>
        <v>0</v>
      </c>
      <c r="BD39" s="95">
        <f t="shared" si="21"/>
        <v>0.98150450730494254</v>
      </c>
      <c r="BE39" s="95">
        <f t="shared" si="21"/>
        <v>22.82194642857143</v>
      </c>
      <c r="BF39" s="95">
        <f t="shared" si="21"/>
        <v>2369.6012240096056</v>
      </c>
      <c r="BG39" s="95">
        <f t="shared" si="21"/>
        <v>870.24523738112134</v>
      </c>
      <c r="BH39" s="95">
        <f t="shared" si="21"/>
        <v>615.99408829077743</v>
      </c>
      <c r="BI39" s="95">
        <f t="shared" si="21"/>
        <v>883.36189833770675</v>
      </c>
    </row>
    <row r="40" spans="2:61" x14ac:dyDescent="0.3">
      <c r="C40">
        <v>350</v>
      </c>
      <c r="D40" t="s">
        <v>109</v>
      </c>
      <c r="E40" s="4">
        <f>'4.1 Comptes 2020 natures'!E40/'4.1 Comptes 2020 natures'!E2</f>
        <v>0</v>
      </c>
      <c r="F40" s="4">
        <f>'4.1 Comptes 2020 natures'!F40/'4.1 Comptes 2020 natures'!F2</f>
        <v>0</v>
      </c>
      <c r="G40" s="4">
        <f>'4.1 Comptes 2020 natures'!G40/'4.1 Comptes 2020 natures'!G2</f>
        <v>0</v>
      </c>
      <c r="H40" s="4">
        <f>'4.1 Comptes 2020 natures'!H40/'4.1 Comptes 2020 natures'!H2</f>
        <v>270.810201793722</v>
      </c>
      <c r="I40" s="4">
        <f>'4.1 Comptes 2020 natures'!I40/'4.1 Comptes 2020 natures'!I2</f>
        <v>0</v>
      </c>
      <c r="J40" s="4">
        <f>'4.1 Comptes 2020 natures'!J40/'4.1 Comptes 2020 natures'!J2</f>
        <v>0</v>
      </c>
      <c r="K40" s="4">
        <f>'4.1 Comptes 2020 natures'!K40/'4.1 Comptes 2020 natures'!K2</f>
        <v>0</v>
      </c>
      <c r="L40" s="4">
        <f>'4.1 Comptes 2020 natures'!L40/'4.1 Comptes 2020 natures'!L2</f>
        <v>0</v>
      </c>
      <c r="M40" s="4">
        <f>'4.1 Comptes 2020 natures'!M40/'4.1 Comptes 2020 natures'!M2</f>
        <v>0</v>
      </c>
      <c r="N40" s="4">
        <f>'4.1 Comptes 2020 natures'!N40/'4.1 Comptes 2020 natures'!N2</f>
        <v>72.033898305084747</v>
      </c>
      <c r="O40" s="4">
        <f>'4.1 Comptes 2020 natures'!O40/'4.1 Comptes 2020 natures'!O2</f>
        <v>0</v>
      </c>
      <c r="P40" s="4">
        <f>'4.1 Comptes 2020 natures'!P40/'4.1 Comptes 2020 natures'!P2</f>
        <v>0</v>
      </c>
      <c r="Q40" s="4">
        <f>'4.1 Comptes 2020 natures'!Q40/'4.1 Comptes 2020 natures'!Q2</f>
        <v>0</v>
      </c>
      <c r="R40" s="4">
        <f>'4.1 Comptes 2020 natures'!R40/'4.1 Comptes 2020 natures'!R2</f>
        <v>0</v>
      </c>
      <c r="S40" s="4">
        <f>'4.1 Comptes 2020 natures'!S40/'4.1 Comptes 2020 natures'!S2</f>
        <v>0</v>
      </c>
      <c r="T40" s="4">
        <f>'4.1 Comptes 2020 natures'!T40/'4.1 Comptes 2020 natures'!T2</f>
        <v>0</v>
      </c>
      <c r="U40" s="4">
        <f>'4.1 Comptes 2020 natures'!U40/'4.1 Comptes 2020 natures'!U2</f>
        <v>0</v>
      </c>
      <c r="V40" s="4">
        <f>'4.1 Comptes 2020 natures'!V40/'4.1 Comptes 2020 natures'!V2</f>
        <v>0</v>
      </c>
      <c r="W40" s="4">
        <f>'4.1 Comptes 2020 natures'!W40/'4.1 Comptes 2020 natures'!W2</f>
        <v>0</v>
      </c>
      <c r="X40" s="4">
        <f>'4.1 Comptes 2020 natures'!X40/'4.1 Comptes 2020 natures'!X2</f>
        <v>0</v>
      </c>
      <c r="Y40" s="4">
        <f>'4.1 Comptes 2020 natures'!Y40/'4.1 Comptes 2020 natures'!Y2</f>
        <v>0</v>
      </c>
      <c r="Z40" s="4">
        <f>'4.1 Comptes 2020 natures'!Z40/'4.1 Comptes 2020 natures'!Z2</f>
        <v>0</v>
      </c>
      <c r="AA40" s="4">
        <f>'4.1 Comptes 2020 natures'!AA40/'4.1 Comptes 2020 natures'!AA2</f>
        <v>75.491145833333334</v>
      </c>
      <c r="AB40" s="4">
        <f>'4.1 Comptes 2020 natures'!AB40/'4.1 Comptes 2020 natures'!AB2</f>
        <v>0</v>
      </c>
      <c r="AC40" s="4">
        <f>'4.1 Comptes 2020 natures'!AC40/'4.1 Comptes 2020 natures'!AC2</f>
        <v>0</v>
      </c>
      <c r="AD40" s="4">
        <f>'4.1 Comptes 2020 natures'!AD40/'4.1 Comptes 2020 natures'!AD2</f>
        <v>0</v>
      </c>
      <c r="AE40" s="4">
        <f>'4.1 Comptes 2020 natures'!AE40/'4.1 Comptes 2020 natures'!AE2</f>
        <v>3.3544930069930068</v>
      </c>
      <c r="AF40" s="4">
        <f>'4.1 Comptes 2020 natures'!AF40/'4.1 Comptes 2020 natures'!AF2</f>
        <v>0</v>
      </c>
      <c r="AG40" s="4">
        <f>'4.1 Comptes 2020 natures'!AG40/'4.1 Comptes 2020 natures'!AG2</f>
        <v>0</v>
      </c>
      <c r="AH40" s="4">
        <f>'4.1 Comptes 2020 natures'!AH40/'4.1 Comptes 2020 natures'!AH2</f>
        <v>0</v>
      </c>
      <c r="AI40" s="4">
        <f>'4.1 Comptes 2020 natures'!AI40/'4.1 Comptes 2020 natures'!AI2</f>
        <v>25.141233480176215</v>
      </c>
      <c r="AJ40" s="4">
        <f>'4.1 Comptes 2020 natures'!AJ40/'4.1 Comptes 2020 natures'!AJ2</f>
        <v>0</v>
      </c>
      <c r="AK40" s="4">
        <f>'4.1 Comptes 2020 natures'!AK40/'4.1 Comptes 2020 natures'!AK2</f>
        <v>0</v>
      </c>
      <c r="AL40" s="4">
        <f>'4.1 Comptes 2020 natures'!AL40/'4.1 Comptes 2020 natures'!AL2</f>
        <v>0</v>
      </c>
      <c r="AM40" s="4">
        <f>'4.1 Comptes 2020 natures'!AM40/'4.1 Comptes 2020 natures'!AM2</f>
        <v>0</v>
      </c>
      <c r="AN40" s="4">
        <f>'4.1 Comptes 2020 natures'!AN40/'4.1 Comptes 2020 natures'!AN2</f>
        <v>0</v>
      </c>
      <c r="AO40" s="4">
        <f>'4.1 Comptes 2020 natures'!AO40/'4.1 Comptes 2020 natures'!AO2</f>
        <v>0</v>
      </c>
      <c r="AP40" s="4">
        <f>'4.1 Comptes 2020 natures'!AP40/'4.1 Comptes 2020 natures'!AP2</f>
        <v>0</v>
      </c>
      <c r="AQ40" s="4">
        <f>'4.1 Comptes 2020 natures'!AQ40/'4.1 Comptes 2020 natures'!AQ2</f>
        <v>0</v>
      </c>
      <c r="AR40" s="4">
        <f>'4.1 Comptes 2020 natures'!AR40/'4.1 Comptes 2020 natures'!AR2</f>
        <v>0</v>
      </c>
      <c r="AS40" s="4">
        <f>'4.1 Comptes 2020 natures'!AS40/'4.1 Comptes 2020 natures'!AS2</f>
        <v>2.2972972972972973E-3</v>
      </c>
      <c r="AT40" s="4">
        <f>'4.1 Comptes 2020 natures'!AT40/'4.1 Comptes 2020 natures'!AT2</f>
        <v>4.0058365758754863E-2</v>
      </c>
      <c r="AU40" s="4">
        <f>'4.1 Comptes 2020 natures'!AU40/'4.1 Comptes 2020 natures'!AU2</f>
        <v>0</v>
      </c>
      <c r="AV40" s="4">
        <f>'4.1 Comptes 2020 natures'!AV40/'4.1 Comptes 2020 natures'!AV2</f>
        <v>4.8731166666666663</v>
      </c>
      <c r="AW40" s="4">
        <f>'4.1 Comptes 2020 natures'!AW40/'4.1 Comptes 2020 natures'!AW2</f>
        <v>0</v>
      </c>
      <c r="AX40" s="4">
        <f>'4.1 Comptes 2020 natures'!AX40/'4.1 Comptes 2020 natures'!AX2</f>
        <v>0</v>
      </c>
      <c r="AY40" s="4">
        <f>'4.1 Comptes 2020 natures'!AY40/'4.1 Comptes 2020 natures'!AY2</f>
        <v>0</v>
      </c>
      <c r="AZ40" s="4">
        <f>'4.1 Comptes 2020 natures'!AZ40/'4.1 Comptes 2020 natures'!AZ2</f>
        <v>0</v>
      </c>
      <c r="BA40" s="4">
        <f>'4.1 Comptes 2020 natures'!BA40/'4.1 Comptes 2020 natures'!BA2</f>
        <v>0</v>
      </c>
      <c r="BB40" s="4">
        <f>'4.1 Comptes 2020 natures'!BB40/'4.1 Comptes 2020 natures'!BB2</f>
        <v>0</v>
      </c>
      <c r="BC40" s="4">
        <f>'4.1 Comptes 2020 natures'!BC40/'4.1 Comptes 2020 natures'!BC2</f>
        <v>0</v>
      </c>
      <c r="BD40" s="4">
        <f>'4.1 Comptes 2020 natures'!BD40/'4.1 Comptes 2020 natures'!BD2</f>
        <v>0</v>
      </c>
      <c r="BE40" s="4">
        <f>'4.1 Comptes 2020 natures'!BE40/'4.1 Comptes 2020 natures'!BE2</f>
        <v>0</v>
      </c>
      <c r="BF40" s="4">
        <f t="shared" ref="BF40:BF41" si="22">SUM(E40:BE40)</f>
        <v>451.74644474903192</v>
      </c>
      <c r="BG40" s="4">
        <f t="shared" ref="BG40:BG41" si="23">SUM(E40:W40)</f>
        <v>342.84410009880673</v>
      </c>
      <c r="BH40" s="4">
        <f t="shared" ref="BH40:BH41" si="24">SUM(X40:AJ40)</f>
        <v>103.98687232050256</v>
      </c>
      <c r="BI40" s="4">
        <f t="shared" ref="BI40:BI41" si="25">SUM(AK40:BE40)</f>
        <v>4.9154723297227187</v>
      </c>
    </row>
    <row r="41" spans="2:61" x14ac:dyDescent="0.3">
      <c r="C41">
        <v>351</v>
      </c>
      <c r="D41" t="s">
        <v>108</v>
      </c>
      <c r="E41" s="4">
        <f>'4.1 Comptes 2020 natures'!E41/'4.1 Comptes 2020 natures'!E2</f>
        <v>23.058017334777897</v>
      </c>
      <c r="F41" s="4">
        <f>'4.1 Comptes 2020 natures'!F41/'4.1 Comptes 2020 natures'!F2</f>
        <v>20.942999999999998</v>
      </c>
      <c r="G41" s="4">
        <f>'4.1 Comptes 2020 natures'!G41/'4.1 Comptes 2020 natures'!G2</f>
        <v>2.1889278350515466</v>
      </c>
      <c r="H41" s="4">
        <f>'4.1 Comptes 2020 natures'!H41/'4.1 Comptes 2020 natures'!H2</f>
        <v>0</v>
      </c>
      <c r="I41" s="4">
        <f>'4.1 Comptes 2020 natures'!I41/'4.1 Comptes 2020 natures'!I2</f>
        <v>5.3340402093087311</v>
      </c>
      <c r="J41" s="4">
        <f>'4.1 Comptes 2020 natures'!J41/'4.1 Comptes 2020 natures'!J2</f>
        <v>2.5003923936009658</v>
      </c>
      <c r="K41" s="4">
        <f>'4.1 Comptes 2020 natures'!K41/'4.1 Comptes 2020 natures'!K2</f>
        <v>46.456115733736766</v>
      </c>
      <c r="L41" s="4">
        <f>'4.1 Comptes 2020 natures'!L41/'4.1 Comptes 2020 natures'!L2</f>
        <v>0</v>
      </c>
      <c r="M41" s="4">
        <f>'4.1 Comptes 2020 natures'!M41/'4.1 Comptes 2020 natures'!M2</f>
        <v>85.491108679795772</v>
      </c>
      <c r="N41" s="4">
        <f>'4.1 Comptes 2020 natures'!N41/'4.1 Comptes 2020 natures'!N2</f>
        <v>58.247033898305084</v>
      </c>
      <c r="O41" s="4">
        <f>'4.1 Comptes 2020 natures'!O41/'4.1 Comptes 2020 natures'!O2</f>
        <v>91.724304450955771</v>
      </c>
      <c r="P41" s="4">
        <f>'4.1 Comptes 2020 natures'!P41/'4.1 Comptes 2020 natures'!P2</f>
        <v>81.755208333333329</v>
      </c>
      <c r="Q41" s="4">
        <f>'4.1 Comptes 2020 natures'!Q41/'4.1 Comptes 2020 natures'!Q2</f>
        <v>0</v>
      </c>
      <c r="R41" s="4">
        <f>'4.1 Comptes 2020 natures'!R41/'4.1 Comptes 2020 natures'!R2</f>
        <v>0.30120481927710846</v>
      </c>
      <c r="S41" s="4">
        <f>'4.1 Comptes 2020 natures'!S41/'4.1 Comptes 2020 natures'!S2</f>
        <v>0</v>
      </c>
      <c r="T41" s="4">
        <f>'4.1 Comptes 2020 natures'!T41/'4.1 Comptes 2020 natures'!T2</f>
        <v>0</v>
      </c>
      <c r="U41" s="4">
        <f>'4.1 Comptes 2020 natures'!U41/'4.1 Comptes 2020 natures'!U2</f>
        <v>105.15705882352941</v>
      </c>
      <c r="V41" s="4">
        <f>'4.1 Comptes 2020 natures'!V41/'4.1 Comptes 2020 natures'!V2</f>
        <v>4.2447247706422022</v>
      </c>
      <c r="W41" s="4">
        <f>'4.1 Comptes 2020 natures'!W41/'4.1 Comptes 2020 natures'!W2</f>
        <v>0</v>
      </c>
      <c r="X41" s="4">
        <f>'4.1 Comptes 2020 natures'!X41/'4.1 Comptes 2020 natures'!X2</f>
        <v>136.94351851851852</v>
      </c>
      <c r="Y41" s="4">
        <f>'4.1 Comptes 2020 natures'!Y41/'4.1 Comptes 2020 natures'!Y2</f>
        <v>0.24470304975922952</v>
      </c>
      <c r="Z41" s="4">
        <f>'4.1 Comptes 2020 natures'!Z41/'4.1 Comptes 2020 natures'!Z2</f>
        <v>9.8524869109947648</v>
      </c>
      <c r="AA41" s="4">
        <f>'4.1 Comptes 2020 natures'!AA41/'4.1 Comptes 2020 natures'!AA2</f>
        <v>0</v>
      </c>
      <c r="AB41" s="4">
        <f>'4.1 Comptes 2020 natures'!AB41/'4.1 Comptes 2020 natures'!AB2</f>
        <v>50.335570469798661</v>
      </c>
      <c r="AC41" s="4">
        <f>'4.1 Comptes 2020 natures'!AC41/'4.1 Comptes 2020 natures'!AC2</f>
        <v>1.8972480620155039</v>
      </c>
      <c r="AD41" s="4">
        <f>'4.1 Comptes 2020 natures'!AD41/'4.1 Comptes 2020 natures'!AD2</f>
        <v>6.8638599105812217</v>
      </c>
      <c r="AE41" s="4">
        <f>'4.1 Comptes 2020 natures'!AE41/'4.1 Comptes 2020 natures'!AE2</f>
        <v>7.7700349650349647</v>
      </c>
      <c r="AF41" s="4">
        <f>'4.1 Comptes 2020 natures'!AF41/'4.1 Comptes 2020 natures'!AF2</f>
        <v>181.53877551020409</v>
      </c>
      <c r="AG41" s="4">
        <f>'4.1 Comptes 2020 natures'!AG41/'4.1 Comptes 2020 natures'!AG2</f>
        <v>34.16734587251829</v>
      </c>
      <c r="AH41" s="4">
        <f>'4.1 Comptes 2020 natures'!AH41/'4.1 Comptes 2020 natures'!AH2</f>
        <v>13.451147227533461</v>
      </c>
      <c r="AI41" s="4">
        <f>'4.1 Comptes 2020 natures'!AI41/'4.1 Comptes 2020 natures'!AI2</f>
        <v>46.041762114537441</v>
      </c>
      <c r="AJ41" s="4">
        <f>'4.1 Comptes 2020 natures'!AJ41/'4.1 Comptes 2020 natures'!AJ2</f>
        <v>22.900763358778626</v>
      </c>
      <c r="AK41" s="4">
        <f>'4.1 Comptes 2020 natures'!AK41/'4.1 Comptes 2020 natures'!AK2</f>
        <v>60.476321899736149</v>
      </c>
      <c r="AL41" s="4">
        <f>'4.1 Comptes 2020 natures'!AL41/'4.1 Comptes 2020 natures'!AL2</f>
        <v>75.999762114537447</v>
      </c>
      <c r="AM41" s="4">
        <f>'4.1 Comptes 2020 natures'!AM41/'4.1 Comptes 2020 natures'!AM2</f>
        <v>0</v>
      </c>
      <c r="AN41" s="4">
        <f>'4.1 Comptes 2020 natures'!AN41/'4.1 Comptes 2020 natures'!AN2</f>
        <v>5.6186554621848739</v>
      </c>
      <c r="AO41" s="4">
        <f>'4.1 Comptes 2020 natures'!AO41/'4.1 Comptes 2020 natures'!AO2</f>
        <v>0.62560669456066953</v>
      </c>
      <c r="AP41" s="4">
        <f>'4.1 Comptes 2020 natures'!AP41/'4.1 Comptes 2020 natures'!AP2</f>
        <v>22.76923076923077</v>
      </c>
      <c r="AQ41" s="4">
        <f>'4.1 Comptes 2020 natures'!AQ41/'4.1 Comptes 2020 natures'!AQ2</f>
        <v>18.669922480620155</v>
      </c>
      <c r="AR41" s="4">
        <f>'4.1 Comptes 2020 natures'!AR41/'4.1 Comptes 2020 natures'!AR2</f>
        <v>70.146912114014256</v>
      </c>
      <c r="AS41" s="4">
        <f>'4.1 Comptes 2020 natures'!AS41/'4.1 Comptes 2020 natures'!AS2</f>
        <v>145.49387837837838</v>
      </c>
      <c r="AT41" s="4">
        <f>'4.1 Comptes 2020 natures'!AT41/'4.1 Comptes 2020 natures'!AT2</f>
        <v>55.090933852140083</v>
      </c>
      <c r="AU41" s="4">
        <f>'4.1 Comptes 2020 natures'!AU41/'4.1 Comptes 2020 natures'!AU2</f>
        <v>277.01433121019107</v>
      </c>
      <c r="AV41" s="4">
        <f>'4.1 Comptes 2020 natures'!AV41/'4.1 Comptes 2020 natures'!AV2</f>
        <v>0.145625</v>
      </c>
      <c r="AW41" s="4">
        <f>'4.1 Comptes 2020 natures'!AW41/'4.1 Comptes 2020 natures'!AW2</f>
        <v>19.931125827814569</v>
      </c>
      <c r="AX41" s="4">
        <f>'4.1 Comptes 2020 natures'!AX41/'4.1 Comptes 2020 natures'!AX2</f>
        <v>0.64662983425414367</v>
      </c>
      <c r="AY41" s="4">
        <f>'4.1 Comptes 2020 natures'!AY41/'4.1 Comptes 2020 natures'!AY2</f>
        <v>0.89337175792507206</v>
      </c>
      <c r="AZ41" s="4">
        <f>'4.1 Comptes 2020 natures'!AZ41/'4.1 Comptes 2020 natures'!AZ2</f>
        <v>5.1232544378698224</v>
      </c>
      <c r="BA41" s="4">
        <f>'4.1 Comptes 2020 natures'!BA41/'4.1 Comptes 2020 natures'!BA2</f>
        <v>60.706847545219638</v>
      </c>
      <c r="BB41" s="4">
        <f>'4.1 Comptes 2020 natures'!BB41/'4.1 Comptes 2020 natures'!BB2</f>
        <v>35.290565693430658</v>
      </c>
      <c r="BC41" s="4">
        <f>'4.1 Comptes 2020 natures'!BC41/'4.1 Comptes 2020 natures'!BC2</f>
        <v>0</v>
      </c>
      <c r="BD41" s="4">
        <f>'4.1 Comptes 2020 natures'!BD41/'4.1 Comptes 2020 natures'!BD2</f>
        <v>0.98150450730494254</v>
      </c>
      <c r="BE41" s="4">
        <f>'4.1 Comptes 2020 natures'!BE41/'4.1 Comptes 2020 natures'!BE2</f>
        <v>22.82194642857143</v>
      </c>
      <c r="BF41" s="4">
        <f t="shared" si="22"/>
        <v>1917.8547792605737</v>
      </c>
      <c r="BG41" s="4">
        <f t="shared" si="23"/>
        <v>527.40113728231461</v>
      </c>
      <c r="BH41" s="4">
        <f t="shared" si="24"/>
        <v>512.00721597027484</v>
      </c>
      <c r="BI41" s="4">
        <f t="shared" si="25"/>
        <v>878.44642600798397</v>
      </c>
    </row>
    <row r="42" spans="2:61" x14ac:dyDescent="0.3">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3">
      <c r="B43" s="94">
        <v>36</v>
      </c>
      <c r="C43" s="94"/>
      <c r="D43" s="94" t="s">
        <v>110</v>
      </c>
      <c r="E43" s="95">
        <f>E44+E45+E46+E47+E48+E49+E50+E51</f>
        <v>2276.8306392199347</v>
      </c>
      <c r="F43" s="95">
        <f t="shared" ref="F43:BI43" si="26">F44+F45+F46+F47+F48+F49+F50+F51</f>
        <v>2183.9303703703708</v>
      </c>
      <c r="G43" s="95">
        <f t="shared" si="26"/>
        <v>2480.0056288659794</v>
      </c>
      <c r="H43" s="95">
        <f t="shared" si="26"/>
        <v>2035.567399103139</v>
      </c>
      <c r="I43" s="95">
        <f t="shared" si="26"/>
        <v>1937.2168824015421</v>
      </c>
      <c r="J43" s="95">
        <f t="shared" si="26"/>
        <v>1993.9235073951102</v>
      </c>
      <c r="K43" s="95">
        <f t="shared" si="26"/>
        <v>2434.5045877458397</v>
      </c>
      <c r="L43" s="95">
        <f t="shared" si="26"/>
        <v>3310.1559716278334</v>
      </c>
      <c r="M43" s="95">
        <f t="shared" si="26"/>
        <v>2645.7811013858495</v>
      </c>
      <c r="N43" s="95">
        <f t="shared" si="26"/>
        <v>2351.703813559322</v>
      </c>
      <c r="O43" s="95">
        <f t="shared" si="26"/>
        <v>2234.7943295660666</v>
      </c>
      <c r="P43" s="95">
        <f t="shared" si="26"/>
        <v>2073.3846590909093</v>
      </c>
      <c r="Q43" s="95">
        <f t="shared" si="26"/>
        <v>2219.5194444444442</v>
      </c>
      <c r="R43" s="95">
        <f t="shared" si="26"/>
        <v>2154.3073493975899</v>
      </c>
      <c r="S43" s="95">
        <f t="shared" si="26"/>
        <v>2060.5426934097422</v>
      </c>
      <c r="T43" s="95">
        <f t="shared" si="26"/>
        <v>2113.3815866084424</v>
      </c>
      <c r="U43" s="95">
        <f t="shared" si="26"/>
        <v>2322.5174509803924</v>
      </c>
      <c r="V43" s="95">
        <f t="shared" si="26"/>
        <v>2829.8164678899084</v>
      </c>
      <c r="W43" s="95">
        <f t="shared" si="26"/>
        <v>1912.2666802507836</v>
      </c>
      <c r="X43" s="95">
        <f t="shared" si="26"/>
        <v>1966.2552469135803</v>
      </c>
      <c r="Y43" s="95">
        <f t="shared" si="26"/>
        <v>2226.4057704654897</v>
      </c>
      <c r="Z43" s="95">
        <f t="shared" si="26"/>
        <v>3859.4076636125656</v>
      </c>
      <c r="AA43" s="95">
        <f t="shared" si="26"/>
        <v>2073.8834375000001</v>
      </c>
      <c r="AB43" s="95">
        <f t="shared" si="26"/>
        <v>2297.4928187919463</v>
      </c>
      <c r="AC43" s="95">
        <f t="shared" si="26"/>
        <v>2717.2623643410852</v>
      </c>
      <c r="AD43" s="95">
        <f t="shared" si="26"/>
        <v>2381.4222056631897</v>
      </c>
      <c r="AE43" s="95">
        <f t="shared" si="26"/>
        <v>2190.5151048951047</v>
      </c>
      <c r="AF43" s="95">
        <f t="shared" si="26"/>
        <v>2425.1112448979593</v>
      </c>
      <c r="AG43" s="95">
        <f t="shared" si="26"/>
        <v>2568.1365308254967</v>
      </c>
      <c r="AH43" s="95">
        <f t="shared" si="26"/>
        <v>2130.8301873804971</v>
      </c>
      <c r="AI43" s="95">
        <f t="shared" si="26"/>
        <v>2238.7969162995596</v>
      </c>
      <c r="AJ43" s="95">
        <f t="shared" si="26"/>
        <v>2175.9734351145039</v>
      </c>
      <c r="AK43" s="95">
        <f t="shared" si="26"/>
        <v>2523.802786279683</v>
      </c>
      <c r="AL43" s="95">
        <f t="shared" si="26"/>
        <v>2400.8367577092513</v>
      </c>
      <c r="AM43" s="95">
        <f t="shared" si="26"/>
        <v>2129.7810233682517</v>
      </c>
      <c r="AN43" s="95">
        <f t="shared" si="26"/>
        <v>2627.9493277310921</v>
      </c>
      <c r="AO43" s="95">
        <f t="shared" si="26"/>
        <v>3916.5167698744767</v>
      </c>
      <c r="AP43" s="95">
        <f t="shared" si="26"/>
        <v>2907.8938009049775</v>
      </c>
      <c r="AQ43" s="95">
        <f t="shared" si="26"/>
        <v>2191.0942325581391</v>
      </c>
      <c r="AR43" s="95">
        <f t="shared" si="26"/>
        <v>2414.7239509105302</v>
      </c>
      <c r="AS43" s="95">
        <f t="shared" si="26"/>
        <v>2188.24722972973</v>
      </c>
      <c r="AT43" s="95">
        <f t="shared" si="26"/>
        <v>2677.1607003891049</v>
      </c>
      <c r="AU43" s="95">
        <f t="shared" si="26"/>
        <v>2452.3726114649685</v>
      </c>
      <c r="AV43" s="95">
        <f t="shared" si="26"/>
        <v>2274.0539708333331</v>
      </c>
      <c r="AW43" s="95">
        <f t="shared" si="26"/>
        <v>2289.9888741721857</v>
      </c>
      <c r="AX43" s="95">
        <f t="shared" si="26"/>
        <v>2519.3887845303866</v>
      </c>
      <c r="AY43" s="95">
        <f t="shared" si="26"/>
        <v>2012.8665706051875</v>
      </c>
      <c r="AZ43" s="95">
        <f t="shared" si="26"/>
        <v>2310.5234142011832</v>
      </c>
      <c r="BA43" s="95">
        <f t="shared" si="26"/>
        <v>2174.6773126614989</v>
      </c>
      <c r="BB43" s="95">
        <f t="shared" si="26"/>
        <v>2463.9432025547444</v>
      </c>
      <c r="BC43" s="95">
        <f t="shared" si="26"/>
        <v>2180.4929255319153</v>
      </c>
      <c r="BD43" s="95">
        <f t="shared" si="26"/>
        <v>2863.9193565433634</v>
      </c>
      <c r="BE43" s="95">
        <f t="shared" si="26"/>
        <v>2599.2369642857143</v>
      </c>
      <c r="BF43" s="95">
        <f t="shared" si="26"/>
        <v>126941.11405685384</v>
      </c>
      <c r="BG43" s="95">
        <f t="shared" si="26"/>
        <v>43570.150563313189</v>
      </c>
      <c r="BH43" s="95">
        <f t="shared" si="26"/>
        <v>31251.492926700979</v>
      </c>
      <c r="BI43" s="95">
        <f t="shared" si="26"/>
        <v>52119.470566839729</v>
      </c>
    </row>
    <row r="44" spans="2:61" x14ac:dyDescent="0.3">
      <c r="C44">
        <v>360</v>
      </c>
      <c r="D44" t="s">
        <v>111</v>
      </c>
      <c r="E44" s="4">
        <f>'4.1 Comptes 2020 natures'!E44/'4.1 Comptes 2020 natures'!E2</f>
        <v>1.5277356446370529</v>
      </c>
      <c r="F44" s="4">
        <f>'4.1 Comptes 2020 natures'!F44/'4.1 Comptes 2020 natures'!F2</f>
        <v>5.1851851851851851</v>
      </c>
      <c r="G44" s="4">
        <f>'4.1 Comptes 2020 natures'!G44/'4.1 Comptes 2020 natures'!G2</f>
        <v>2.9144329896907215</v>
      </c>
      <c r="H44" s="4">
        <f>'4.1 Comptes 2020 natures'!H44/'4.1 Comptes 2020 natures'!H2</f>
        <v>2.3318385650224216</v>
      </c>
      <c r="I44" s="4">
        <f>'4.1 Comptes 2020 natures'!I44/'4.1 Comptes 2020 natures'!I2</f>
        <v>3.211925089507023</v>
      </c>
      <c r="J44" s="4">
        <f>'4.1 Comptes 2020 natures'!J44/'4.1 Comptes 2020 natures'!J2</f>
        <v>48.600377301539389</v>
      </c>
      <c r="K44" s="4">
        <f>'4.1 Comptes 2020 natures'!K44/'4.1 Comptes 2020 natures'!K2</f>
        <v>1.5506807866868382</v>
      </c>
      <c r="L44" s="4">
        <f>'4.1 Comptes 2020 natures'!L44/'4.1 Comptes 2020 natures'!L2</f>
        <v>1.5626446346489142</v>
      </c>
      <c r="M44" s="4">
        <f>'4.1 Comptes 2020 natures'!M44/'4.1 Comptes 2020 natures'!M2</f>
        <v>2.0131291028446388</v>
      </c>
      <c r="N44" s="4">
        <f>'4.1 Comptes 2020 natures'!N44/'4.1 Comptes 2020 natures'!N2</f>
        <v>0</v>
      </c>
      <c r="O44" s="4">
        <f>'4.1 Comptes 2020 natures'!O44/'4.1 Comptes 2020 natures'!O2</f>
        <v>10.923029161434354</v>
      </c>
      <c r="P44" s="4">
        <f>'4.1 Comptes 2020 natures'!P44/'4.1 Comptes 2020 natures'!P2</f>
        <v>2.3863636363636362</v>
      </c>
      <c r="Q44" s="4">
        <f>'4.1 Comptes 2020 natures'!Q44/'4.1 Comptes 2020 natures'!Q2</f>
        <v>2.0370370370370372</v>
      </c>
      <c r="R44" s="4">
        <f>'4.1 Comptes 2020 natures'!R44/'4.1 Comptes 2020 natures'!R2</f>
        <v>3.4216867469879517</v>
      </c>
      <c r="S44" s="4">
        <f>'4.1 Comptes 2020 natures'!S44/'4.1 Comptes 2020 natures'!S2</f>
        <v>3.0372492836676219</v>
      </c>
      <c r="T44" s="4">
        <f>'4.1 Comptes 2020 natures'!T44/'4.1 Comptes 2020 natures'!T2</f>
        <v>8.0829694323144103</v>
      </c>
      <c r="U44" s="4">
        <f>'4.1 Comptes 2020 natures'!U44/'4.1 Comptes 2020 natures'!U2</f>
        <v>3.2941176470588234</v>
      </c>
      <c r="V44" s="4">
        <f>'4.1 Comptes 2020 natures'!V44/'4.1 Comptes 2020 natures'!V2</f>
        <v>3.0275229357798166</v>
      </c>
      <c r="W44" s="4">
        <f>'4.1 Comptes 2020 natures'!W44/'4.1 Comptes 2020 natures'!W2</f>
        <v>2.2633228840125392</v>
      </c>
      <c r="X44" s="4">
        <f>'4.1 Comptes 2020 natures'!X44/'4.1 Comptes 2020 natures'!X2</f>
        <v>5.8364197530864201</v>
      </c>
      <c r="Y44" s="4">
        <f>'4.1 Comptes 2020 natures'!Y44/'4.1 Comptes 2020 natures'!Y2</f>
        <v>5.5111155698234349</v>
      </c>
      <c r="Z44" s="4">
        <f>'4.1 Comptes 2020 natures'!Z44/'4.1 Comptes 2020 natures'!Z2</f>
        <v>0</v>
      </c>
      <c r="AA44" s="4">
        <f>'4.1 Comptes 2020 natures'!AA44/'4.1 Comptes 2020 natures'!AA2</f>
        <v>3.6812499999999999</v>
      </c>
      <c r="AB44" s="4">
        <f>'4.1 Comptes 2020 natures'!AB44/'4.1 Comptes 2020 natures'!AB2</f>
        <v>8.4389261744966451</v>
      </c>
      <c r="AC44" s="4">
        <f>'4.1 Comptes 2020 natures'!AC44/'4.1 Comptes 2020 natures'!AC2</f>
        <v>24.213953488372091</v>
      </c>
      <c r="AD44" s="4">
        <f>'4.1 Comptes 2020 natures'!AD44/'4.1 Comptes 2020 natures'!AD2</f>
        <v>5.6190760059612517</v>
      </c>
      <c r="AE44" s="4">
        <f>'4.1 Comptes 2020 natures'!AE44/'4.1 Comptes 2020 natures'!AE2</f>
        <v>5.9975524475524473</v>
      </c>
      <c r="AF44" s="4">
        <f>'4.1 Comptes 2020 natures'!AF44/'4.1 Comptes 2020 natures'!AF2</f>
        <v>2.7548979591836735</v>
      </c>
      <c r="AG44" s="4">
        <f>'4.1 Comptes 2020 natures'!AG44/'4.1 Comptes 2020 natures'!AG2</f>
        <v>5.6092998955067923</v>
      </c>
      <c r="AH44" s="4">
        <f>'4.1 Comptes 2020 natures'!AH44/'4.1 Comptes 2020 natures'!AH2</f>
        <v>5.4282982791586996</v>
      </c>
      <c r="AI44" s="4">
        <f>'4.1 Comptes 2020 natures'!AI44/'4.1 Comptes 2020 natures'!AI2</f>
        <v>6.9207048458149778</v>
      </c>
      <c r="AJ44" s="4">
        <f>'4.1 Comptes 2020 natures'!AJ44/'4.1 Comptes 2020 natures'!AJ2</f>
        <v>17.867175572519084</v>
      </c>
      <c r="AK44" s="4">
        <f>'4.1 Comptes 2020 natures'!AK44/'4.1 Comptes 2020 natures'!AK2</f>
        <v>2.7254881266490765</v>
      </c>
      <c r="AL44" s="4">
        <f>'4.1 Comptes 2020 natures'!AL44/'4.1 Comptes 2020 natures'!AL2</f>
        <v>3.6651982378854626</v>
      </c>
      <c r="AM44" s="4">
        <f>'4.1 Comptes 2020 natures'!AM44/'4.1 Comptes 2020 natures'!AM2</f>
        <v>4.1308622078968567</v>
      </c>
      <c r="AN44" s="4">
        <f>'4.1 Comptes 2020 natures'!AN44/'4.1 Comptes 2020 natures'!AN2</f>
        <v>5.2100840336134455</v>
      </c>
      <c r="AO44" s="4">
        <f>'4.1 Comptes 2020 natures'!AO44/'4.1 Comptes 2020 natures'!AO2</f>
        <v>0.63815899581589963</v>
      </c>
      <c r="AP44" s="4">
        <f>'4.1 Comptes 2020 natures'!AP44/'4.1 Comptes 2020 natures'!AP2</f>
        <v>0.28054298642533937</v>
      </c>
      <c r="AQ44" s="4">
        <f>'4.1 Comptes 2020 natures'!AQ44/'4.1 Comptes 2020 natures'!AQ2</f>
        <v>3.3178294573643412</v>
      </c>
      <c r="AR44" s="4">
        <f>'4.1 Comptes 2020 natures'!AR44/'4.1 Comptes 2020 natures'!AR2</f>
        <v>3.6451306413301663</v>
      </c>
      <c r="AS44" s="4">
        <f>'4.1 Comptes 2020 natures'!AS44/'4.1 Comptes 2020 natures'!AS2</f>
        <v>2.4656756756756755</v>
      </c>
      <c r="AT44" s="4">
        <f>'4.1 Comptes 2020 natures'!AT44/'4.1 Comptes 2020 natures'!AT2</f>
        <v>2.97431906614786</v>
      </c>
      <c r="AU44" s="4">
        <f>'4.1 Comptes 2020 natures'!AU44/'4.1 Comptes 2020 natures'!AU2</f>
        <v>4.4598726114649683</v>
      </c>
      <c r="AV44" s="4">
        <f>'4.1 Comptes 2020 natures'!AV44/'4.1 Comptes 2020 natures'!AV2</f>
        <v>0.66649999999999998</v>
      </c>
      <c r="AW44" s="4">
        <f>'4.1 Comptes 2020 natures'!AW44/'4.1 Comptes 2020 natures'!AW2</f>
        <v>2.0662251655629138</v>
      </c>
      <c r="AX44" s="4">
        <f>'4.1 Comptes 2020 natures'!AX44/'4.1 Comptes 2020 natures'!AX2</f>
        <v>0</v>
      </c>
      <c r="AY44" s="4">
        <f>'4.1 Comptes 2020 natures'!AY44/'4.1 Comptes 2020 natures'!AY2</f>
        <v>4.9659942363112393</v>
      </c>
      <c r="AZ44" s="4">
        <f>'4.1 Comptes 2020 natures'!AZ44/'4.1 Comptes 2020 natures'!AZ2</f>
        <v>2.4963313609467455</v>
      </c>
      <c r="BA44" s="4">
        <f>'4.1 Comptes 2020 natures'!BA44/'4.1 Comptes 2020 natures'!BA2</f>
        <v>5.5028423772609818</v>
      </c>
      <c r="BB44" s="4">
        <f>'4.1 Comptes 2020 natures'!BB44/'4.1 Comptes 2020 natures'!BB2</f>
        <v>5.1587591240875916</v>
      </c>
      <c r="BC44" s="4">
        <f>'4.1 Comptes 2020 natures'!BC44/'4.1 Comptes 2020 natures'!BC2</f>
        <v>0</v>
      </c>
      <c r="BD44" s="4">
        <f>'4.1 Comptes 2020 natures'!BD44/'4.1 Comptes 2020 natures'!BD2</f>
        <v>2.39474665837737</v>
      </c>
      <c r="BE44" s="4">
        <f>'4.1 Comptes 2020 natures'!BE44/'4.1 Comptes 2020 natures'!BE2</f>
        <v>4.375</v>
      </c>
      <c r="BF44" s="4">
        <f t="shared" ref="BF44:BF51" si="27">SUM(E44:BE44)</f>
        <v>266.38947901870978</v>
      </c>
      <c r="BG44" s="4">
        <f t="shared" ref="BG44:BG51" si="28">SUM(E44:W44)</f>
        <v>107.3712480644184</v>
      </c>
      <c r="BH44" s="4">
        <f t="shared" ref="BH44:BH51" si="29">SUM(X44:AJ44)</f>
        <v>97.878669991475519</v>
      </c>
      <c r="BI44" s="4">
        <f t="shared" ref="BI44:BI51" si="30">SUM(AK44:BE44)</f>
        <v>61.139560962815935</v>
      </c>
    </row>
    <row r="45" spans="2:61" x14ac:dyDescent="0.3">
      <c r="C45">
        <v>361</v>
      </c>
      <c r="D45" t="s">
        <v>112</v>
      </c>
      <c r="E45" s="4">
        <f>'4.1 Comptes 2020 natures'!E45/'4.1 Comptes 2020 natures'!E2</f>
        <v>1752.6000866738893</v>
      </c>
      <c r="F45" s="4">
        <f>'4.1 Comptes 2020 natures'!F45/'4.1 Comptes 2020 natures'!F2</f>
        <v>1539.7787037037037</v>
      </c>
      <c r="G45" s="4">
        <f>'4.1 Comptes 2020 natures'!G45/'4.1 Comptes 2020 natures'!G2</f>
        <v>1873.5038762886597</v>
      </c>
      <c r="H45" s="4">
        <f>'4.1 Comptes 2020 natures'!H45/'4.1 Comptes 2020 natures'!H2</f>
        <v>1478.1205381165919</v>
      </c>
      <c r="I45" s="4">
        <f>'4.1 Comptes 2020 natures'!I45/'4.1 Comptes 2020 natures'!I2</f>
        <v>1245.5421922335445</v>
      </c>
      <c r="J45" s="4">
        <f>'4.1 Comptes 2020 natures'!J45/'4.1 Comptes 2020 natures'!J2</f>
        <v>1264.3665650467854</v>
      </c>
      <c r="K45" s="4">
        <f>'4.1 Comptes 2020 natures'!K45/'4.1 Comptes 2020 natures'!K2</f>
        <v>1801.9262178517397</v>
      </c>
      <c r="L45" s="4">
        <f>'4.1 Comptes 2020 natures'!L45/'4.1 Comptes 2020 natures'!L2</f>
        <v>1401.2958361071485</v>
      </c>
      <c r="M45" s="4">
        <f>'4.1 Comptes 2020 natures'!M45/'4.1 Comptes 2020 natures'!M2</f>
        <v>1825.6429029905178</v>
      </c>
      <c r="N45" s="4">
        <f>'4.1 Comptes 2020 natures'!N45/'4.1 Comptes 2020 natures'!N2</f>
        <v>1254.375</v>
      </c>
      <c r="O45" s="4">
        <f>'4.1 Comptes 2020 natures'!O45/'4.1 Comptes 2020 natures'!O2</f>
        <v>1570.7965550439515</v>
      </c>
      <c r="P45" s="4">
        <f>'4.1 Comptes 2020 natures'!P45/'4.1 Comptes 2020 natures'!P2</f>
        <v>1600.1150568181818</v>
      </c>
      <c r="Q45" s="4">
        <f>'4.1 Comptes 2020 natures'!Q45/'4.1 Comptes 2020 natures'!Q2</f>
        <v>1681.737037037037</v>
      </c>
      <c r="R45" s="4">
        <f>'4.1 Comptes 2020 natures'!R45/'4.1 Comptes 2020 natures'!R2</f>
        <v>1708.764939759036</v>
      </c>
      <c r="S45" s="4">
        <f>'4.1 Comptes 2020 natures'!S45/'4.1 Comptes 2020 natures'!S2</f>
        <v>1510.7309455587392</v>
      </c>
      <c r="T45" s="4">
        <f>'4.1 Comptes 2020 natures'!T45/'4.1 Comptes 2020 natures'!T2</f>
        <v>1598.577001455604</v>
      </c>
      <c r="U45" s="4">
        <f>'4.1 Comptes 2020 natures'!U45/'4.1 Comptes 2020 natures'!U2</f>
        <v>1649.2974509803921</v>
      </c>
      <c r="V45" s="4">
        <f>'4.1 Comptes 2020 natures'!V45/'4.1 Comptes 2020 natures'!V2</f>
        <v>1806.4799541284403</v>
      </c>
      <c r="W45" s="4">
        <f>'4.1 Comptes 2020 natures'!W45/'4.1 Comptes 2020 natures'!W2</f>
        <v>1375.4320031347961</v>
      </c>
      <c r="X45" s="4">
        <f>'4.1 Comptes 2020 natures'!X45/'4.1 Comptes 2020 natures'!X2</f>
        <v>1366.1496913580247</v>
      </c>
      <c r="Y45" s="4">
        <f>'4.1 Comptes 2020 natures'!Y45/'4.1 Comptes 2020 natures'!Y2</f>
        <v>1625.0024719101125</v>
      </c>
      <c r="Z45" s="4">
        <f>'4.1 Comptes 2020 natures'!Z45/'4.1 Comptes 2020 natures'!Z2</f>
        <v>1515.3082853403141</v>
      </c>
      <c r="AA45" s="4">
        <f>'4.1 Comptes 2020 natures'!AA45/'4.1 Comptes 2020 natures'!AA2</f>
        <v>1606.8396874999999</v>
      </c>
      <c r="AB45" s="4">
        <f>'4.1 Comptes 2020 natures'!AB45/'4.1 Comptes 2020 natures'!AB2</f>
        <v>1753.7293959731544</v>
      </c>
      <c r="AC45" s="4">
        <f>'4.1 Comptes 2020 natures'!AC45/'4.1 Comptes 2020 natures'!AC2</f>
        <v>1914.8902906976743</v>
      </c>
      <c r="AD45" s="4">
        <f>'4.1 Comptes 2020 natures'!AD45/'4.1 Comptes 2020 natures'!AD2</f>
        <v>1702.7329359165426</v>
      </c>
      <c r="AE45" s="4">
        <f>'4.1 Comptes 2020 natures'!AE45/'4.1 Comptes 2020 natures'!AE2</f>
        <v>1517.9107342657342</v>
      </c>
      <c r="AF45" s="4">
        <f>'4.1 Comptes 2020 natures'!AF45/'4.1 Comptes 2020 natures'!AF2</f>
        <v>1959.3759387755101</v>
      </c>
      <c r="AG45" s="4">
        <f>'4.1 Comptes 2020 natures'!AG45/'4.1 Comptes 2020 natures'!AG2</f>
        <v>1669.2647805642634</v>
      </c>
      <c r="AH45" s="4">
        <f>'4.1 Comptes 2020 natures'!AH45/'4.1 Comptes 2020 natures'!AH2</f>
        <v>1232.3694263862333</v>
      </c>
      <c r="AI45" s="4">
        <f>'4.1 Comptes 2020 natures'!AI45/'4.1 Comptes 2020 natures'!AI2</f>
        <v>1710.577973568282</v>
      </c>
      <c r="AJ45" s="4">
        <f>'4.1 Comptes 2020 natures'!AJ45/'4.1 Comptes 2020 natures'!AJ2</f>
        <v>1543.9740458015267</v>
      </c>
      <c r="AK45" s="4">
        <f>'4.1 Comptes 2020 natures'!AK45/'4.1 Comptes 2020 natures'!AK2</f>
        <v>1992.4579419525064</v>
      </c>
      <c r="AL45" s="4">
        <f>'4.1 Comptes 2020 natures'!AL45/'4.1 Comptes 2020 natures'!AL2</f>
        <v>1778.4919118942732</v>
      </c>
      <c r="AM45" s="4">
        <f>'4.1 Comptes 2020 natures'!AM45/'4.1 Comptes 2020 natures'!AM2</f>
        <v>1492.6174858984691</v>
      </c>
      <c r="AN45" s="4">
        <f>'4.1 Comptes 2020 natures'!AN45/'4.1 Comptes 2020 natures'!AN2</f>
        <v>1698.4680672268908</v>
      </c>
      <c r="AO45" s="4">
        <f>'4.1 Comptes 2020 natures'!AO45/'4.1 Comptes 2020 natures'!AO2</f>
        <v>1268.3465690376568</v>
      </c>
      <c r="AP45" s="4">
        <f>'4.1 Comptes 2020 natures'!AP45/'4.1 Comptes 2020 natures'!AP2</f>
        <v>2006.0500754147813</v>
      </c>
      <c r="AQ45" s="4">
        <f>'4.1 Comptes 2020 natures'!AQ45/'4.1 Comptes 2020 natures'!AQ2</f>
        <v>1612.7629147286821</v>
      </c>
      <c r="AR45" s="4">
        <f>'4.1 Comptes 2020 natures'!AR45/'4.1 Comptes 2020 natures'!AR2</f>
        <v>1692.4016231195567</v>
      </c>
      <c r="AS45" s="4">
        <f>'4.1 Comptes 2020 natures'!AS45/'4.1 Comptes 2020 natures'!AS2</f>
        <v>1587.8132297297298</v>
      </c>
      <c r="AT45" s="4">
        <f>'4.1 Comptes 2020 natures'!AT45/'4.1 Comptes 2020 natures'!AT2</f>
        <v>1986.6866731517509</v>
      </c>
      <c r="AU45" s="4">
        <f>'4.1 Comptes 2020 natures'!AU45/'4.1 Comptes 2020 natures'!AU2</f>
        <v>1608.7966560509556</v>
      </c>
      <c r="AV45" s="4">
        <f>'4.1 Comptes 2020 natures'!AV45/'4.1 Comptes 2020 natures'!AV2</f>
        <v>1622.2345124999999</v>
      </c>
      <c r="AW45" s="4">
        <f>'4.1 Comptes 2020 natures'!AW45/'4.1 Comptes 2020 natures'!AW2</f>
        <v>1747.6960927152318</v>
      </c>
      <c r="AX45" s="4">
        <f>'4.1 Comptes 2020 natures'!AX45/'4.1 Comptes 2020 natures'!AX2</f>
        <v>1692.2477900552485</v>
      </c>
      <c r="AY45" s="4">
        <f>'4.1 Comptes 2020 natures'!AY45/'4.1 Comptes 2020 natures'!AY2</f>
        <v>1498.0670028818445</v>
      </c>
      <c r="AZ45" s="4">
        <f>'4.1 Comptes 2020 natures'!AZ45/'4.1 Comptes 2020 natures'!AZ2</f>
        <v>1743.6972011834321</v>
      </c>
      <c r="BA45" s="4">
        <f>'4.1 Comptes 2020 natures'!BA45/'4.1 Comptes 2020 natures'!BA2</f>
        <v>1683.9349354005167</v>
      </c>
      <c r="BB45" s="4">
        <f>'4.1 Comptes 2020 natures'!BB45/'4.1 Comptes 2020 natures'!BB2</f>
        <v>1749.1164689781021</v>
      </c>
      <c r="BC45" s="4">
        <f>'4.1 Comptes 2020 natures'!BC45/'4.1 Comptes 2020 natures'!BC2</f>
        <v>1554.6257446808511</v>
      </c>
      <c r="BD45" s="4">
        <f>'4.1 Comptes 2020 natures'!BD45/'4.1 Comptes 2020 natures'!BD2</f>
        <v>1368.2338125582842</v>
      </c>
      <c r="BE45" s="4">
        <f>'4.1 Comptes 2020 natures'!BE45/'4.1 Comptes 2020 natures'!BE2</f>
        <v>1850.8165178571428</v>
      </c>
      <c r="BF45" s="4">
        <f t="shared" si="27"/>
        <v>86292.771748001993</v>
      </c>
      <c r="BG45" s="4">
        <f t="shared" si="28"/>
        <v>29939.082862928757</v>
      </c>
      <c r="BH45" s="4">
        <f t="shared" si="29"/>
        <v>21118.125658057372</v>
      </c>
      <c r="BI45" s="4">
        <f t="shared" si="30"/>
        <v>35235.563227015911</v>
      </c>
    </row>
    <row r="46" spans="2:61" x14ac:dyDescent="0.3">
      <c r="C46">
        <v>362</v>
      </c>
      <c r="D46" t="s">
        <v>113</v>
      </c>
      <c r="E46" s="4">
        <f>'4.1 Comptes 2020 natures'!E46/'4.1 Comptes 2020 natures'!E2</f>
        <v>0</v>
      </c>
      <c r="F46" s="4">
        <f>'4.1 Comptes 2020 natures'!F46/'4.1 Comptes 2020 natures'!F2</f>
        <v>24.074074074074073</v>
      </c>
      <c r="G46" s="4">
        <f>'4.1 Comptes 2020 natures'!G46/'4.1 Comptes 2020 natures'!G2</f>
        <v>0</v>
      </c>
      <c r="H46" s="4">
        <f>'4.1 Comptes 2020 natures'!H46/'4.1 Comptes 2020 natures'!H2</f>
        <v>0</v>
      </c>
      <c r="I46" s="4">
        <f>'4.1 Comptes 2020 natures'!I46/'4.1 Comptes 2020 natures'!I2</f>
        <v>39.75984577251446</v>
      </c>
      <c r="J46" s="4">
        <f>'4.1 Comptes 2020 natures'!J46/'4.1 Comptes 2020 natures'!J2</f>
        <v>41.403863567763359</v>
      </c>
      <c r="K46" s="4">
        <f>'4.1 Comptes 2020 natures'!K46/'4.1 Comptes 2020 natures'!K2</f>
        <v>69</v>
      </c>
      <c r="L46" s="4">
        <f>'4.1 Comptes 2020 natures'!L46/'4.1 Comptes 2020 natures'!L2</f>
        <v>72.945831352036777</v>
      </c>
      <c r="M46" s="4">
        <f>'4.1 Comptes 2020 natures'!M46/'4.1 Comptes 2020 natures'!M2</f>
        <v>41.058351568198397</v>
      </c>
      <c r="N46" s="4">
        <f>'4.1 Comptes 2020 natures'!N46/'4.1 Comptes 2020 natures'!N2</f>
        <v>358.74661016949153</v>
      </c>
      <c r="O46" s="4">
        <f>'4.1 Comptes 2020 natures'!O46/'4.1 Comptes 2020 natures'!O2</f>
        <v>32.114273754709082</v>
      </c>
      <c r="P46" s="4">
        <f>'4.1 Comptes 2020 natures'!P46/'4.1 Comptes 2020 natures'!P2</f>
        <v>0</v>
      </c>
      <c r="Q46" s="4">
        <f>'4.1 Comptes 2020 natures'!Q46/'4.1 Comptes 2020 natures'!Q2</f>
        <v>32.768518518518519</v>
      </c>
      <c r="R46" s="4">
        <f>'4.1 Comptes 2020 natures'!R46/'4.1 Comptes 2020 natures'!R2</f>
        <v>0</v>
      </c>
      <c r="S46" s="4">
        <f>'4.1 Comptes 2020 natures'!S46/'4.1 Comptes 2020 natures'!S2</f>
        <v>0</v>
      </c>
      <c r="T46" s="4">
        <f>'4.1 Comptes 2020 natures'!T46/'4.1 Comptes 2020 natures'!T2</f>
        <v>71.51957787481804</v>
      </c>
      <c r="U46" s="4">
        <f>'4.1 Comptes 2020 natures'!U46/'4.1 Comptes 2020 natures'!U2</f>
        <v>16.862745098039216</v>
      </c>
      <c r="V46" s="4">
        <f>'4.1 Comptes 2020 natures'!V46/'4.1 Comptes 2020 natures'!V2</f>
        <v>41.318807339449542</v>
      </c>
      <c r="W46" s="4">
        <f>'4.1 Comptes 2020 natures'!W46/'4.1 Comptes 2020 natures'!W2</f>
        <v>0</v>
      </c>
      <c r="X46" s="4">
        <f>'4.1 Comptes 2020 natures'!X46/'4.1 Comptes 2020 natures'!X2</f>
        <v>0</v>
      </c>
      <c r="Y46" s="4">
        <f>'4.1 Comptes 2020 natures'!Y46/'4.1 Comptes 2020 natures'!Y2</f>
        <v>0</v>
      </c>
      <c r="Z46" s="4">
        <f>'4.1 Comptes 2020 natures'!Z46/'4.1 Comptes 2020 natures'!Z2</f>
        <v>1660.7179319371728</v>
      </c>
      <c r="AA46" s="4">
        <f>'4.1 Comptes 2020 natures'!AA46/'4.1 Comptes 2020 natures'!AA2</f>
        <v>0</v>
      </c>
      <c r="AB46" s="4">
        <f>'4.1 Comptes 2020 natures'!AB46/'4.1 Comptes 2020 natures'!AB2</f>
        <v>0</v>
      </c>
      <c r="AC46" s="4">
        <f>'4.1 Comptes 2020 natures'!AC46/'4.1 Comptes 2020 natures'!AC2</f>
        <v>61.467054263565892</v>
      </c>
      <c r="AD46" s="4">
        <f>'4.1 Comptes 2020 natures'!AD46/'4.1 Comptes 2020 natures'!AD2</f>
        <v>0</v>
      </c>
      <c r="AE46" s="4">
        <f>'4.1 Comptes 2020 natures'!AE46/'4.1 Comptes 2020 natures'!AE2</f>
        <v>0</v>
      </c>
      <c r="AF46" s="4">
        <f>'4.1 Comptes 2020 natures'!AF46/'4.1 Comptes 2020 natures'!AF2</f>
        <v>0</v>
      </c>
      <c r="AG46" s="4">
        <f>'4.1 Comptes 2020 natures'!AG46/'4.1 Comptes 2020 natures'!AG2</f>
        <v>196.33646812957159</v>
      </c>
      <c r="AH46" s="4">
        <f>'4.1 Comptes 2020 natures'!AH46/'4.1 Comptes 2020 natures'!AH2</f>
        <v>0</v>
      </c>
      <c r="AI46" s="4">
        <f>'4.1 Comptes 2020 natures'!AI46/'4.1 Comptes 2020 natures'!AI2</f>
        <v>0</v>
      </c>
      <c r="AJ46" s="4">
        <f>'4.1 Comptes 2020 natures'!AJ46/'4.1 Comptes 2020 natures'!AJ2</f>
        <v>0</v>
      </c>
      <c r="AK46" s="4">
        <f>'4.1 Comptes 2020 natures'!AK46/'4.1 Comptes 2020 natures'!AK2</f>
        <v>0</v>
      </c>
      <c r="AL46" s="4">
        <f>'4.1 Comptes 2020 natures'!AL46/'4.1 Comptes 2020 natures'!AL2</f>
        <v>31.465198237885463</v>
      </c>
      <c r="AM46" s="4">
        <f>'4.1 Comptes 2020 natures'!AM46/'4.1 Comptes 2020 natures'!AM2</f>
        <v>0</v>
      </c>
      <c r="AN46" s="4">
        <f>'4.1 Comptes 2020 natures'!AN46/'4.1 Comptes 2020 natures'!AN2</f>
        <v>0</v>
      </c>
      <c r="AO46" s="4">
        <f>'4.1 Comptes 2020 natures'!AO46/'4.1 Comptes 2020 natures'!AO2</f>
        <v>1466.4125523012551</v>
      </c>
      <c r="AP46" s="4">
        <f>'4.1 Comptes 2020 natures'!AP46/'4.1 Comptes 2020 natures'!AP2</f>
        <v>9.6033182503770735</v>
      </c>
      <c r="AQ46" s="4">
        <f>'4.1 Comptes 2020 natures'!AQ46/'4.1 Comptes 2020 natures'!AQ2</f>
        <v>20.38294573643411</v>
      </c>
      <c r="AR46" s="4">
        <f>'4.1 Comptes 2020 natures'!AR46/'4.1 Comptes 2020 natures'!AR2</f>
        <v>0</v>
      </c>
      <c r="AS46" s="4">
        <f>'4.1 Comptes 2020 natures'!AS46/'4.1 Comptes 2020 natures'!AS2</f>
        <v>0</v>
      </c>
      <c r="AT46" s="4">
        <f>'4.1 Comptes 2020 natures'!AT46/'4.1 Comptes 2020 natures'!AT2</f>
        <v>0</v>
      </c>
      <c r="AU46" s="4">
        <f>'4.1 Comptes 2020 natures'!AU46/'4.1 Comptes 2020 natures'!AU2</f>
        <v>366.74522292993629</v>
      </c>
      <c r="AV46" s="4">
        <f>'4.1 Comptes 2020 natures'!AV46/'4.1 Comptes 2020 natures'!AV2</f>
        <v>52.232916666666668</v>
      </c>
      <c r="AW46" s="4">
        <f>'4.1 Comptes 2020 natures'!AW46/'4.1 Comptes 2020 natures'!AW2</f>
        <v>20.214569536423841</v>
      </c>
      <c r="AX46" s="4">
        <f>'4.1 Comptes 2020 natures'!AX46/'4.1 Comptes 2020 natures'!AX2</f>
        <v>0</v>
      </c>
      <c r="AY46" s="4">
        <f>'4.1 Comptes 2020 natures'!AY46/'4.1 Comptes 2020 natures'!AY2</f>
        <v>0</v>
      </c>
      <c r="AZ46" s="4">
        <f>'4.1 Comptes 2020 natures'!AZ46/'4.1 Comptes 2020 natures'!AZ2</f>
        <v>19.879289940828404</v>
      </c>
      <c r="BA46" s="4">
        <f>'4.1 Comptes 2020 natures'!BA46/'4.1 Comptes 2020 natures'!BA2</f>
        <v>9.7571059431524549</v>
      </c>
      <c r="BB46" s="4">
        <f>'4.1 Comptes 2020 natures'!BB46/'4.1 Comptes 2020 natures'!BB2</f>
        <v>47.997262773722625</v>
      </c>
      <c r="BC46" s="4">
        <f>'4.1 Comptes 2020 natures'!BC46/'4.1 Comptes 2020 natures'!BC2</f>
        <v>0</v>
      </c>
      <c r="BD46" s="4">
        <f>'4.1 Comptes 2020 natures'!BD46/'4.1 Comptes 2020 natures'!BD2</f>
        <v>42.329344109418713</v>
      </c>
      <c r="BE46" s="4">
        <f>'4.1 Comptes 2020 natures'!BE46/'4.1 Comptes 2020 natures'!BE2</f>
        <v>0</v>
      </c>
      <c r="BF46" s="4">
        <f t="shared" si="27"/>
        <v>4847.1136798460238</v>
      </c>
      <c r="BG46" s="4">
        <f t="shared" si="28"/>
        <v>841.57249908961296</v>
      </c>
      <c r="BH46" s="4">
        <f t="shared" si="29"/>
        <v>1918.5214543303102</v>
      </c>
      <c r="BI46" s="4">
        <f t="shared" si="30"/>
        <v>2087.0197264261005</v>
      </c>
    </row>
    <row r="47" spans="2:61" x14ac:dyDescent="0.3">
      <c r="C47">
        <v>363</v>
      </c>
      <c r="D47" t="s">
        <v>114</v>
      </c>
      <c r="E47" s="4">
        <f>'4.1 Comptes 2020 natures'!E47/'4.1 Comptes 2020 natures'!E2</f>
        <v>513.79057421451785</v>
      </c>
      <c r="F47" s="4">
        <f>'4.1 Comptes 2020 natures'!F47/'4.1 Comptes 2020 natures'!F2</f>
        <v>608.02574074074073</v>
      </c>
      <c r="G47" s="4">
        <f>'4.1 Comptes 2020 natures'!G47/'4.1 Comptes 2020 natures'!G2</f>
        <v>603.58731958762883</v>
      </c>
      <c r="H47" s="4">
        <f>'4.1 Comptes 2020 natures'!H47/'4.1 Comptes 2020 natures'!H2</f>
        <v>555.1150224215246</v>
      </c>
      <c r="I47" s="4">
        <f>'4.1 Comptes 2020 natures'!I47/'4.1 Comptes 2020 natures'!I2</f>
        <v>648.70291930597625</v>
      </c>
      <c r="J47" s="4">
        <f>'4.1 Comptes 2020 natures'!J47/'4.1 Comptes 2020 natures'!J2</f>
        <v>630.76731059462725</v>
      </c>
      <c r="K47" s="4">
        <f>'4.1 Comptes 2020 natures'!K47/'4.1 Comptes 2020 natures'!K2</f>
        <v>562.02768910741304</v>
      </c>
      <c r="L47" s="4">
        <f>'4.1 Comptes 2020 natures'!L47/'4.1 Comptes 2020 natures'!L2</f>
        <v>1506.9221873514027</v>
      </c>
      <c r="M47" s="4">
        <f>'4.1 Comptes 2020 natures'!M47/'4.1 Comptes 2020 natures'!M2</f>
        <v>625.89376367614875</v>
      </c>
      <c r="N47" s="4">
        <f>'4.1 Comptes 2020 natures'!N47/'4.1 Comptes 2020 natures'!N2</f>
        <v>727.46355932203392</v>
      </c>
      <c r="O47" s="4">
        <f>'4.1 Comptes 2020 natures'!O47/'4.1 Comptes 2020 natures'!O2</f>
        <v>616.37259662341296</v>
      </c>
      <c r="P47" s="4">
        <f>'4.1 Comptes 2020 natures'!P47/'4.1 Comptes 2020 natures'!P2</f>
        <v>470.88323863636367</v>
      </c>
      <c r="Q47" s="4">
        <f>'4.1 Comptes 2020 natures'!Q47/'4.1 Comptes 2020 natures'!Q2</f>
        <v>502.97685185185185</v>
      </c>
      <c r="R47" s="4">
        <f>'4.1 Comptes 2020 natures'!R47/'4.1 Comptes 2020 natures'!R2</f>
        <v>433.05566265060241</v>
      </c>
      <c r="S47" s="4">
        <f>'4.1 Comptes 2020 natures'!S47/'4.1 Comptes 2020 natures'!S2</f>
        <v>546.77449856733517</v>
      </c>
      <c r="T47" s="4">
        <f>'4.1 Comptes 2020 natures'!T47/'4.1 Comptes 2020 natures'!T2</f>
        <v>435.20203784570595</v>
      </c>
      <c r="U47" s="4">
        <f>'4.1 Comptes 2020 natures'!U47/'4.1 Comptes 2020 natures'!U2</f>
        <v>613.03960784313733</v>
      </c>
      <c r="V47" s="4">
        <f>'4.1 Comptes 2020 natures'!V47/'4.1 Comptes 2020 natures'!V2</f>
        <v>971.0016513761467</v>
      </c>
      <c r="W47" s="4">
        <f>'4.1 Comptes 2020 natures'!W47/'4.1 Comptes 2020 natures'!W2</f>
        <v>534.57135423197496</v>
      </c>
      <c r="X47" s="4">
        <f>'4.1 Comptes 2020 natures'!X47/'4.1 Comptes 2020 natures'!X2</f>
        <v>594.26913580246912</v>
      </c>
      <c r="Y47" s="4">
        <f>'4.1 Comptes 2020 natures'!Y47/'4.1 Comptes 2020 natures'!Y2</f>
        <v>589.7525361155698</v>
      </c>
      <c r="Z47" s="4">
        <f>'4.1 Comptes 2020 natures'!Z47/'4.1 Comptes 2020 natures'!Z2</f>
        <v>674.8644306282722</v>
      </c>
      <c r="AA47" s="4">
        <f>'4.1 Comptes 2020 natures'!AA47/'4.1 Comptes 2020 natures'!AA2</f>
        <v>463.36250000000001</v>
      </c>
      <c r="AB47" s="4">
        <f>'4.1 Comptes 2020 natures'!AB47/'4.1 Comptes 2020 natures'!AB2</f>
        <v>535.32449664429532</v>
      </c>
      <c r="AC47" s="4">
        <f>'4.1 Comptes 2020 natures'!AC47/'4.1 Comptes 2020 natures'!AC2</f>
        <v>716.69106589147293</v>
      </c>
      <c r="AD47" s="4">
        <f>'4.1 Comptes 2020 natures'!AD47/'4.1 Comptes 2020 natures'!AD2</f>
        <v>636.54992548435166</v>
      </c>
      <c r="AE47" s="4">
        <f>'4.1 Comptes 2020 natures'!AE47/'4.1 Comptes 2020 natures'!AE2</f>
        <v>659.80961538461531</v>
      </c>
      <c r="AF47" s="4">
        <f>'4.1 Comptes 2020 natures'!AF47/'4.1 Comptes 2020 natures'!AF2</f>
        <v>447.47530612244896</v>
      </c>
      <c r="AG47" s="4">
        <f>'4.1 Comptes 2020 natures'!AG47/'4.1 Comptes 2020 natures'!AG2</f>
        <v>689.2049791013585</v>
      </c>
      <c r="AH47" s="4">
        <f>'4.1 Comptes 2020 natures'!AH47/'4.1 Comptes 2020 natures'!AH2</f>
        <v>884.76209942638627</v>
      </c>
      <c r="AI47" s="4">
        <f>'4.1 Comptes 2020 natures'!AI47/'4.1 Comptes 2020 natures'!AI2</f>
        <v>516.42158590308372</v>
      </c>
      <c r="AJ47" s="4">
        <f>'4.1 Comptes 2020 natures'!AJ47/'4.1 Comptes 2020 natures'!AJ2</f>
        <v>614.13221374045804</v>
      </c>
      <c r="AK47" s="4">
        <f>'4.1 Comptes 2020 natures'!AK47/'4.1 Comptes 2020 natures'!AK2</f>
        <v>528.6193562005277</v>
      </c>
      <c r="AL47" s="4">
        <f>'4.1 Comptes 2020 natures'!AL47/'4.1 Comptes 2020 natures'!AL2</f>
        <v>587.21444933920702</v>
      </c>
      <c r="AM47" s="4">
        <f>'4.1 Comptes 2020 natures'!AM47/'4.1 Comptes 2020 natures'!AM2</f>
        <v>631.50970991136182</v>
      </c>
      <c r="AN47" s="4">
        <f>'4.1 Comptes 2020 natures'!AN47/'4.1 Comptes 2020 natures'!AN2</f>
        <v>914.61991596638654</v>
      </c>
      <c r="AO47" s="4">
        <f>'4.1 Comptes 2020 natures'!AO47/'4.1 Comptes 2020 natures'!AO2</f>
        <v>1181.1194895397489</v>
      </c>
      <c r="AP47" s="4">
        <f>'4.1 Comptes 2020 natures'!AP47/'4.1 Comptes 2020 natures'!AP2</f>
        <v>891.95986425339368</v>
      </c>
      <c r="AQ47" s="4">
        <f>'4.1 Comptes 2020 natures'!AQ47/'4.1 Comptes 2020 natures'!AQ2</f>
        <v>545.29821705426355</v>
      </c>
      <c r="AR47" s="4">
        <f>'4.1 Comptes 2020 natures'!AR47/'4.1 Comptes 2020 natures'!AR2</f>
        <v>713.2900237529692</v>
      </c>
      <c r="AS47" s="4">
        <f>'4.1 Comptes 2020 natures'!AS47/'4.1 Comptes 2020 natures'!AS2</f>
        <v>589.5764324324324</v>
      </c>
      <c r="AT47" s="4">
        <f>'4.1 Comptes 2020 natures'!AT47/'4.1 Comptes 2020 natures'!AT2</f>
        <v>687.49970817120618</v>
      </c>
      <c r="AU47" s="4">
        <f>'4.1 Comptes 2020 natures'!AU47/'4.1 Comptes 2020 natures'!AU2</f>
        <v>472.27531847133764</v>
      </c>
      <c r="AV47" s="4">
        <f>'4.1 Comptes 2020 natures'!AV47/'4.1 Comptes 2020 natures'!AV2</f>
        <v>590.14879166666674</v>
      </c>
      <c r="AW47" s="4">
        <f>'4.1 Comptes 2020 natures'!AW47/'4.1 Comptes 2020 natures'!AW2</f>
        <v>511.65543046357612</v>
      </c>
      <c r="AX47" s="4">
        <f>'4.1 Comptes 2020 natures'!AX47/'4.1 Comptes 2020 natures'!AX2</f>
        <v>818.737679558011</v>
      </c>
      <c r="AY47" s="4">
        <f>'4.1 Comptes 2020 natures'!AY47/'4.1 Comptes 2020 natures'!AY2</f>
        <v>501.24855907780977</v>
      </c>
      <c r="AZ47" s="4">
        <f>'4.1 Comptes 2020 natures'!AZ47/'4.1 Comptes 2020 natures'!AZ2</f>
        <v>535.54644970414199</v>
      </c>
      <c r="BA47" s="4">
        <f>'4.1 Comptes 2020 natures'!BA47/'4.1 Comptes 2020 natures'!BA2</f>
        <v>475.48242894056852</v>
      </c>
      <c r="BB47" s="4">
        <f>'4.1 Comptes 2020 natures'!BB47/'4.1 Comptes 2020 natures'!BB2</f>
        <v>661.67071167883205</v>
      </c>
      <c r="BC47" s="4">
        <f>'4.1 Comptes 2020 natures'!BC47/'4.1 Comptes 2020 natures'!BC2</f>
        <v>617.44164893617017</v>
      </c>
      <c r="BD47" s="4">
        <f>'4.1 Comptes 2020 natures'!BD47/'4.1 Comptes 2020 natures'!BD2</f>
        <v>1450.9614532172832</v>
      </c>
      <c r="BE47" s="4">
        <f>'4.1 Comptes 2020 natures'!BE47/'4.1 Comptes 2020 natures'!BE2</f>
        <v>735.17401785714287</v>
      </c>
      <c r="BF47" s="4">
        <f t="shared" si="27"/>
        <v>34769.843132386355</v>
      </c>
      <c r="BG47" s="4">
        <f t="shared" si="28"/>
        <v>12106.173585948543</v>
      </c>
      <c r="BH47" s="4">
        <f t="shared" si="29"/>
        <v>8022.6198902447823</v>
      </c>
      <c r="BI47" s="4">
        <f t="shared" si="30"/>
        <v>14641.049656193039</v>
      </c>
    </row>
    <row r="48" spans="2:61" x14ac:dyDescent="0.3">
      <c r="C48">
        <v>364</v>
      </c>
      <c r="D48" t="s">
        <v>115</v>
      </c>
      <c r="E48" s="4">
        <f>'4.1 Comptes 2020 natures'!E48/'4.1 Comptes 2020 natures'!E2</f>
        <v>0</v>
      </c>
      <c r="F48" s="4">
        <f>'4.1 Comptes 2020 natures'!F48/'4.1 Comptes 2020 natures'!F2</f>
        <v>0</v>
      </c>
      <c r="G48" s="4">
        <f>'4.1 Comptes 2020 natures'!G48/'4.1 Comptes 2020 natures'!G2</f>
        <v>0</v>
      </c>
      <c r="H48" s="4">
        <f>'4.1 Comptes 2020 natures'!H48/'4.1 Comptes 2020 natures'!H2</f>
        <v>0</v>
      </c>
      <c r="I48" s="4">
        <f>'4.1 Comptes 2020 natures'!I48/'4.1 Comptes 2020 natures'!I2</f>
        <v>0</v>
      </c>
      <c r="J48" s="4">
        <f>'4.1 Comptes 2020 natures'!J48/'4.1 Comptes 2020 natures'!J2</f>
        <v>0</v>
      </c>
      <c r="K48" s="4">
        <f>'4.1 Comptes 2020 natures'!K48/'4.1 Comptes 2020 natures'!K2</f>
        <v>0</v>
      </c>
      <c r="L48" s="4">
        <f>'4.1 Comptes 2020 natures'!L48/'4.1 Comptes 2020 natures'!L2</f>
        <v>0</v>
      </c>
      <c r="M48" s="4">
        <f>'4.1 Comptes 2020 natures'!M48/'4.1 Comptes 2020 natures'!M2</f>
        <v>0</v>
      </c>
      <c r="N48" s="4">
        <f>'4.1 Comptes 2020 natures'!N48/'4.1 Comptes 2020 natures'!N2</f>
        <v>0</v>
      </c>
      <c r="O48" s="4">
        <f>'4.1 Comptes 2020 natures'!O48/'4.1 Comptes 2020 natures'!O2</f>
        <v>0</v>
      </c>
      <c r="P48" s="4">
        <f>'4.1 Comptes 2020 natures'!P48/'4.1 Comptes 2020 natures'!P2</f>
        <v>0</v>
      </c>
      <c r="Q48" s="4">
        <f>'4.1 Comptes 2020 natures'!Q48/'4.1 Comptes 2020 natures'!Q2</f>
        <v>0</v>
      </c>
      <c r="R48" s="4">
        <f>'4.1 Comptes 2020 natures'!R48/'4.1 Comptes 2020 natures'!R2</f>
        <v>0</v>
      </c>
      <c r="S48" s="4">
        <f>'4.1 Comptes 2020 natures'!S48/'4.1 Comptes 2020 natures'!S2</f>
        <v>0</v>
      </c>
      <c r="T48" s="4">
        <f>'4.1 Comptes 2020 natures'!T48/'4.1 Comptes 2020 natures'!T2</f>
        <v>0</v>
      </c>
      <c r="U48" s="4">
        <f>'4.1 Comptes 2020 natures'!U48/'4.1 Comptes 2020 natures'!U2</f>
        <v>0</v>
      </c>
      <c r="V48" s="4">
        <f>'4.1 Comptes 2020 natures'!V48/'4.1 Comptes 2020 natures'!V2</f>
        <v>0</v>
      </c>
      <c r="W48" s="4">
        <f>'4.1 Comptes 2020 natures'!W48/'4.1 Comptes 2020 natures'!W2</f>
        <v>0</v>
      </c>
      <c r="X48" s="4">
        <f>'4.1 Comptes 2020 natures'!X48/'4.1 Comptes 2020 natures'!X2</f>
        <v>0</v>
      </c>
      <c r="Y48" s="4">
        <f>'4.1 Comptes 2020 natures'!Y48/'4.1 Comptes 2020 natures'!Y2</f>
        <v>0</v>
      </c>
      <c r="Z48" s="4">
        <f>'4.1 Comptes 2020 natures'!Z48/'4.1 Comptes 2020 natures'!Z2</f>
        <v>0</v>
      </c>
      <c r="AA48" s="4">
        <f>'4.1 Comptes 2020 natures'!AA48/'4.1 Comptes 2020 natures'!AA2</f>
        <v>0</v>
      </c>
      <c r="AB48" s="4">
        <f>'4.1 Comptes 2020 natures'!AB48/'4.1 Comptes 2020 natures'!AB2</f>
        <v>0</v>
      </c>
      <c r="AC48" s="4">
        <f>'4.1 Comptes 2020 natures'!AC48/'4.1 Comptes 2020 natures'!AC2</f>
        <v>0</v>
      </c>
      <c r="AD48" s="4">
        <f>'4.1 Comptes 2020 natures'!AD48/'4.1 Comptes 2020 natures'!AD2</f>
        <v>0</v>
      </c>
      <c r="AE48" s="4">
        <f>'4.1 Comptes 2020 natures'!AE48/'4.1 Comptes 2020 natures'!AE2</f>
        <v>0</v>
      </c>
      <c r="AF48" s="4">
        <f>'4.1 Comptes 2020 natures'!AF48/'4.1 Comptes 2020 natures'!AF2</f>
        <v>0</v>
      </c>
      <c r="AG48" s="4">
        <f>'4.1 Comptes 2020 natures'!AG48/'4.1 Comptes 2020 natures'!AG2</f>
        <v>0</v>
      </c>
      <c r="AH48" s="4">
        <f>'4.1 Comptes 2020 natures'!AH48/'4.1 Comptes 2020 natures'!AH2</f>
        <v>0</v>
      </c>
      <c r="AI48" s="4">
        <f>'4.1 Comptes 2020 natures'!AI48/'4.1 Comptes 2020 natures'!AI2</f>
        <v>0</v>
      </c>
      <c r="AJ48" s="4">
        <f>'4.1 Comptes 2020 natures'!AJ48/'4.1 Comptes 2020 natures'!AJ2</f>
        <v>0</v>
      </c>
      <c r="AK48" s="4">
        <f>'4.1 Comptes 2020 natures'!AK48/'4.1 Comptes 2020 natures'!AK2</f>
        <v>0</v>
      </c>
      <c r="AL48" s="4">
        <f>'4.1 Comptes 2020 natures'!AL48/'4.1 Comptes 2020 natures'!AL2</f>
        <v>0</v>
      </c>
      <c r="AM48" s="4">
        <f>'4.1 Comptes 2020 natures'!AM48/'4.1 Comptes 2020 natures'!AM2</f>
        <v>0</v>
      </c>
      <c r="AN48" s="4">
        <f>'4.1 Comptes 2020 natures'!AN48/'4.1 Comptes 2020 natures'!AN2</f>
        <v>0</v>
      </c>
      <c r="AO48" s="4">
        <f>'4.1 Comptes 2020 natures'!AO48/'4.1 Comptes 2020 natures'!AO2</f>
        <v>0</v>
      </c>
      <c r="AP48" s="4">
        <f>'4.1 Comptes 2020 natures'!AP48/'4.1 Comptes 2020 natures'!AP2</f>
        <v>0</v>
      </c>
      <c r="AQ48" s="4">
        <f>'4.1 Comptes 2020 natures'!AQ48/'4.1 Comptes 2020 natures'!AQ2</f>
        <v>0</v>
      </c>
      <c r="AR48" s="4">
        <f>'4.1 Comptes 2020 natures'!AR48/'4.1 Comptes 2020 natures'!AR2</f>
        <v>0</v>
      </c>
      <c r="AS48" s="4">
        <f>'4.1 Comptes 2020 natures'!AS48/'4.1 Comptes 2020 natures'!AS2</f>
        <v>0</v>
      </c>
      <c r="AT48" s="4">
        <f>'4.1 Comptes 2020 natures'!AT48/'4.1 Comptes 2020 natures'!AT2</f>
        <v>0</v>
      </c>
      <c r="AU48" s="4">
        <f>'4.1 Comptes 2020 natures'!AU48/'4.1 Comptes 2020 natures'!AU2</f>
        <v>0</v>
      </c>
      <c r="AV48" s="4">
        <f>'4.1 Comptes 2020 natures'!AV48/'4.1 Comptes 2020 natures'!AV2</f>
        <v>0</v>
      </c>
      <c r="AW48" s="4">
        <f>'4.1 Comptes 2020 natures'!AW48/'4.1 Comptes 2020 natures'!AW2</f>
        <v>0</v>
      </c>
      <c r="AX48" s="4">
        <f>'4.1 Comptes 2020 natures'!AX48/'4.1 Comptes 2020 natures'!AX2</f>
        <v>0</v>
      </c>
      <c r="AY48" s="4">
        <f>'4.1 Comptes 2020 natures'!AY48/'4.1 Comptes 2020 natures'!AY2</f>
        <v>0</v>
      </c>
      <c r="AZ48" s="4">
        <f>'4.1 Comptes 2020 natures'!AZ48/'4.1 Comptes 2020 natures'!AZ2</f>
        <v>0</v>
      </c>
      <c r="BA48" s="4">
        <f>'4.1 Comptes 2020 natures'!BA48/'4.1 Comptes 2020 natures'!BA2</f>
        <v>0</v>
      </c>
      <c r="BB48" s="4">
        <f>'4.1 Comptes 2020 natures'!BB48/'4.1 Comptes 2020 natures'!BB2</f>
        <v>0</v>
      </c>
      <c r="BC48" s="4">
        <f>'4.1 Comptes 2020 natures'!BC48/'4.1 Comptes 2020 natures'!BC2</f>
        <v>0</v>
      </c>
      <c r="BD48" s="4">
        <f>'4.1 Comptes 2020 natures'!BD48/'4.1 Comptes 2020 natures'!BD2</f>
        <v>0</v>
      </c>
      <c r="BE48" s="4">
        <f>'4.1 Comptes 2020 natures'!BE48/'4.1 Comptes 2020 natures'!BE2</f>
        <v>8.8714285714285719</v>
      </c>
      <c r="BF48" s="4">
        <f t="shared" si="27"/>
        <v>8.8714285714285719</v>
      </c>
      <c r="BG48" s="4">
        <f t="shared" si="28"/>
        <v>0</v>
      </c>
      <c r="BH48" s="4">
        <f t="shared" si="29"/>
        <v>0</v>
      </c>
      <c r="BI48" s="4">
        <f t="shared" si="30"/>
        <v>8.8714285714285719</v>
      </c>
    </row>
    <row r="49" spans="2:61" x14ac:dyDescent="0.3">
      <c r="C49">
        <v>365</v>
      </c>
      <c r="D49" t="s">
        <v>116</v>
      </c>
      <c r="E49" s="4">
        <f>'4.1 Comptes 2020 natures'!E49/'4.1 Comptes 2020 natures'!E2</f>
        <v>0</v>
      </c>
      <c r="F49" s="4">
        <f>'4.1 Comptes 2020 natures'!F49/'4.1 Comptes 2020 natures'!F2</f>
        <v>0</v>
      </c>
      <c r="G49" s="4">
        <f>'4.1 Comptes 2020 natures'!G49/'4.1 Comptes 2020 natures'!G2</f>
        <v>0</v>
      </c>
      <c r="H49" s="4">
        <f>'4.1 Comptes 2020 natures'!H49/'4.1 Comptes 2020 natures'!H2</f>
        <v>0</v>
      </c>
      <c r="I49" s="4">
        <f>'4.1 Comptes 2020 natures'!I49/'4.1 Comptes 2020 natures'!I2</f>
        <v>0</v>
      </c>
      <c r="J49" s="4">
        <f>'4.1 Comptes 2020 natures'!J49/'4.1 Comptes 2020 natures'!J2</f>
        <v>0</v>
      </c>
      <c r="K49" s="4">
        <f>'4.1 Comptes 2020 natures'!K49/'4.1 Comptes 2020 natures'!K2</f>
        <v>0</v>
      </c>
      <c r="L49" s="4">
        <f>'4.1 Comptes 2020 natures'!L49/'4.1 Comptes 2020 natures'!L2</f>
        <v>0</v>
      </c>
      <c r="M49" s="4">
        <f>'4.1 Comptes 2020 natures'!M49/'4.1 Comptes 2020 natures'!M2</f>
        <v>0</v>
      </c>
      <c r="N49" s="4">
        <f>'4.1 Comptes 2020 natures'!N49/'4.1 Comptes 2020 natures'!N2</f>
        <v>0</v>
      </c>
      <c r="O49" s="4">
        <f>'4.1 Comptes 2020 natures'!O49/'4.1 Comptes 2020 natures'!O2</f>
        <v>0</v>
      </c>
      <c r="P49" s="4">
        <f>'4.1 Comptes 2020 natures'!P49/'4.1 Comptes 2020 natures'!P2</f>
        <v>0</v>
      </c>
      <c r="Q49" s="4">
        <f>'4.1 Comptes 2020 natures'!Q49/'4.1 Comptes 2020 natures'!Q2</f>
        <v>0</v>
      </c>
      <c r="R49" s="4">
        <f>'4.1 Comptes 2020 natures'!R49/'4.1 Comptes 2020 natures'!R2</f>
        <v>0</v>
      </c>
      <c r="S49" s="4">
        <f>'4.1 Comptes 2020 natures'!S49/'4.1 Comptes 2020 natures'!S2</f>
        <v>0</v>
      </c>
      <c r="T49" s="4">
        <f>'4.1 Comptes 2020 natures'!T49/'4.1 Comptes 2020 natures'!T2</f>
        <v>0</v>
      </c>
      <c r="U49" s="4">
        <f>'4.1 Comptes 2020 natures'!U49/'4.1 Comptes 2020 natures'!U2</f>
        <v>31.764705882352942</v>
      </c>
      <c r="V49" s="4">
        <f>'4.1 Comptes 2020 natures'!V49/'4.1 Comptes 2020 natures'!V2</f>
        <v>0</v>
      </c>
      <c r="W49" s="4">
        <f>'4.1 Comptes 2020 natures'!W49/'4.1 Comptes 2020 natures'!W2</f>
        <v>0</v>
      </c>
      <c r="X49" s="4">
        <f>'4.1 Comptes 2020 natures'!X49/'4.1 Comptes 2020 natures'!X2</f>
        <v>0</v>
      </c>
      <c r="Y49" s="4">
        <f>'4.1 Comptes 2020 natures'!Y49/'4.1 Comptes 2020 natures'!Y2</f>
        <v>0</v>
      </c>
      <c r="Z49" s="4">
        <f>'4.1 Comptes 2020 natures'!Z49/'4.1 Comptes 2020 natures'!Z2</f>
        <v>0</v>
      </c>
      <c r="AA49" s="4">
        <f>'4.1 Comptes 2020 natures'!AA49/'4.1 Comptes 2020 natures'!AA2</f>
        <v>0</v>
      </c>
      <c r="AB49" s="4">
        <f>'4.1 Comptes 2020 natures'!AB49/'4.1 Comptes 2020 natures'!AB2</f>
        <v>0</v>
      </c>
      <c r="AC49" s="4">
        <f>'4.1 Comptes 2020 natures'!AC49/'4.1 Comptes 2020 natures'!AC2</f>
        <v>0</v>
      </c>
      <c r="AD49" s="4">
        <f>'4.1 Comptes 2020 natures'!AD49/'4.1 Comptes 2020 natures'!AD2</f>
        <v>0</v>
      </c>
      <c r="AE49" s="4">
        <f>'4.1 Comptes 2020 natures'!AE49/'4.1 Comptes 2020 natures'!AE2</f>
        <v>0</v>
      </c>
      <c r="AF49" s="4">
        <f>'4.1 Comptes 2020 natures'!AF49/'4.1 Comptes 2020 natures'!AF2</f>
        <v>0</v>
      </c>
      <c r="AG49" s="4">
        <f>'4.1 Comptes 2020 natures'!AG49/'4.1 Comptes 2020 natures'!AG2</f>
        <v>0</v>
      </c>
      <c r="AH49" s="4">
        <f>'4.1 Comptes 2020 natures'!AH49/'4.1 Comptes 2020 natures'!AH2</f>
        <v>0</v>
      </c>
      <c r="AI49" s="4">
        <f>'4.1 Comptes 2020 natures'!AI49/'4.1 Comptes 2020 natures'!AI2</f>
        <v>0</v>
      </c>
      <c r="AJ49" s="4">
        <f>'4.1 Comptes 2020 natures'!AJ49/'4.1 Comptes 2020 natures'!AJ2</f>
        <v>0</v>
      </c>
      <c r="AK49" s="4">
        <f>'4.1 Comptes 2020 natures'!AK49/'4.1 Comptes 2020 natures'!AK2</f>
        <v>0</v>
      </c>
      <c r="AL49" s="4">
        <f>'4.1 Comptes 2020 natures'!AL49/'4.1 Comptes 2020 natures'!AL2</f>
        <v>0</v>
      </c>
      <c r="AM49" s="4">
        <f>'4.1 Comptes 2020 natures'!AM49/'4.1 Comptes 2020 natures'!AM2</f>
        <v>0</v>
      </c>
      <c r="AN49" s="4">
        <f>'4.1 Comptes 2020 natures'!AN49/'4.1 Comptes 2020 natures'!AN2</f>
        <v>0</v>
      </c>
      <c r="AO49" s="4">
        <f>'4.1 Comptes 2020 natures'!AO49/'4.1 Comptes 2020 natures'!AO2</f>
        <v>0</v>
      </c>
      <c r="AP49" s="4">
        <f>'4.1 Comptes 2020 natures'!AP49/'4.1 Comptes 2020 natures'!AP2</f>
        <v>0</v>
      </c>
      <c r="AQ49" s="4">
        <f>'4.1 Comptes 2020 natures'!AQ49/'4.1 Comptes 2020 natures'!AQ2</f>
        <v>0</v>
      </c>
      <c r="AR49" s="4">
        <f>'4.1 Comptes 2020 natures'!AR49/'4.1 Comptes 2020 natures'!AR2</f>
        <v>0</v>
      </c>
      <c r="AS49" s="4">
        <f>'4.1 Comptes 2020 natures'!AS49/'4.1 Comptes 2020 natures'!AS2</f>
        <v>0</v>
      </c>
      <c r="AT49" s="4">
        <f>'4.1 Comptes 2020 natures'!AT49/'4.1 Comptes 2020 natures'!AT2</f>
        <v>0</v>
      </c>
      <c r="AU49" s="4">
        <f>'4.1 Comptes 2020 natures'!AU49/'4.1 Comptes 2020 natures'!AU2</f>
        <v>0</v>
      </c>
      <c r="AV49" s="4">
        <f>'4.1 Comptes 2020 natures'!AV49/'4.1 Comptes 2020 natures'!AV2</f>
        <v>0</v>
      </c>
      <c r="AW49" s="4">
        <f>'4.1 Comptes 2020 natures'!AW49/'4.1 Comptes 2020 natures'!AW2</f>
        <v>0</v>
      </c>
      <c r="AX49" s="4">
        <f>'4.1 Comptes 2020 natures'!AX49/'4.1 Comptes 2020 natures'!AX2</f>
        <v>0</v>
      </c>
      <c r="AY49" s="4">
        <f>'4.1 Comptes 2020 natures'!AY49/'4.1 Comptes 2020 natures'!AY2</f>
        <v>0</v>
      </c>
      <c r="AZ49" s="4">
        <f>'4.1 Comptes 2020 natures'!AZ49/'4.1 Comptes 2020 natures'!AZ2</f>
        <v>0</v>
      </c>
      <c r="BA49" s="4">
        <f>'4.1 Comptes 2020 natures'!BA49/'4.1 Comptes 2020 natures'!BA2</f>
        <v>0</v>
      </c>
      <c r="BB49" s="4">
        <f>'4.1 Comptes 2020 natures'!BB49/'4.1 Comptes 2020 natures'!BB2</f>
        <v>0</v>
      </c>
      <c r="BC49" s="4">
        <f>'4.1 Comptes 2020 natures'!BC49/'4.1 Comptes 2020 natures'!BC2</f>
        <v>0</v>
      </c>
      <c r="BD49" s="4">
        <f>'4.1 Comptes 2020 natures'!BD49/'4.1 Comptes 2020 natures'!BD2</f>
        <v>0</v>
      </c>
      <c r="BE49" s="4">
        <f>'4.1 Comptes 2020 natures'!BE49/'4.1 Comptes 2020 natures'!BE2</f>
        <v>0</v>
      </c>
      <c r="BF49" s="4">
        <f t="shared" si="27"/>
        <v>31.764705882352942</v>
      </c>
      <c r="BG49" s="4">
        <f t="shared" si="28"/>
        <v>31.764705882352942</v>
      </c>
      <c r="BH49" s="4">
        <f t="shared" si="29"/>
        <v>0</v>
      </c>
      <c r="BI49" s="4">
        <f t="shared" si="30"/>
        <v>0</v>
      </c>
    </row>
    <row r="50" spans="2:61" x14ac:dyDescent="0.3">
      <c r="C50">
        <v>366</v>
      </c>
      <c r="D50" t="s">
        <v>117</v>
      </c>
      <c r="E50" s="4">
        <f>'4.1 Comptes 2020 natures'!E50/'4.1 Comptes 2020 natures'!E2</f>
        <v>0</v>
      </c>
      <c r="F50" s="4">
        <f>'4.1 Comptes 2020 natures'!F50/'4.1 Comptes 2020 natures'!F2</f>
        <v>0</v>
      </c>
      <c r="G50" s="4">
        <f>'4.1 Comptes 2020 natures'!G50/'4.1 Comptes 2020 natures'!G2</f>
        <v>0</v>
      </c>
      <c r="H50" s="4">
        <f>'4.1 Comptes 2020 natures'!H50/'4.1 Comptes 2020 natures'!H2</f>
        <v>0</v>
      </c>
      <c r="I50" s="4">
        <f>'4.1 Comptes 2020 natures'!I50/'4.1 Comptes 2020 natures'!I2</f>
        <v>0</v>
      </c>
      <c r="J50" s="4">
        <f>'4.1 Comptes 2020 natures'!J50/'4.1 Comptes 2020 natures'!J2</f>
        <v>0</v>
      </c>
      <c r="K50" s="4">
        <f>'4.1 Comptes 2020 natures'!K50/'4.1 Comptes 2020 natures'!K2</f>
        <v>0</v>
      </c>
      <c r="L50" s="4">
        <f>'4.1 Comptes 2020 natures'!L50/'4.1 Comptes 2020 natures'!L2</f>
        <v>0</v>
      </c>
      <c r="M50" s="4">
        <f>'4.1 Comptes 2020 natures'!M50/'4.1 Comptes 2020 natures'!M2</f>
        <v>0</v>
      </c>
      <c r="N50" s="4">
        <f>'4.1 Comptes 2020 natures'!N50/'4.1 Comptes 2020 natures'!N2</f>
        <v>0</v>
      </c>
      <c r="O50" s="4">
        <f>'4.1 Comptes 2020 natures'!O50/'4.1 Comptes 2020 natures'!O2</f>
        <v>2.1274661643644479</v>
      </c>
      <c r="P50" s="4">
        <f>'4.1 Comptes 2020 natures'!P50/'4.1 Comptes 2020 natures'!P2</f>
        <v>0</v>
      </c>
      <c r="Q50" s="4">
        <f>'4.1 Comptes 2020 natures'!Q50/'4.1 Comptes 2020 natures'!Q2</f>
        <v>0</v>
      </c>
      <c r="R50" s="4">
        <f>'4.1 Comptes 2020 natures'!R50/'4.1 Comptes 2020 natures'!R2</f>
        <v>0</v>
      </c>
      <c r="S50" s="4">
        <f>'4.1 Comptes 2020 natures'!S50/'4.1 Comptes 2020 natures'!S2</f>
        <v>0</v>
      </c>
      <c r="T50" s="4">
        <f>'4.1 Comptes 2020 natures'!T50/'4.1 Comptes 2020 natures'!T2</f>
        <v>0</v>
      </c>
      <c r="U50" s="4">
        <f>'4.1 Comptes 2020 natures'!U50/'4.1 Comptes 2020 natures'!U2</f>
        <v>0</v>
      </c>
      <c r="V50" s="4">
        <f>'4.1 Comptes 2020 natures'!V50/'4.1 Comptes 2020 natures'!V2</f>
        <v>0</v>
      </c>
      <c r="W50" s="4">
        <f>'4.1 Comptes 2020 natures'!W50/'4.1 Comptes 2020 natures'!W2</f>
        <v>0</v>
      </c>
      <c r="X50" s="4">
        <f>'4.1 Comptes 2020 natures'!X50/'4.1 Comptes 2020 natures'!X2</f>
        <v>0</v>
      </c>
      <c r="Y50" s="4">
        <f>'4.1 Comptes 2020 natures'!Y50/'4.1 Comptes 2020 natures'!Y2</f>
        <v>0</v>
      </c>
      <c r="Z50" s="4">
        <f>'4.1 Comptes 2020 natures'!Z50/'4.1 Comptes 2020 natures'!Z2</f>
        <v>0</v>
      </c>
      <c r="AA50" s="4">
        <f>'4.1 Comptes 2020 natures'!AA50/'4.1 Comptes 2020 natures'!AA2</f>
        <v>0</v>
      </c>
      <c r="AB50" s="4">
        <f>'4.1 Comptes 2020 natures'!AB50/'4.1 Comptes 2020 natures'!AB2</f>
        <v>0</v>
      </c>
      <c r="AC50" s="4">
        <f>'4.1 Comptes 2020 natures'!AC50/'4.1 Comptes 2020 natures'!AC2</f>
        <v>0</v>
      </c>
      <c r="AD50" s="4">
        <f>'4.1 Comptes 2020 natures'!AD50/'4.1 Comptes 2020 natures'!AD2</f>
        <v>0</v>
      </c>
      <c r="AE50" s="4">
        <f>'4.1 Comptes 2020 natures'!AE50/'4.1 Comptes 2020 natures'!AE2</f>
        <v>0</v>
      </c>
      <c r="AF50" s="4">
        <f>'4.1 Comptes 2020 natures'!AF50/'4.1 Comptes 2020 natures'!AF2</f>
        <v>0</v>
      </c>
      <c r="AG50" s="4">
        <f>'4.1 Comptes 2020 natures'!AG50/'4.1 Comptes 2020 natures'!AG2</f>
        <v>0</v>
      </c>
      <c r="AH50" s="4">
        <f>'4.1 Comptes 2020 natures'!AH50/'4.1 Comptes 2020 natures'!AH2</f>
        <v>0</v>
      </c>
      <c r="AI50" s="4">
        <f>'4.1 Comptes 2020 natures'!AI50/'4.1 Comptes 2020 natures'!AI2</f>
        <v>0</v>
      </c>
      <c r="AJ50" s="4">
        <f>'4.1 Comptes 2020 natures'!AJ50/'4.1 Comptes 2020 natures'!AJ2</f>
        <v>0</v>
      </c>
      <c r="AK50" s="4">
        <f>'4.1 Comptes 2020 natures'!AK50/'4.1 Comptes 2020 natures'!AK2</f>
        <v>0</v>
      </c>
      <c r="AL50" s="4">
        <f>'4.1 Comptes 2020 natures'!AL50/'4.1 Comptes 2020 natures'!AL2</f>
        <v>0</v>
      </c>
      <c r="AM50" s="4">
        <f>'4.1 Comptes 2020 natures'!AM50/'4.1 Comptes 2020 natures'!AM2</f>
        <v>0</v>
      </c>
      <c r="AN50" s="4">
        <f>'4.1 Comptes 2020 natures'!AN50/'4.1 Comptes 2020 natures'!AN2</f>
        <v>0</v>
      </c>
      <c r="AO50" s="4">
        <f>'4.1 Comptes 2020 natures'!AO50/'4.1 Comptes 2020 natures'!AO2</f>
        <v>0</v>
      </c>
      <c r="AP50" s="4">
        <f>'4.1 Comptes 2020 natures'!AP50/'4.1 Comptes 2020 natures'!AP2</f>
        <v>0</v>
      </c>
      <c r="AQ50" s="4">
        <f>'4.1 Comptes 2020 natures'!AQ50/'4.1 Comptes 2020 natures'!AQ2</f>
        <v>0</v>
      </c>
      <c r="AR50" s="4">
        <f>'4.1 Comptes 2020 natures'!AR50/'4.1 Comptes 2020 natures'!AR2</f>
        <v>0</v>
      </c>
      <c r="AS50" s="4">
        <f>'4.1 Comptes 2020 natures'!AS50/'4.1 Comptes 2020 natures'!AS2</f>
        <v>0</v>
      </c>
      <c r="AT50" s="4">
        <f>'4.1 Comptes 2020 natures'!AT50/'4.1 Comptes 2020 natures'!AT2</f>
        <v>0</v>
      </c>
      <c r="AU50" s="4">
        <f>'4.1 Comptes 2020 natures'!AU50/'4.1 Comptes 2020 natures'!AU2</f>
        <v>0</v>
      </c>
      <c r="AV50" s="4">
        <f>'4.1 Comptes 2020 natures'!AV50/'4.1 Comptes 2020 natures'!AV2</f>
        <v>0</v>
      </c>
      <c r="AW50" s="4">
        <f>'4.1 Comptes 2020 natures'!AW50/'4.1 Comptes 2020 natures'!AW2</f>
        <v>0</v>
      </c>
      <c r="AX50" s="4">
        <f>'4.1 Comptes 2020 natures'!AX50/'4.1 Comptes 2020 natures'!AX2</f>
        <v>0</v>
      </c>
      <c r="AY50" s="4">
        <f>'4.1 Comptes 2020 natures'!AY50/'4.1 Comptes 2020 natures'!AY2</f>
        <v>0</v>
      </c>
      <c r="AZ50" s="4">
        <f>'4.1 Comptes 2020 natures'!AZ50/'4.1 Comptes 2020 natures'!AZ2</f>
        <v>0</v>
      </c>
      <c r="BA50" s="4">
        <f>'4.1 Comptes 2020 natures'!BA50/'4.1 Comptes 2020 natures'!BA2</f>
        <v>0</v>
      </c>
      <c r="BB50" s="4">
        <f>'4.1 Comptes 2020 natures'!BB50/'4.1 Comptes 2020 natures'!BB2</f>
        <v>0</v>
      </c>
      <c r="BC50" s="4">
        <f>'4.1 Comptes 2020 natures'!BC50/'4.1 Comptes 2020 natures'!BC2</f>
        <v>0</v>
      </c>
      <c r="BD50" s="4">
        <f>'4.1 Comptes 2020 natures'!BD50/'4.1 Comptes 2020 natures'!BD2</f>
        <v>0</v>
      </c>
      <c r="BE50" s="4">
        <f>'4.1 Comptes 2020 natures'!BE50/'4.1 Comptes 2020 natures'!BE2</f>
        <v>0</v>
      </c>
      <c r="BF50" s="4">
        <f t="shared" si="27"/>
        <v>2.1274661643644479</v>
      </c>
      <c r="BG50" s="4">
        <f t="shared" si="28"/>
        <v>2.1274661643644479</v>
      </c>
      <c r="BH50" s="4">
        <f t="shared" si="29"/>
        <v>0</v>
      </c>
      <c r="BI50" s="4">
        <f t="shared" si="30"/>
        <v>0</v>
      </c>
    </row>
    <row r="51" spans="2:61" x14ac:dyDescent="0.3">
      <c r="C51">
        <v>369</v>
      </c>
      <c r="D51" t="s">
        <v>118</v>
      </c>
      <c r="E51" s="4">
        <f>'4.1 Comptes 2020 natures'!E51/'4.1 Comptes 2020 natures'!E2</f>
        <v>8.9122426868905738</v>
      </c>
      <c r="F51" s="4">
        <f>'4.1 Comptes 2020 natures'!F51/'4.1 Comptes 2020 natures'!F2</f>
        <v>6.8666666666666663</v>
      </c>
      <c r="G51" s="4">
        <f>'4.1 Comptes 2020 natures'!G51/'4.1 Comptes 2020 natures'!G2</f>
        <v>0</v>
      </c>
      <c r="H51" s="4">
        <f>'4.1 Comptes 2020 natures'!H51/'4.1 Comptes 2020 natures'!H2</f>
        <v>0</v>
      </c>
      <c r="I51" s="4">
        <f>'4.1 Comptes 2020 natures'!I51/'4.1 Comptes 2020 natures'!I2</f>
        <v>0</v>
      </c>
      <c r="J51" s="4">
        <f>'4.1 Comptes 2020 natures'!J51/'4.1 Comptes 2020 natures'!J2</f>
        <v>8.7853908843948076</v>
      </c>
      <c r="K51" s="4">
        <f>'4.1 Comptes 2020 natures'!K51/'4.1 Comptes 2020 natures'!K2</f>
        <v>0</v>
      </c>
      <c r="L51" s="4">
        <f>'4.1 Comptes 2020 natures'!L51/'4.1 Comptes 2020 natures'!L2</f>
        <v>327.42947218259627</v>
      </c>
      <c r="M51" s="4">
        <f>'4.1 Comptes 2020 natures'!M51/'4.1 Comptes 2020 natures'!M2</f>
        <v>151.17295404814004</v>
      </c>
      <c r="N51" s="4">
        <f>'4.1 Comptes 2020 natures'!N51/'4.1 Comptes 2020 natures'!N2</f>
        <v>11.118644067796611</v>
      </c>
      <c r="O51" s="4">
        <f>'4.1 Comptes 2020 natures'!O51/'4.1 Comptes 2020 natures'!O2</f>
        <v>2.4604088181945025</v>
      </c>
      <c r="P51" s="4">
        <f>'4.1 Comptes 2020 natures'!P51/'4.1 Comptes 2020 natures'!P2</f>
        <v>0</v>
      </c>
      <c r="Q51" s="4">
        <f>'4.1 Comptes 2020 natures'!Q51/'4.1 Comptes 2020 natures'!Q2</f>
        <v>0</v>
      </c>
      <c r="R51" s="4">
        <f>'4.1 Comptes 2020 natures'!R51/'4.1 Comptes 2020 natures'!R2</f>
        <v>9.0650602409638559</v>
      </c>
      <c r="S51" s="4">
        <f>'4.1 Comptes 2020 natures'!S51/'4.1 Comptes 2020 natures'!S2</f>
        <v>0</v>
      </c>
      <c r="T51" s="4">
        <f>'4.1 Comptes 2020 natures'!T51/'4.1 Comptes 2020 natures'!T2</f>
        <v>0</v>
      </c>
      <c r="U51" s="4">
        <f>'4.1 Comptes 2020 natures'!U51/'4.1 Comptes 2020 natures'!U2</f>
        <v>8.2588235294117656</v>
      </c>
      <c r="V51" s="4">
        <f>'4.1 Comptes 2020 natures'!V51/'4.1 Comptes 2020 natures'!V2</f>
        <v>7.988532110091743</v>
      </c>
      <c r="W51" s="4">
        <f>'4.1 Comptes 2020 natures'!W51/'4.1 Comptes 2020 natures'!W2</f>
        <v>0</v>
      </c>
      <c r="X51" s="4">
        <f>'4.1 Comptes 2020 natures'!X51/'4.1 Comptes 2020 natures'!X2</f>
        <v>0</v>
      </c>
      <c r="Y51" s="4">
        <f>'4.1 Comptes 2020 natures'!Y51/'4.1 Comptes 2020 natures'!Y2</f>
        <v>6.1396468699839488</v>
      </c>
      <c r="Z51" s="4">
        <f>'4.1 Comptes 2020 natures'!Z51/'4.1 Comptes 2020 natures'!Z2</f>
        <v>8.5170157068062835</v>
      </c>
      <c r="AA51" s="4">
        <f>'4.1 Comptes 2020 natures'!AA51/'4.1 Comptes 2020 natures'!AA2</f>
        <v>0</v>
      </c>
      <c r="AB51" s="4">
        <f>'4.1 Comptes 2020 natures'!AB51/'4.1 Comptes 2020 natures'!AB2</f>
        <v>0</v>
      </c>
      <c r="AC51" s="4">
        <f>'4.1 Comptes 2020 natures'!AC51/'4.1 Comptes 2020 natures'!AC2</f>
        <v>0</v>
      </c>
      <c r="AD51" s="4">
        <f>'4.1 Comptes 2020 natures'!AD51/'4.1 Comptes 2020 natures'!AD2</f>
        <v>36.520268256333829</v>
      </c>
      <c r="AE51" s="4">
        <f>'4.1 Comptes 2020 natures'!AE51/'4.1 Comptes 2020 natures'!AE2</f>
        <v>6.7972027972027975</v>
      </c>
      <c r="AF51" s="4">
        <f>'4.1 Comptes 2020 natures'!AF51/'4.1 Comptes 2020 natures'!AF2</f>
        <v>15.505102040816327</v>
      </c>
      <c r="AG51" s="4">
        <f>'4.1 Comptes 2020 natures'!AG51/'4.1 Comptes 2020 natures'!AG2</f>
        <v>7.7210031347962387</v>
      </c>
      <c r="AH51" s="4">
        <f>'4.1 Comptes 2020 natures'!AH51/'4.1 Comptes 2020 natures'!AH2</f>
        <v>8.2703632887189293</v>
      </c>
      <c r="AI51" s="4">
        <f>'4.1 Comptes 2020 natures'!AI51/'4.1 Comptes 2020 natures'!AI2</f>
        <v>4.8766519823788546</v>
      </c>
      <c r="AJ51" s="4">
        <f>'4.1 Comptes 2020 natures'!AJ51/'4.1 Comptes 2020 natures'!AJ2</f>
        <v>0</v>
      </c>
      <c r="AK51" s="4">
        <f>'4.1 Comptes 2020 natures'!AK51/'4.1 Comptes 2020 natures'!AK2</f>
        <v>0</v>
      </c>
      <c r="AL51" s="4">
        <f>'4.1 Comptes 2020 natures'!AL51/'4.1 Comptes 2020 natures'!AL2</f>
        <v>0</v>
      </c>
      <c r="AM51" s="4">
        <f>'4.1 Comptes 2020 natures'!AM51/'4.1 Comptes 2020 natures'!AM2</f>
        <v>1.5229653505237712</v>
      </c>
      <c r="AN51" s="4">
        <f>'4.1 Comptes 2020 natures'!AN51/'4.1 Comptes 2020 natures'!AN2</f>
        <v>9.6512605042016801</v>
      </c>
      <c r="AO51" s="4">
        <f>'4.1 Comptes 2020 natures'!AO51/'4.1 Comptes 2020 natures'!AO2</f>
        <v>0</v>
      </c>
      <c r="AP51" s="4">
        <f>'4.1 Comptes 2020 natures'!AP51/'4.1 Comptes 2020 natures'!AP2</f>
        <v>0</v>
      </c>
      <c r="AQ51" s="4">
        <f>'4.1 Comptes 2020 natures'!AQ51/'4.1 Comptes 2020 natures'!AQ2</f>
        <v>9.3323255813953487</v>
      </c>
      <c r="AR51" s="4">
        <f>'4.1 Comptes 2020 natures'!AR51/'4.1 Comptes 2020 natures'!AR2</f>
        <v>5.3871733966745845</v>
      </c>
      <c r="AS51" s="4">
        <f>'4.1 Comptes 2020 natures'!AS51/'4.1 Comptes 2020 natures'!AS2</f>
        <v>8.3918918918918912</v>
      </c>
      <c r="AT51" s="4">
        <f>'4.1 Comptes 2020 natures'!AT51/'4.1 Comptes 2020 natures'!AT2</f>
        <v>0</v>
      </c>
      <c r="AU51" s="4">
        <f>'4.1 Comptes 2020 natures'!AU51/'4.1 Comptes 2020 natures'!AU2</f>
        <v>9.5541401273885357E-2</v>
      </c>
      <c r="AV51" s="4">
        <f>'4.1 Comptes 2020 natures'!AV51/'4.1 Comptes 2020 natures'!AV2</f>
        <v>8.7712500000000002</v>
      </c>
      <c r="AW51" s="4">
        <f>'4.1 Comptes 2020 natures'!AW51/'4.1 Comptes 2020 natures'!AW2</f>
        <v>8.3565562913907279</v>
      </c>
      <c r="AX51" s="4">
        <f>'4.1 Comptes 2020 natures'!AX51/'4.1 Comptes 2020 natures'!AX2</f>
        <v>8.4033149171270711</v>
      </c>
      <c r="AY51" s="4">
        <f>'4.1 Comptes 2020 natures'!AY51/'4.1 Comptes 2020 natures'!AY2</f>
        <v>8.5850144092219018</v>
      </c>
      <c r="AZ51" s="4">
        <f>'4.1 Comptes 2020 natures'!AZ51/'4.1 Comptes 2020 natures'!AZ2</f>
        <v>8.9041420118343204</v>
      </c>
      <c r="BA51" s="4">
        <f>'4.1 Comptes 2020 natures'!BA51/'4.1 Comptes 2020 natures'!BA2</f>
        <v>0</v>
      </c>
      <c r="BB51" s="4">
        <f>'4.1 Comptes 2020 natures'!BB51/'4.1 Comptes 2020 natures'!BB2</f>
        <v>0</v>
      </c>
      <c r="BC51" s="4">
        <f>'4.1 Comptes 2020 natures'!BC51/'4.1 Comptes 2020 natures'!BC2</f>
        <v>8.4255319148936163</v>
      </c>
      <c r="BD51" s="4">
        <f>'4.1 Comptes 2020 natures'!BD51/'4.1 Comptes 2020 natures'!BD2</f>
        <v>0</v>
      </c>
      <c r="BE51" s="4">
        <f>'4.1 Comptes 2020 natures'!BE51/'4.1 Comptes 2020 natures'!BE2</f>
        <v>0</v>
      </c>
      <c r="BF51" s="4">
        <f t="shared" si="27"/>
        <v>722.2324169826129</v>
      </c>
      <c r="BG51" s="4">
        <f t="shared" si="28"/>
        <v>542.05819523514685</v>
      </c>
      <c r="BH51" s="4">
        <f t="shared" si="29"/>
        <v>94.347254077037206</v>
      </c>
      <c r="BI51" s="4">
        <f t="shared" si="30"/>
        <v>85.8269676704288</v>
      </c>
    </row>
    <row r="52" spans="2:61" x14ac:dyDescent="0.3">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3">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1.2144420131291029</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1346.1430555555555</v>
      </c>
      <c r="Y53" s="95">
        <f t="shared" si="31"/>
        <v>0</v>
      </c>
      <c r="Z53" s="95">
        <f t="shared" si="31"/>
        <v>280.54698952879579</v>
      </c>
      <c r="AA53" s="95">
        <f t="shared" si="31"/>
        <v>1501.9859374999999</v>
      </c>
      <c r="AB53" s="95">
        <f t="shared" si="31"/>
        <v>1188.6080536912752</v>
      </c>
      <c r="AC53" s="95">
        <f t="shared" si="31"/>
        <v>301.5527131782946</v>
      </c>
      <c r="AD53" s="95">
        <f t="shared" si="31"/>
        <v>0</v>
      </c>
      <c r="AE53" s="95">
        <f t="shared" si="31"/>
        <v>0</v>
      </c>
      <c r="AF53" s="95">
        <f t="shared" si="31"/>
        <v>1165.0985714285716</v>
      </c>
      <c r="AG53" s="95">
        <f t="shared" si="31"/>
        <v>219.03834900731454</v>
      </c>
      <c r="AH53" s="95">
        <f t="shared" si="31"/>
        <v>0</v>
      </c>
      <c r="AI53" s="95">
        <f t="shared" si="31"/>
        <v>21.977533039647575</v>
      </c>
      <c r="AJ53" s="95">
        <f t="shared" si="31"/>
        <v>0</v>
      </c>
      <c r="AK53" s="95">
        <f t="shared" si="31"/>
        <v>0</v>
      </c>
      <c r="AL53" s="95">
        <f t="shared" si="31"/>
        <v>0</v>
      </c>
      <c r="AM53" s="95">
        <f t="shared" si="31"/>
        <v>21.650846091861403</v>
      </c>
      <c r="AN53" s="95">
        <f t="shared" si="31"/>
        <v>0</v>
      </c>
      <c r="AO53" s="95">
        <f t="shared" si="31"/>
        <v>0</v>
      </c>
      <c r="AP53" s="95">
        <f t="shared" si="31"/>
        <v>1.8526395173453996</v>
      </c>
      <c r="AQ53" s="95">
        <f t="shared" si="31"/>
        <v>0</v>
      </c>
      <c r="AR53" s="95">
        <f t="shared" si="31"/>
        <v>45.170229612034838</v>
      </c>
      <c r="AS53" s="95">
        <f t="shared" si="31"/>
        <v>0</v>
      </c>
      <c r="AT53" s="95">
        <f t="shared" si="31"/>
        <v>0</v>
      </c>
      <c r="AU53" s="95">
        <f t="shared" si="31"/>
        <v>0</v>
      </c>
      <c r="AV53" s="95">
        <f t="shared" si="31"/>
        <v>17.606520833333335</v>
      </c>
      <c r="AW53" s="95">
        <f t="shared" si="31"/>
        <v>12.794701986754967</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6125.2405829839145</v>
      </c>
      <c r="BG53" s="95">
        <f t="shared" si="31"/>
        <v>1.2144420131291029</v>
      </c>
      <c r="BH53" s="95">
        <f t="shared" si="31"/>
        <v>6024.9512029294547</v>
      </c>
      <c r="BI53" s="95">
        <f t="shared" si="31"/>
        <v>99.074938041329943</v>
      </c>
    </row>
    <row r="54" spans="2:61" x14ac:dyDescent="0.3">
      <c r="C54">
        <v>370</v>
      </c>
      <c r="D54" t="s">
        <v>120</v>
      </c>
      <c r="E54" s="4">
        <f>'4.1 Comptes 2020 natures'!E54/'4.1 Comptes 2020 natures'!E2</f>
        <v>0</v>
      </c>
      <c r="F54" s="4">
        <f>'4.1 Comptes 2020 natures'!F54/'4.1 Comptes 2020 natures'!F2</f>
        <v>0</v>
      </c>
      <c r="G54" s="4">
        <f>'4.1 Comptes 2020 natures'!G54/'4.1 Comptes 2020 natures'!G2</f>
        <v>0</v>
      </c>
      <c r="H54" s="4">
        <f>'4.1 Comptes 2020 natures'!H54/'4.1 Comptes 2020 natures'!H2</f>
        <v>0</v>
      </c>
      <c r="I54" s="4">
        <f>'4.1 Comptes 2020 natures'!I54/'4.1 Comptes 2020 natures'!I2</f>
        <v>0</v>
      </c>
      <c r="J54" s="4">
        <f>'4.1 Comptes 2020 natures'!J54/'4.1 Comptes 2020 natures'!J2</f>
        <v>0</v>
      </c>
      <c r="K54" s="4">
        <f>'4.1 Comptes 2020 natures'!K54/'4.1 Comptes 2020 natures'!K2</f>
        <v>0</v>
      </c>
      <c r="L54" s="4">
        <f>'4.1 Comptes 2020 natures'!L54/'4.1 Comptes 2020 natures'!L2</f>
        <v>0</v>
      </c>
      <c r="M54" s="4">
        <f>'4.1 Comptes 2020 natures'!M54/'4.1 Comptes 2020 natures'!M2</f>
        <v>1.2144420131291029</v>
      </c>
      <c r="N54" s="4">
        <f>'4.1 Comptes 2020 natures'!N54/'4.1 Comptes 2020 natures'!N2</f>
        <v>0</v>
      </c>
      <c r="O54" s="4">
        <f>'4.1 Comptes 2020 natures'!O54/'4.1 Comptes 2020 natures'!O2</f>
        <v>0</v>
      </c>
      <c r="P54" s="4">
        <f>'4.1 Comptes 2020 natures'!P54/'4.1 Comptes 2020 natures'!P2</f>
        <v>0</v>
      </c>
      <c r="Q54" s="4">
        <f>'4.1 Comptes 2020 natures'!Q54/'4.1 Comptes 2020 natures'!Q2</f>
        <v>0</v>
      </c>
      <c r="R54" s="4">
        <f>'4.1 Comptes 2020 natures'!R54/'4.1 Comptes 2020 natures'!R2</f>
        <v>0</v>
      </c>
      <c r="S54" s="4">
        <f>'4.1 Comptes 2020 natures'!S54/'4.1 Comptes 2020 natures'!S2</f>
        <v>0</v>
      </c>
      <c r="T54" s="4">
        <f>'4.1 Comptes 2020 natures'!T54/'4.1 Comptes 2020 natures'!T2</f>
        <v>0</v>
      </c>
      <c r="U54" s="4">
        <f>'4.1 Comptes 2020 natures'!U54/'4.1 Comptes 2020 natures'!U2</f>
        <v>0</v>
      </c>
      <c r="V54" s="4">
        <f>'4.1 Comptes 2020 natures'!V54/'4.1 Comptes 2020 natures'!V2</f>
        <v>0</v>
      </c>
      <c r="W54" s="4">
        <f>'4.1 Comptes 2020 natures'!W54/'4.1 Comptes 2020 natures'!W2</f>
        <v>0</v>
      </c>
      <c r="X54" s="4">
        <f>'4.1 Comptes 2020 natures'!X54/'4.1 Comptes 2020 natures'!X2</f>
        <v>1346.1430555555555</v>
      </c>
      <c r="Y54" s="4">
        <f>'4.1 Comptes 2020 natures'!Y54/'4.1 Comptes 2020 natures'!Y2</f>
        <v>0</v>
      </c>
      <c r="Z54" s="4">
        <f>'4.1 Comptes 2020 natures'!Z54/'4.1 Comptes 2020 natures'!Z2</f>
        <v>280.54698952879579</v>
      </c>
      <c r="AA54" s="4">
        <f>'4.1 Comptes 2020 natures'!AA54/'4.1 Comptes 2020 natures'!AA2</f>
        <v>1501.9859374999999</v>
      </c>
      <c r="AB54" s="4">
        <f>'4.1 Comptes 2020 natures'!AB54/'4.1 Comptes 2020 natures'!AB2</f>
        <v>1188.6080536912752</v>
      </c>
      <c r="AC54" s="4">
        <f>'4.1 Comptes 2020 natures'!AC54/'4.1 Comptes 2020 natures'!AC2</f>
        <v>301.5527131782946</v>
      </c>
      <c r="AD54" s="4">
        <f>'4.1 Comptes 2020 natures'!AD54/'4.1 Comptes 2020 natures'!AD2</f>
        <v>0</v>
      </c>
      <c r="AE54" s="4">
        <f>'4.1 Comptes 2020 natures'!AE54/'4.1 Comptes 2020 natures'!AE2</f>
        <v>0</v>
      </c>
      <c r="AF54" s="4">
        <f>'4.1 Comptes 2020 natures'!AF54/'4.1 Comptes 2020 natures'!AF2</f>
        <v>1165.0985714285716</v>
      </c>
      <c r="AG54" s="4">
        <f>'4.1 Comptes 2020 natures'!AG54/'4.1 Comptes 2020 natures'!AG2</f>
        <v>219.03834900731454</v>
      </c>
      <c r="AH54" s="4">
        <f>'4.1 Comptes 2020 natures'!AH54/'4.1 Comptes 2020 natures'!AH2</f>
        <v>0</v>
      </c>
      <c r="AI54" s="4">
        <f>'4.1 Comptes 2020 natures'!AI54/'4.1 Comptes 2020 natures'!AI2</f>
        <v>21.977533039647575</v>
      </c>
      <c r="AJ54" s="4">
        <f>'4.1 Comptes 2020 natures'!AJ54/'4.1 Comptes 2020 natures'!AJ2</f>
        <v>0</v>
      </c>
      <c r="AK54" s="4">
        <f>'4.1 Comptes 2020 natures'!AK54/'4.1 Comptes 2020 natures'!AK2</f>
        <v>0</v>
      </c>
      <c r="AL54" s="4">
        <f>'4.1 Comptes 2020 natures'!AL54/'4.1 Comptes 2020 natures'!AL2</f>
        <v>0</v>
      </c>
      <c r="AM54" s="4">
        <f>'4.1 Comptes 2020 natures'!AM54/'4.1 Comptes 2020 natures'!AM2</f>
        <v>21.650846091861403</v>
      </c>
      <c r="AN54" s="4">
        <f>'4.1 Comptes 2020 natures'!AN54/'4.1 Comptes 2020 natures'!AN2</f>
        <v>0</v>
      </c>
      <c r="AO54" s="4">
        <f>'4.1 Comptes 2020 natures'!AO54/'4.1 Comptes 2020 natures'!AO2</f>
        <v>0</v>
      </c>
      <c r="AP54" s="4">
        <f>'4.1 Comptes 2020 natures'!AP54/'4.1 Comptes 2020 natures'!AP2</f>
        <v>1.8526395173453996</v>
      </c>
      <c r="AQ54" s="4">
        <f>'4.1 Comptes 2020 natures'!AQ54/'4.1 Comptes 2020 natures'!AQ2</f>
        <v>0</v>
      </c>
      <c r="AR54" s="4">
        <f>'4.1 Comptes 2020 natures'!AR54/'4.1 Comptes 2020 natures'!AR2</f>
        <v>45.170229612034838</v>
      </c>
      <c r="AS54" s="4">
        <f>'4.1 Comptes 2020 natures'!AS54/'4.1 Comptes 2020 natures'!AS2</f>
        <v>0</v>
      </c>
      <c r="AT54" s="4">
        <f>'4.1 Comptes 2020 natures'!AT54/'4.1 Comptes 2020 natures'!AT2</f>
        <v>0</v>
      </c>
      <c r="AU54" s="4">
        <f>'4.1 Comptes 2020 natures'!AU54/'4.1 Comptes 2020 natures'!AU2</f>
        <v>0</v>
      </c>
      <c r="AV54" s="4">
        <f>'4.1 Comptes 2020 natures'!AV54/'4.1 Comptes 2020 natures'!AV2</f>
        <v>17.606520833333335</v>
      </c>
      <c r="AW54" s="4">
        <f>'4.1 Comptes 2020 natures'!AW54/'4.1 Comptes 2020 natures'!AW2</f>
        <v>12.794701986754967</v>
      </c>
      <c r="AX54" s="4">
        <f>'4.1 Comptes 2020 natures'!AX54/'4.1 Comptes 2020 natures'!AX2</f>
        <v>0</v>
      </c>
      <c r="AY54" s="4">
        <f>'4.1 Comptes 2020 natures'!AY54/'4.1 Comptes 2020 natures'!AY2</f>
        <v>0</v>
      </c>
      <c r="AZ54" s="4">
        <f>'4.1 Comptes 2020 natures'!AZ54/'4.1 Comptes 2020 natures'!AZ2</f>
        <v>0</v>
      </c>
      <c r="BA54" s="4">
        <f>'4.1 Comptes 2020 natures'!BA54/'4.1 Comptes 2020 natures'!BA2</f>
        <v>0</v>
      </c>
      <c r="BB54" s="4">
        <f>'4.1 Comptes 2020 natures'!BB54/'4.1 Comptes 2020 natures'!BB2</f>
        <v>0</v>
      </c>
      <c r="BC54" s="4">
        <f>'4.1 Comptes 2020 natures'!BC54/'4.1 Comptes 2020 natures'!BC2</f>
        <v>0</v>
      </c>
      <c r="BD54" s="4">
        <f>'4.1 Comptes 2020 natures'!BD54/'4.1 Comptes 2020 natures'!BD2</f>
        <v>0</v>
      </c>
      <c r="BE54" s="4">
        <f>'4.1 Comptes 2020 natures'!BE54/'4.1 Comptes 2020 natures'!BE2</f>
        <v>0</v>
      </c>
      <c r="BF54" s="4">
        <f t="shared" ref="BF54" si="32">SUM(E54:BE54)</f>
        <v>6125.2405829839145</v>
      </c>
      <c r="BG54" s="4">
        <f t="shared" ref="BG54" si="33">SUM(E54:W54)</f>
        <v>1.2144420131291029</v>
      </c>
      <c r="BH54" s="4">
        <f t="shared" ref="BH54" si="34">SUM(X54:AJ54)</f>
        <v>6024.9512029294547</v>
      </c>
      <c r="BI54" s="4">
        <f t="shared" ref="BI54" si="35">SUM(AK54:BE54)</f>
        <v>99.074938041329943</v>
      </c>
    </row>
    <row r="55" spans="2:61" x14ac:dyDescent="0.3">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3">
      <c r="B56" s="94">
        <v>38</v>
      </c>
      <c r="C56" s="94"/>
      <c r="D56" s="94" t="s">
        <v>121</v>
      </c>
      <c r="E56" s="95">
        <f>E57+E58+E59+E60+E61+E62</f>
        <v>346.69555796316359</v>
      </c>
      <c r="F56" s="95">
        <f t="shared" ref="F56:BI56" si="36">F57+F58+F59+F60+F61+F62</f>
        <v>0</v>
      </c>
      <c r="G56" s="95">
        <f t="shared" si="36"/>
        <v>0</v>
      </c>
      <c r="H56" s="95">
        <f t="shared" si="36"/>
        <v>1.2134304932735427</v>
      </c>
      <c r="I56" s="95">
        <f t="shared" si="36"/>
        <v>2.9129716331589093E-2</v>
      </c>
      <c r="J56" s="95">
        <f t="shared" si="36"/>
        <v>120.73649260488983</v>
      </c>
      <c r="K56" s="95">
        <f t="shared" si="36"/>
        <v>0</v>
      </c>
      <c r="L56" s="95">
        <f t="shared" si="36"/>
        <v>0</v>
      </c>
      <c r="M56" s="95">
        <f t="shared" si="36"/>
        <v>0</v>
      </c>
      <c r="N56" s="95">
        <f t="shared" si="36"/>
        <v>0</v>
      </c>
      <c r="O56" s="95">
        <f t="shared" si="36"/>
        <v>1.233158922840798</v>
      </c>
      <c r="P56" s="95">
        <f t="shared" si="36"/>
        <v>15.771893939393939</v>
      </c>
      <c r="Q56" s="95">
        <f t="shared" si="36"/>
        <v>0</v>
      </c>
      <c r="R56" s="95">
        <f t="shared" si="36"/>
        <v>0</v>
      </c>
      <c r="S56" s="95">
        <f t="shared" si="36"/>
        <v>0</v>
      </c>
      <c r="T56" s="95">
        <f t="shared" si="36"/>
        <v>1.4556040756914121E-4</v>
      </c>
      <c r="U56" s="95">
        <f t="shared" si="36"/>
        <v>0</v>
      </c>
      <c r="V56" s="95">
        <f t="shared" si="36"/>
        <v>0</v>
      </c>
      <c r="W56" s="95">
        <f t="shared" si="36"/>
        <v>78.369905956112859</v>
      </c>
      <c r="X56" s="95">
        <f t="shared" si="36"/>
        <v>216.04938271604939</v>
      </c>
      <c r="Y56" s="95">
        <f t="shared" si="36"/>
        <v>0</v>
      </c>
      <c r="Z56" s="95">
        <f t="shared" si="36"/>
        <v>0</v>
      </c>
      <c r="AA56" s="95">
        <f t="shared" si="36"/>
        <v>0</v>
      </c>
      <c r="AB56" s="95">
        <f t="shared" si="36"/>
        <v>0</v>
      </c>
      <c r="AC56" s="95">
        <f t="shared" si="36"/>
        <v>4.7093023255813957</v>
      </c>
      <c r="AD56" s="95">
        <f t="shared" si="36"/>
        <v>0</v>
      </c>
      <c r="AE56" s="95">
        <f t="shared" si="36"/>
        <v>0</v>
      </c>
      <c r="AF56" s="95">
        <f t="shared" si="36"/>
        <v>816.32653061224494</v>
      </c>
      <c r="AG56" s="95">
        <f t="shared" si="36"/>
        <v>0</v>
      </c>
      <c r="AH56" s="95">
        <f t="shared" si="36"/>
        <v>57.361376673040155</v>
      </c>
      <c r="AI56" s="95">
        <f t="shared" si="36"/>
        <v>616.74008810572684</v>
      </c>
      <c r="AJ56" s="95">
        <f t="shared" si="36"/>
        <v>0</v>
      </c>
      <c r="AK56" s="95">
        <f t="shared" si="36"/>
        <v>126.64907651715039</v>
      </c>
      <c r="AL56" s="95">
        <f t="shared" si="36"/>
        <v>184.02766519823788</v>
      </c>
      <c r="AM56" s="95">
        <f t="shared" si="36"/>
        <v>0</v>
      </c>
      <c r="AN56" s="95">
        <f t="shared" si="36"/>
        <v>4.1358823529411763</v>
      </c>
      <c r="AO56" s="95">
        <f t="shared" si="36"/>
        <v>0</v>
      </c>
      <c r="AP56" s="95">
        <f t="shared" si="36"/>
        <v>452.48868778280541</v>
      </c>
      <c r="AQ56" s="95">
        <f t="shared" si="36"/>
        <v>155.03875968992247</v>
      </c>
      <c r="AR56" s="95">
        <f t="shared" si="36"/>
        <v>431.51227236737924</v>
      </c>
      <c r="AS56" s="95">
        <f t="shared" si="36"/>
        <v>0</v>
      </c>
      <c r="AT56" s="95">
        <f t="shared" si="36"/>
        <v>0</v>
      </c>
      <c r="AU56" s="95">
        <f t="shared" si="36"/>
        <v>2633.6694267515923</v>
      </c>
      <c r="AV56" s="95">
        <f t="shared" si="36"/>
        <v>0</v>
      </c>
      <c r="AW56" s="95">
        <f t="shared" si="36"/>
        <v>0</v>
      </c>
      <c r="AX56" s="95">
        <f t="shared" si="36"/>
        <v>22.016574585635357</v>
      </c>
      <c r="AY56" s="95">
        <f t="shared" si="36"/>
        <v>167.14697406340056</v>
      </c>
      <c r="AZ56" s="95">
        <f t="shared" si="36"/>
        <v>88.757396449704146</v>
      </c>
      <c r="BA56" s="95">
        <f t="shared" si="36"/>
        <v>516.79586563307498</v>
      </c>
      <c r="BB56" s="95">
        <f t="shared" si="36"/>
        <v>91.240875912408754</v>
      </c>
      <c r="BC56" s="95">
        <f t="shared" si="36"/>
        <v>0</v>
      </c>
      <c r="BD56" s="95">
        <f t="shared" si="36"/>
        <v>125.75442959278831</v>
      </c>
      <c r="BE56" s="95">
        <f t="shared" si="36"/>
        <v>0</v>
      </c>
      <c r="BF56" s="95">
        <f t="shared" si="36"/>
        <v>7274.4702824860979</v>
      </c>
      <c r="BG56" s="95">
        <f t="shared" si="36"/>
        <v>564.04971515641375</v>
      </c>
      <c r="BH56" s="95">
        <f t="shared" si="36"/>
        <v>1711.1866804326426</v>
      </c>
      <c r="BI56" s="95">
        <f t="shared" si="36"/>
        <v>4999.233886897041</v>
      </c>
    </row>
    <row r="57" spans="2:61" x14ac:dyDescent="0.3">
      <c r="C57">
        <v>380</v>
      </c>
      <c r="D57" t="s">
        <v>122</v>
      </c>
      <c r="E57" s="4">
        <f>'4.1 Comptes 2020 natures'!E57/'4.1 Comptes 2020 natures'!E2</f>
        <v>0</v>
      </c>
      <c r="F57" s="4">
        <f>'4.1 Comptes 2020 natures'!F57/'4.1 Comptes 2020 natures'!F2</f>
        <v>0</v>
      </c>
      <c r="G57" s="4">
        <f>'4.1 Comptes 2020 natures'!G57/'4.1 Comptes 2020 natures'!G2</f>
        <v>0</v>
      </c>
      <c r="H57" s="4">
        <f>'4.1 Comptes 2020 natures'!H57/'4.1 Comptes 2020 natures'!H2</f>
        <v>0</v>
      </c>
      <c r="I57" s="4">
        <f>'4.1 Comptes 2020 natures'!I57/'4.1 Comptes 2020 natures'!I2</f>
        <v>0</v>
      </c>
      <c r="J57" s="4">
        <f>'4.1 Comptes 2020 natures'!J57/'4.1 Comptes 2020 natures'!J2</f>
        <v>0</v>
      </c>
      <c r="K57" s="4">
        <f>'4.1 Comptes 2020 natures'!K57/'4.1 Comptes 2020 natures'!K2</f>
        <v>0</v>
      </c>
      <c r="L57" s="4">
        <f>'4.1 Comptes 2020 natures'!L57/'4.1 Comptes 2020 natures'!L2</f>
        <v>0</v>
      </c>
      <c r="M57" s="4">
        <f>'4.1 Comptes 2020 natures'!M57/'4.1 Comptes 2020 natures'!M2</f>
        <v>0</v>
      </c>
      <c r="N57" s="4">
        <f>'4.1 Comptes 2020 natures'!N57/'4.1 Comptes 2020 natures'!N2</f>
        <v>0</v>
      </c>
      <c r="O57" s="4">
        <f>'4.1 Comptes 2020 natures'!O57/'4.1 Comptes 2020 natures'!O2</f>
        <v>0</v>
      </c>
      <c r="P57" s="4">
        <f>'4.1 Comptes 2020 natures'!P57/'4.1 Comptes 2020 natures'!P2</f>
        <v>0</v>
      </c>
      <c r="Q57" s="4">
        <f>'4.1 Comptes 2020 natures'!Q57/'4.1 Comptes 2020 natures'!Q2</f>
        <v>0</v>
      </c>
      <c r="R57" s="4">
        <f>'4.1 Comptes 2020 natures'!R57/'4.1 Comptes 2020 natures'!R2</f>
        <v>0</v>
      </c>
      <c r="S57" s="4">
        <f>'4.1 Comptes 2020 natures'!S57/'4.1 Comptes 2020 natures'!S2</f>
        <v>0</v>
      </c>
      <c r="T57" s="4">
        <f>'4.1 Comptes 2020 natures'!T57/'4.1 Comptes 2020 natures'!T2</f>
        <v>0</v>
      </c>
      <c r="U57" s="4">
        <f>'4.1 Comptes 2020 natures'!U57/'4.1 Comptes 2020 natures'!U2</f>
        <v>0</v>
      </c>
      <c r="V57" s="4">
        <f>'4.1 Comptes 2020 natures'!V57/'4.1 Comptes 2020 natures'!V2</f>
        <v>0</v>
      </c>
      <c r="W57" s="4">
        <f>'4.1 Comptes 2020 natures'!W57/'4.1 Comptes 2020 natures'!W2</f>
        <v>0</v>
      </c>
      <c r="X57" s="4">
        <f>'4.1 Comptes 2020 natures'!X57/'4.1 Comptes 2020 natures'!X2</f>
        <v>0</v>
      </c>
      <c r="Y57" s="4">
        <f>'4.1 Comptes 2020 natures'!Y57/'4.1 Comptes 2020 natures'!Y2</f>
        <v>0</v>
      </c>
      <c r="Z57" s="4">
        <f>'4.1 Comptes 2020 natures'!Z57/'4.1 Comptes 2020 natures'!Z2</f>
        <v>0</v>
      </c>
      <c r="AA57" s="4">
        <f>'4.1 Comptes 2020 natures'!AA57/'4.1 Comptes 2020 natures'!AA2</f>
        <v>0</v>
      </c>
      <c r="AB57" s="4">
        <f>'4.1 Comptes 2020 natures'!AB57/'4.1 Comptes 2020 natures'!AB2</f>
        <v>0</v>
      </c>
      <c r="AC57" s="4">
        <f>'4.1 Comptes 2020 natures'!AC57/'4.1 Comptes 2020 natures'!AC2</f>
        <v>0</v>
      </c>
      <c r="AD57" s="4">
        <f>'4.1 Comptes 2020 natures'!AD57/'4.1 Comptes 2020 natures'!AD2</f>
        <v>0</v>
      </c>
      <c r="AE57" s="4">
        <f>'4.1 Comptes 2020 natures'!AE57/'4.1 Comptes 2020 natures'!AE2</f>
        <v>0</v>
      </c>
      <c r="AF57" s="4">
        <f>'4.1 Comptes 2020 natures'!AF57/'4.1 Comptes 2020 natures'!AF2</f>
        <v>0</v>
      </c>
      <c r="AG57" s="4">
        <f>'4.1 Comptes 2020 natures'!AG57/'4.1 Comptes 2020 natures'!AG2</f>
        <v>0</v>
      </c>
      <c r="AH57" s="4">
        <f>'4.1 Comptes 2020 natures'!AH57/'4.1 Comptes 2020 natures'!AH2</f>
        <v>0</v>
      </c>
      <c r="AI57" s="4">
        <f>'4.1 Comptes 2020 natures'!AI57/'4.1 Comptes 2020 natures'!AI2</f>
        <v>0</v>
      </c>
      <c r="AJ57" s="4">
        <f>'4.1 Comptes 2020 natures'!AJ57/'4.1 Comptes 2020 natures'!AJ2</f>
        <v>0</v>
      </c>
      <c r="AK57" s="4">
        <f>'4.1 Comptes 2020 natures'!AK57/'4.1 Comptes 2020 natures'!AK2</f>
        <v>0</v>
      </c>
      <c r="AL57" s="4">
        <f>'4.1 Comptes 2020 natures'!AL57/'4.1 Comptes 2020 natures'!AL2</f>
        <v>0.51224669603524231</v>
      </c>
      <c r="AM57" s="4">
        <f>'4.1 Comptes 2020 natures'!AM57/'4.1 Comptes 2020 natures'!AM2</f>
        <v>0</v>
      </c>
      <c r="AN57" s="4">
        <f>'4.1 Comptes 2020 natures'!AN57/'4.1 Comptes 2020 natures'!AN2</f>
        <v>0</v>
      </c>
      <c r="AO57" s="4">
        <f>'4.1 Comptes 2020 natures'!AO57/'4.1 Comptes 2020 natures'!AO2</f>
        <v>0</v>
      </c>
      <c r="AP57" s="4">
        <f>'4.1 Comptes 2020 natures'!AP57/'4.1 Comptes 2020 natures'!AP2</f>
        <v>0</v>
      </c>
      <c r="AQ57" s="4">
        <f>'4.1 Comptes 2020 natures'!AQ57/'4.1 Comptes 2020 natures'!AQ2</f>
        <v>0</v>
      </c>
      <c r="AR57" s="4">
        <f>'4.1 Comptes 2020 natures'!AR57/'4.1 Comptes 2020 natures'!AR2</f>
        <v>0</v>
      </c>
      <c r="AS57" s="4">
        <f>'4.1 Comptes 2020 natures'!AS57/'4.1 Comptes 2020 natures'!AS2</f>
        <v>0</v>
      </c>
      <c r="AT57" s="4">
        <f>'4.1 Comptes 2020 natures'!AT57/'4.1 Comptes 2020 natures'!AT2</f>
        <v>0</v>
      </c>
      <c r="AU57" s="4">
        <f>'4.1 Comptes 2020 natures'!AU57/'4.1 Comptes 2020 natures'!AU2</f>
        <v>0</v>
      </c>
      <c r="AV57" s="4">
        <f>'4.1 Comptes 2020 natures'!AV57/'4.1 Comptes 2020 natures'!AV2</f>
        <v>0</v>
      </c>
      <c r="AW57" s="4">
        <f>'4.1 Comptes 2020 natures'!AW57/'4.1 Comptes 2020 natures'!AW2</f>
        <v>0</v>
      </c>
      <c r="AX57" s="4">
        <f>'4.1 Comptes 2020 natures'!AX57/'4.1 Comptes 2020 natures'!AX2</f>
        <v>0</v>
      </c>
      <c r="AY57" s="4">
        <f>'4.1 Comptes 2020 natures'!AY57/'4.1 Comptes 2020 natures'!AY2</f>
        <v>0</v>
      </c>
      <c r="AZ57" s="4">
        <f>'4.1 Comptes 2020 natures'!AZ57/'4.1 Comptes 2020 natures'!AZ2</f>
        <v>0</v>
      </c>
      <c r="BA57" s="4">
        <f>'4.1 Comptes 2020 natures'!BA57/'4.1 Comptes 2020 natures'!BA2</f>
        <v>0</v>
      </c>
      <c r="BB57" s="4">
        <f>'4.1 Comptes 2020 natures'!BB57/'4.1 Comptes 2020 natures'!BB2</f>
        <v>0</v>
      </c>
      <c r="BC57" s="4">
        <f>'4.1 Comptes 2020 natures'!BC57/'4.1 Comptes 2020 natures'!BC2</f>
        <v>0</v>
      </c>
      <c r="BD57" s="4">
        <f>'4.1 Comptes 2020 natures'!BD57/'4.1 Comptes 2020 natures'!BD2</f>
        <v>0</v>
      </c>
      <c r="BE57" s="4">
        <f>'4.1 Comptes 2020 natures'!BE57/'4.1 Comptes 2020 natures'!BE2</f>
        <v>0</v>
      </c>
      <c r="BF57" s="4">
        <f t="shared" ref="BF57:BF62" si="37">SUM(E57:BE57)</f>
        <v>0.51224669603524231</v>
      </c>
      <c r="BG57" s="4">
        <f t="shared" ref="BG57:BG62" si="38">SUM(E57:W57)</f>
        <v>0</v>
      </c>
      <c r="BH57" s="4">
        <f t="shared" ref="BH57:BH62" si="39">SUM(X57:AJ57)</f>
        <v>0</v>
      </c>
      <c r="BI57" s="4">
        <f t="shared" ref="BI57:BI62" si="40">SUM(AK57:BE57)</f>
        <v>0.51224669603524231</v>
      </c>
    </row>
    <row r="58" spans="2:61" x14ac:dyDescent="0.3">
      <c r="C58">
        <v>381</v>
      </c>
      <c r="D58" t="s">
        <v>123</v>
      </c>
      <c r="E58" s="4">
        <f>'4.1 Comptes 2020 natures'!E58/'4.1 Comptes 2020 natures'!E2</f>
        <v>0</v>
      </c>
      <c r="F58" s="4">
        <f>'4.1 Comptes 2020 natures'!F58/'4.1 Comptes 2020 natures'!F2</f>
        <v>0</v>
      </c>
      <c r="G58" s="4">
        <f>'4.1 Comptes 2020 natures'!G58/'4.1 Comptes 2020 natures'!G2</f>
        <v>0</v>
      </c>
      <c r="H58" s="4">
        <f>'4.1 Comptes 2020 natures'!H58/'4.1 Comptes 2020 natures'!H2</f>
        <v>0.7612107623318386</v>
      </c>
      <c r="I58" s="4">
        <f>'4.1 Comptes 2020 natures'!I58/'4.1 Comptes 2020 natures'!I2</f>
        <v>0</v>
      </c>
      <c r="J58" s="4">
        <f>'4.1 Comptes 2020 natures'!J58/'4.1 Comptes 2020 natures'!J2</f>
        <v>0</v>
      </c>
      <c r="K58" s="4">
        <f>'4.1 Comptes 2020 natures'!K58/'4.1 Comptes 2020 natures'!K2</f>
        <v>0</v>
      </c>
      <c r="L58" s="4">
        <f>'4.1 Comptes 2020 natures'!L58/'4.1 Comptes 2020 natures'!L2</f>
        <v>0</v>
      </c>
      <c r="M58" s="4">
        <f>'4.1 Comptes 2020 natures'!M58/'4.1 Comptes 2020 natures'!M2</f>
        <v>0</v>
      </c>
      <c r="N58" s="4">
        <f>'4.1 Comptes 2020 natures'!N58/'4.1 Comptes 2020 natures'!N2</f>
        <v>0</v>
      </c>
      <c r="O58" s="4">
        <f>'4.1 Comptes 2020 natures'!O58/'4.1 Comptes 2020 natures'!O2</f>
        <v>1.233158922840798</v>
      </c>
      <c r="P58" s="4">
        <f>'4.1 Comptes 2020 natures'!P58/'4.1 Comptes 2020 natures'!P2</f>
        <v>0</v>
      </c>
      <c r="Q58" s="4">
        <f>'4.1 Comptes 2020 natures'!Q58/'4.1 Comptes 2020 natures'!Q2</f>
        <v>0</v>
      </c>
      <c r="R58" s="4">
        <f>'4.1 Comptes 2020 natures'!R58/'4.1 Comptes 2020 natures'!R2</f>
        <v>0</v>
      </c>
      <c r="S58" s="4">
        <f>'4.1 Comptes 2020 natures'!S58/'4.1 Comptes 2020 natures'!S2</f>
        <v>0</v>
      </c>
      <c r="T58" s="4">
        <f>'4.1 Comptes 2020 natures'!T58/'4.1 Comptes 2020 natures'!T2</f>
        <v>1.4556040756914121E-4</v>
      </c>
      <c r="U58" s="4">
        <f>'4.1 Comptes 2020 natures'!U58/'4.1 Comptes 2020 natures'!U2</f>
        <v>0</v>
      </c>
      <c r="V58" s="4">
        <f>'4.1 Comptes 2020 natures'!V58/'4.1 Comptes 2020 natures'!V2</f>
        <v>0</v>
      </c>
      <c r="W58" s="4">
        <f>'4.1 Comptes 2020 natures'!W58/'4.1 Comptes 2020 natures'!W2</f>
        <v>0</v>
      </c>
      <c r="X58" s="4">
        <f>'4.1 Comptes 2020 natures'!X58/'4.1 Comptes 2020 natures'!X2</f>
        <v>0</v>
      </c>
      <c r="Y58" s="4">
        <f>'4.1 Comptes 2020 natures'!Y58/'4.1 Comptes 2020 natures'!Y2</f>
        <v>0</v>
      </c>
      <c r="Z58" s="4">
        <f>'4.1 Comptes 2020 natures'!Z58/'4.1 Comptes 2020 natures'!Z2</f>
        <v>0</v>
      </c>
      <c r="AA58" s="4">
        <f>'4.1 Comptes 2020 natures'!AA58/'4.1 Comptes 2020 natures'!AA2</f>
        <v>0</v>
      </c>
      <c r="AB58" s="4">
        <f>'4.1 Comptes 2020 natures'!AB58/'4.1 Comptes 2020 natures'!AB2</f>
        <v>0</v>
      </c>
      <c r="AC58" s="4">
        <f>'4.1 Comptes 2020 natures'!AC58/'4.1 Comptes 2020 natures'!AC2</f>
        <v>0</v>
      </c>
      <c r="AD58" s="4">
        <f>'4.1 Comptes 2020 natures'!AD58/'4.1 Comptes 2020 natures'!AD2</f>
        <v>0</v>
      </c>
      <c r="AE58" s="4">
        <f>'4.1 Comptes 2020 natures'!AE58/'4.1 Comptes 2020 natures'!AE2</f>
        <v>0</v>
      </c>
      <c r="AF58" s="4">
        <f>'4.1 Comptes 2020 natures'!AF58/'4.1 Comptes 2020 natures'!AF2</f>
        <v>0</v>
      </c>
      <c r="AG58" s="4">
        <f>'4.1 Comptes 2020 natures'!AG58/'4.1 Comptes 2020 natures'!AG2</f>
        <v>0</v>
      </c>
      <c r="AH58" s="4">
        <f>'4.1 Comptes 2020 natures'!AH58/'4.1 Comptes 2020 natures'!AH2</f>
        <v>0</v>
      </c>
      <c r="AI58" s="4">
        <f>'4.1 Comptes 2020 natures'!AI58/'4.1 Comptes 2020 natures'!AI2</f>
        <v>0</v>
      </c>
      <c r="AJ58" s="4">
        <f>'4.1 Comptes 2020 natures'!AJ58/'4.1 Comptes 2020 natures'!AJ2</f>
        <v>0</v>
      </c>
      <c r="AK58" s="4">
        <f>'4.1 Comptes 2020 natures'!AK58/'4.1 Comptes 2020 natures'!AK2</f>
        <v>0</v>
      </c>
      <c r="AL58" s="4">
        <f>'4.1 Comptes 2020 natures'!AL58/'4.1 Comptes 2020 natures'!AL2</f>
        <v>0</v>
      </c>
      <c r="AM58" s="4">
        <f>'4.1 Comptes 2020 natures'!AM58/'4.1 Comptes 2020 natures'!AM2</f>
        <v>0</v>
      </c>
      <c r="AN58" s="4">
        <f>'4.1 Comptes 2020 natures'!AN58/'4.1 Comptes 2020 natures'!AN2</f>
        <v>0</v>
      </c>
      <c r="AO58" s="4">
        <f>'4.1 Comptes 2020 natures'!AO58/'4.1 Comptes 2020 natures'!AO2</f>
        <v>0</v>
      </c>
      <c r="AP58" s="4">
        <f>'4.1 Comptes 2020 natures'!AP58/'4.1 Comptes 2020 natures'!AP2</f>
        <v>0</v>
      </c>
      <c r="AQ58" s="4">
        <f>'4.1 Comptes 2020 natures'!AQ58/'4.1 Comptes 2020 natures'!AQ2</f>
        <v>0</v>
      </c>
      <c r="AR58" s="4">
        <f>'4.1 Comptes 2020 natures'!AR58/'4.1 Comptes 2020 natures'!AR2</f>
        <v>0</v>
      </c>
      <c r="AS58" s="4">
        <f>'4.1 Comptes 2020 natures'!AS58/'4.1 Comptes 2020 natures'!AS2</f>
        <v>0</v>
      </c>
      <c r="AT58" s="4">
        <f>'4.1 Comptes 2020 natures'!AT58/'4.1 Comptes 2020 natures'!AT2</f>
        <v>0</v>
      </c>
      <c r="AU58" s="4">
        <f>'4.1 Comptes 2020 natures'!AU58/'4.1 Comptes 2020 natures'!AU2</f>
        <v>0</v>
      </c>
      <c r="AV58" s="4">
        <f>'4.1 Comptes 2020 natures'!AV58/'4.1 Comptes 2020 natures'!AV2</f>
        <v>0</v>
      </c>
      <c r="AW58" s="4">
        <f>'4.1 Comptes 2020 natures'!AW58/'4.1 Comptes 2020 natures'!AW2</f>
        <v>0</v>
      </c>
      <c r="AX58" s="4">
        <f>'4.1 Comptes 2020 natures'!AX58/'4.1 Comptes 2020 natures'!AX2</f>
        <v>0</v>
      </c>
      <c r="AY58" s="4">
        <f>'4.1 Comptes 2020 natures'!AY58/'4.1 Comptes 2020 natures'!AY2</f>
        <v>0</v>
      </c>
      <c r="AZ58" s="4">
        <f>'4.1 Comptes 2020 natures'!AZ58/'4.1 Comptes 2020 natures'!AZ2</f>
        <v>0</v>
      </c>
      <c r="BA58" s="4">
        <f>'4.1 Comptes 2020 natures'!BA58/'4.1 Comptes 2020 natures'!BA2</f>
        <v>0</v>
      </c>
      <c r="BB58" s="4">
        <f>'4.1 Comptes 2020 natures'!BB58/'4.1 Comptes 2020 natures'!BB2</f>
        <v>0</v>
      </c>
      <c r="BC58" s="4">
        <f>'4.1 Comptes 2020 natures'!BC58/'4.1 Comptes 2020 natures'!BC2</f>
        <v>0</v>
      </c>
      <c r="BD58" s="4">
        <f>'4.1 Comptes 2020 natures'!BD58/'4.1 Comptes 2020 natures'!BD2</f>
        <v>0</v>
      </c>
      <c r="BE58" s="4">
        <f>'4.1 Comptes 2020 natures'!BE58/'4.1 Comptes 2020 natures'!BE2</f>
        <v>0</v>
      </c>
      <c r="BF58" s="4">
        <f t="shared" si="37"/>
        <v>1.9945152455802058</v>
      </c>
      <c r="BG58" s="4">
        <f t="shared" si="38"/>
        <v>1.9945152455802058</v>
      </c>
      <c r="BH58" s="4">
        <f t="shared" si="39"/>
        <v>0</v>
      </c>
      <c r="BI58" s="4">
        <f t="shared" si="40"/>
        <v>0</v>
      </c>
    </row>
    <row r="59" spans="2:61" x14ac:dyDescent="0.3">
      <c r="C59">
        <v>384</v>
      </c>
      <c r="D59" t="s">
        <v>124</v>
      </c>
      <c r="E59" s="4">
        <f>'4.1 Comptes 2020 natures'!E59/'4.1 Comptes 2020 natures'!E2</f>
        <v>0</v>
      </c>
      <c r="F59" s="4">
        <f>'4.1 Comptes 2020 natures'!F59/'4.1 Comptes 2020 natures'!F2</f>
        <v>0</v>
      </c>
      <c r="G59" s="4">
        <f>'4.1 Comptes 2020 natures'!G59/'4.1 Comptes 2020 natures'!G2</f>
        <v>0</v>
      </c>
      <c r="H59" s="4">
        <f>'4.1 Comptes 2020 natures'!H59/'4.1 Comptes 2020 natures'!H2</f>
        <v>0</v>
      </c>
      <c r="I59" s="4">
        <f>'4.1 Comptes 2020 natures'!I59/'4.1 Comptes 2020 natures'!I2</f>
        <v>2.9129716331589093E-2</v>
      </c>
      <c r="J59" s="4">
        <f>'4.1 Comptes 2020 natures'!J59/'4.1 Comptes 2020 natures'!J2</f>
        <v>0</v>
      </c>
      <c r="K59" s="4">
        <f>'4.1 Comptes 2020 natures'!K59/'4.1 Comptes 2020 natures'!K2</f>
        <v>0</v>
      </c>
      <c r="L59" s="4">
        <f>'4.1 Comptes 2020 natures'!L59/'4.1 Comptes 2020 natures'!L2</f>
        <v>0</v>
      </c>
      <c r="M59" s="4">
        <f>'4.1 Comptes 2020 natures'!M59/'4.1 Comptes 2020 natures'!M2</f>
        <v>0</v>
      </c>
      <c r="N59" s="4">
        <f>'4.1 Comptes 2020 natures'!N59/'4.1 Comptes 2020 natures'!N2</f>
        <v>0</v>
      </c>
      <c r="O59" s="4">
        <f>'4.1 Comptes 2020 natures'!O59/'4.1 Comptes 2020 natures'!O2</f>
        <v>0</v>
      </c>
      <c r="P59" s="4">
        <f>'4.1 Comptes 2020 natures'!P59/'4.1 Comptes 2020 natures'!P2</f>
        <v>0</v>
      </c>
      <c r="Q59" s="4">
        <f>'4.1 Comptes 2020 natures'!Q59/'4.1 Comptes 2020 natures'!Q2</f>
        <v>0</v>
      </c>
      <c r="R59" s="4">
        <f>'4.1 Comptes 2020 natures'!R59/'4.1 Comptes 2020 natures'!R2</f>
        <v>0</v>
      </c>
      <c r="S59" s="4">
        <f>'4.1 Comptes 2020 natures'!S59/'4.1 Comptes 2020 natures'!S2</f>
        <v>0</v>
      </c>
      <c r="T59" s="4">
        <f>'4.1 Comptes 2020 natures'!T59/'4.1 Comptes 2020 natures'!T2</f>
        <v>0</v>
      </c>
      <c r="U59" s="4">
        <f>'4.1 Comptes 2020 natures'!U59/'4.1 Comptes 2020 natures'!U2</f>
        <v>0</v>
      </c>
      <c r="V59" s="4">
        <f>'4.1 Comptes 2020 natures'!V59/'4.1 Comptes 2020 natures'!V2</f>
        <v>0</v>
      </c>
      <c r="W59" s="4">
        <f>'4.1 Comptes 2020 natures'!W59/'4.1 Comptes 2020 natures'!W2</f>
        <v>0</v>
      </c>
      <c r="X59" s="4">
        <f>'4.1 Comptes 2020 natures'!X59/'4.1 Comptes 2020 natures'!X2</f>
        <v>0</v>
      </c>
      <c r="Y59" s="4">
        <f>'4.1 Comptes 2020 natures'!Y59/'4.1 Comptes 2020 natures'!Y2</f>
        <v>0</v>
      </c>
      <c r="Z59" s="4">
        <f>'4.1 Comptes 2020 natures'!Z59/'4.1 Comptes 2020 natures'!Z2</f>
        <v>0</v>
      </c>
      <c r="AA59" s="4">
        <f>'4.1 Comptes 2020 natures'!AA59/'4.1 Comptes 2020 natures'!AA2</f>
        <v>0</v>
      </c>
      <c r="AB59" s="4">
        <f>'4.1 Comptes 2020 natures'!AB59/'4.1 Comptes 2020 natures'!AB2</f>
        <v>0</v>
      </c>
      <c r="AC59" s="4">
        <f>'4.1 Comptes 2020 natures'!AC59/'4.1 Comptes 2020 natures'!AC2</f>
        <v>4.7093023255813957</v>
      </c>
      <c r="AD59" s="4">
        <f>'4.1 Comptes 2020 natures'!AD59/'4.1 Comptes 2020 natures'!AD2</f>
        <v>0</v>
      </c>
      <c r="AE59" s="4">
        <f>'4.1 Comptes 2020 natures'!AE59/'4.1 Comptes 2020 natures'!AE2</f>
        <v>0</v>
      </c>
      <c r="AF59" s="4">
        <f>'4.1 Comptes 2020 natures'!AF59/'4.1 Comptes 2020 natures'!AF2</f>
        <v>0</v>
      </c>
      <c r="AG59" s="4">
        <f>'4.1 Comptes 2020 natures'!AG59/'4.1 Comptes 2020 natures'!AG2</f>
        <v>0</v>
      </c>
      <c r="AH59" s="4">
        <f>'4.1 Comptes 2020 natures'!AH59/'4.1 Comptes 2020 natures'!AH2</f>
        <v>0</v>
      </c>
      <c r="AI59" s="4">
        <f>'4.1 Comptes 2020 natures'!AI59/'4.1 Comptes 2020 natures'!AI2</f>
        <v>0</v>
      </c>
      <c r="AJ59" s="4">
        <f>'4.1 Comptes 2020 natures'!AJ59/'4.1 Comptes 2020 natures'!AJ2</f>
        <v>0</v>
      </c>
      <c r="AK59" s="4">
        <f>'4.1 Comptes 2020 natures'!AK59/'4.1 Comptes 2020 natures'!AK2</f>
        <v>0</v>
      </c>
      <c r="AL59" s="4">
        <f>'4.1 Comptes 2020 natures'!AL59/'4.1 Comptes 2020 natures'!AL2</f>
        <v>0</v>
      </c>
      <c r="AM59" s="4">
        <f>'4.1 Comptes 2020 natures'!AM59/'4.1 Comptes 2020 natures'!AM2</f>
        <v>0</v>
      </c>
      <c r="AN59" s="4">
        <f>'4.1 Comptes 2020 natures'!AN59/'4.1 Comptes 2020 natures'!AN2</f>
        <v>3.8491596638655463</v>
      </c>
      <c r="AO59" s="4">
        <f>'4.1 Comptes 2020 natures'!AO59/'4.1 Comptes 2020 natures'!AO2</f>
        <v>0</v>
      </c>
      <c r="AP59" s="4">
        <f>'4.1 Comptes 2020 natures'!AP59/'4.1 Comptes 2020 natures'!AP2</f>
        <v>0</v>
      </c>
      <c r="AQ59" s="4">
        <f>'4.1 Comptes 2020 natures'!AQ59/'4.1 Comptes 2020 natures'!AQ2</f>
        <v>0</v>
      </c>
      <c r="AR59" s="4">
        <f>'4.1 Comptes 2020 natures'!AR59/'4.1 Comptes 2020 natures'!AR2</f>
        <v>0</v>
      </c>
      <c r="AS59" s="4">
        <f>'4.1 Comptes 2020 natures'!AS59/'4.1 Comptes 2020 natures'!AS2</f>
        <v>0</v>
      </c>
      <c r="AT59" s="4">
        <f>'4.1 Comptes 2020 natures'!AT59/'4.1 Comptes 2020 natures'!AT2</f>
        <v>0</v>
      </c>
      <c r="AU59" s="4">
        <f>'4.1 Comptes 2020 natures'!AU59/'4.1 Comptes 2020 natures'!AU2</f>
        <v>0</v>
      </c>
      <c r="AV59" s="4">
        <f>'4.1 Comptes 2020 natures'!AV59/'4.1 Comptes 2020 natures'!AV2</f>
        <v>0</v>
      </c>
      <c r="AW59" s="4">
        <f>'4.1 Comptes 2020 natures'!AW59/'4.1 Comptes 2020 natures'!AW2</f>
        <v>0</v>
      </c>
      <c r="AX59" s="4">
        <f>'4.1 Comptes 2020 natures'!AX59/'4.1 Comptes 2020 natures'!AX2</f>
        <v>0</v>
      </c>
      <c r="AY59" s="4">
        <f>'4.1 Comptes 2020 natures'!AY59/'4.1 Comptes 2020 natures'!AY2</f>
        <v>0</v>
      </c>
      <c r="AZ59" s="4">
        <f>'4.1 Comptes 2020 natures'!AZ59/'4.1 Comptes 2020 natures'!AZ2</f>
        <v>0</v>
      </c>
      <c r="BA59" s="4">
        <f>'4.1 Comptes 2020 natures'!BA59/'4.1 Comptes 2020 natures'!BA2</f>
        <v>0</v>
      </c>
      <c r="BB59" s="4">
        <f>'4.1 Comptes 2020 natures'!BB59/'4.1 Comptes 2020 natures'!BB2</f>
        <v>0</v>
      </c>
      <c r="BC59" s="4">
        <f>'4.1 Comptes 2020 natures'!BC59/'4.1 Comptes 2020 natures'!BC2</f>
        <v>0</v>
      </c>
      <c r="BD59" s="4">
        <f>'4.1 Comptes 2020 natures'!BD59/'4.1 Comptes 2020 natures'!BD2</f>
        <v>1.4149829033260801</v>
      </c>
      <c r="BE59" s="4">
        <f>'4.1 Comptes 2020 natures'!BE59/'4.1 Comptes 2020 natures'!BE2</f>
        <v>0</v>
      </c>
      <c r="BF59" s="4">
        <f t="shared" si="37"/>
        <v>10.002574609104611</v>
      </c>
      <c r="BG59" s="4">
        <f t="shared" si="38"/>
        <v>2.9129716331589093E-2</v>
      </c>
      <c r="BH59" s="4">
        <f t="shared" si="39"/>
        <v>4.7093023255813957</v>
      </c>
      <c r="BI59" s="4">
        <f t="shared" si="40"/>
        <v>5.2641425671916267</v>
      </c>
    </row>
    <row r="60" spans="2:61" x14ac:dyDescent="0.3">
      <c r="C60">
        <v>385</v>
      </c>
      <c r="D60" t="s">
        <v>125</v>
      </c>
      <c r="E60" s="4">
        <f>'4.1 Comptes 2020 natures'!E60/'4.1 Comptes 2020 natures'!E2</f>
        <v>0</v>
      </c>
      <c r="F60" s="4">
        <f>'4.1 Comptes 2020 natures'!F60/'4.1 Comptes 2020 natures'!F2</f>
        <v>0</v>
      </c>
      <c r="G60" s="4">
        <f>'4.1 Comptes 2020 natures'!G60/'4.1 Comptes 2020 natures'!G2</f>
        <v>0</v>
      </c>
      <c r="H60" s="4">
        <f>'4.1 Comptes 2020 natures'!H60/'4.1 Comptes 2020 natures'!H2</f>
        <v>0</v>
      </c>
      <c r="I60" s="4">
        <f>'4.1 Comptes 2020 natures'!I60/'4.1 Comptes 2020 natures'!I2</f>
        <v>0</v>
      </c>
      <c r="J60" s="4">
        <f>'4.1 Comptes 2020 natures'!J60/'4.1 Comptes 2020 natures'!J2</f>
        <v>0</v>
      </c>
      <c r="K60" s="4">
        <f>'4.1 Comptes 2020 natures'!K60/'4.1 Comptes 2020 natures'!K2</f>
        <v>0</v>
      </c>
      <c r="L60" s="4">
        <f>'4.1 Comptes 2020 natures'!L60/'4.1 Comptes 2020 natures'!L2</f>
        <v>0</v>
      </c>
      <c r="M60" s="4">
        <f>'4.1 Comptes 2020 natures'!M60/'4.1 Comptes 2020 natures'!M2</f>
        <v>0</v>
      </c>
      <c r="N60" s="4">
        <f>'4.1 Comptes 2020 natures'!N60/'4.1 Comptes 2020 natures'!N2</f>
        <v>0</v>
      </c>
      <c r="O60" s="4">
        <f>'4.1 Comptes 2020 natures'!O60/'4.1 Comptes 2020 natures'!O2</f>
        <v>0</v>
      </c>
      <c r="P60" s="4">
        <f>'4.1 Comptes 2020 natures'!P60/'4.1 Comptes 2020 natures'!P2</f>
        <v>0</v>
      </c>
      <c r="Q60" s="4">
        <f>'4.1 Comptes 2020 natures'!Q60/'4.1 Comptes 2020 natures'!Q2</f>
        <v>0</v>
      </c>
      <c r="R60" s="4">
        <f>'4.1 Comptes 2020 natures'!R60/'4.1 Comptes 2020 natures'!R2</f>
        <v>0</v>
      </c>
      <c r="S60" s="4">
        <f>'4.1 Comptes 2020 natures'!S60/'4.1 Comptes 2020 natures'!S2</f>
        <v>0</v>
      </c>
      <c r="T60" s="4">
        <f>'4.1 Comptes 2020 natures'!T60/'4.1 Comptes 2020 natures'!T2</f>
        <v>0</v>
      </c>
      <c r="U60" s="4">
        <f>'4.1 Comptes 2020 natures'!U60/'4.1 Comptes 2020 natures'!U2</f>
        <v>0</v>
      </c>
      <c r="V60" s="4">
        <f>'4.1 Comptes 2020 natures'!V60/'4.1 Comptes 2020 natures'!V2</f>
        <v>0</v>
      </c>
      <c r="W60" s="4">
        <f>'4.1 Comptes 2020 natures'!W60/'4.1 Comptes 2020 natures'!W2</f>
        <v>0</v>
      </c>
      <c r="X60" s="4">
        <f>'4.1 Comptes 2020 natures'!X60/'4.1 Comptes 2020 natures'!X2</f>
        <v>0</v>
      </c>
      <c r="Y60" s="4">
        <f>'4.1 Comptes 2020 natures'!Y60/'4.1 Comptes 2020 natures'!Y2</f>
        <v>0</v>
      </c>
      <c r="Z60" s="4">
        <f>'4.1 Comptes 2020 natures'!Z60/'4.1 Comptes 2020 natures'!Z2</f>
        <v>0</v>
      </c>
      <c r="AA60" s="4">
        <f>'4.1 Comptes 2020 natures'!AA60/'4.1 Comptes 2020 natures'!AA2</f>
        <v>0</v>
      </c>
      <c r="AB60" s="4">
        <f>'4.1 Comptes 2020 natures'!AB60/'4.1 Comptes 2020 natures'!AB2</f>
        <v>0</v>
      </c>
      <c r="AC60" s="4">
        <f>'4.1 Comptes 2020 natures'!AC60/'4.1 Comptes 2020 natures'!AC2</f>
        <v>0</v>
      </c>
      <c r="AD60" s="4">
        <f>'4.1 Comptes 2020 natures'!AD60/'4.1 Comptes 2020 natures'!AD2</f>
        <v>0</v>
      </c>
      <c r="AE60" s="4">
        <f>'4.1 Comptes 2020 natures'!AE60/'4.1 Comptes 2020 natures'!AE2</f>
        <v>0</v>
      </c>
      <c r="AF60" s="4">
        <f>'4.1 Comptes 2020 natures'!AF60/'4.1 Comptes 2020 natures'!AF2</f>
        <v>0</v>
      </c>
      <c r="AG60" s="4">
        <f>'4.1 Comptes 2020 natures'!AG60/'4.1 Comptes 2020 natures'!AG2</f>
        <v>0</v>
      </c>
      <c r="AH60" s="4">
        <f>'4.1 Comptes 2020 natures'!AH60/'4.1 Comptes 2020 natures'!AH2</f>
        <v>0</v>
      </c>
      <c r="AI60" s="4">
        <f>'4.1 Comptes 2020 natures'!AI60/'4.1 Comptes 2020 natures'!AI2</f>
        <v>0</v>
      </c>
      <c r="AJ60" s="4">
        <f>'4.1 Comptes 2020 natures'!AJ60/'4.1 Comptes 2020 natures'!AJ2</f>
        <v>0</v>
      </c>
      <c r="AK60" s="4">
        <f>'4.1 Comptes 2020 natures'!AK60/'4.1 Comptes 2020 natures'!AK2</f>
        <v>0</v>
      </c>
      <c r="AL60" s="4">
        <f>'4.1 Comptes 2020 natures'!AL60/'4.1 Comptes 2020 natures'!AL2</f>
        <v>0</v>
      </c>
      <c r="AM60" s="4">
        <f>'4.1 Comptes 2020 natures'!AM60/'4.1 Comptes 2020 natures'!AM2</f>
        <v>0</v>
      </c>
      <c r="AN60" s="4">
        <f>'4.1 Comptes 2020 natures'!AN60/'4.1 Comptes 2020 natures'!AN2</f>
        <v>0</v>
      </c>
      <c r="AO60" s="4">
        <f>'4.1 Comptes 2020 natures'!AO60/'4.1 Comptes 2020 natures'!AO2</f>
        <v>0</v>
      </c>
      <c r="AP60" s="4">
        <f>'4.1 Comptes 2020 natures'!AP60/'4.1 Comptes 2020 natures'!AP2</f>
        <v>0</v>
      </c>
      <c r="AQ60" s="4">
        <f>'4.1 Comptes 2020 natures'!AQ60/'4.1 Comptes 2020 natures'!AQ2</f>
        <v>0</v>
      </c>
      <c r="AR60" s="4">
        <f>'4.1 Comptes 2020 natures'!AR60/'4.1 Comptes 2020 natures'!AR2</f>
        <v>19.794140934283451</v>
      </c>
      <c r="AS60" s="4">
        <f>'4.1 Comptes 2020 natures'!AS60/'4.1 Comptes 2020 natures'!AS2</f>
        <v>0</v>
      </c>
      <c r="AT60" s="4">
        <f>'4.1 Comptes 2020 natures'!AT60/'4.1 Comptes 2020 natures'!AT2</f>
        <v>0</v>
      </c>
      <c r="AU60" s="4">
        <f>'4.1 Comptes 2020 natures'!AU60/'4.1 Comptes 2020 natures'!AU2</f>
        <v>0</v>
      </c>
      <c r="AV60" s="4">
        <f>'4.1 Comptes 2020 natures'!AV60/'4.1 Comptes 2020 natures'!AV2</f>
        <v>0</v>
      </c>
      <c r="AW60" s="4">
        <f>'4.1 Comptes 2020 natures'!AW60/'4.1 Comptes 2020 natures'!AW2</f>
        <v>0</v>
      </c>
      <c r="AX60" s="4">
        <f>'4.1 Comptes 2020 natures'!AX60/'4.1 Comptes 2020 natures'!AX2</f>
        <v>0</v>
      </c>
      <c r="AY60" s="4">
        <f>'4.1 Comptes 2020 natures'!AY60/'4.1 Comptes 2020 natures'!AY2</f>
        <v>0</v>
      </c>
      <c r="AZ60" s="4">
        <f>'4.1 Comptes 2020 natures'!AZ60/'4.1 Comptes 2020 natures'!AZ2</f>
        <v>0</v>
      </c>
      <c r="BA60" s="4">
        <f>'4.1 Comptes 2020 natures'!BA60/'4.1 Comptes 2020 natures'!BA2</f>
        <v>0</v>
      </c>
      <c r="BB60" s="4">
        <f>'4.1 Comptes 2020 natures'!BB60/'4.1 Comptes 2020 natures'!BB2</f>
        <v>0</v>
      </c>
      <c r="BC60" s="4">
        <f>'4.1 Comptes 2020 natures'!BC60/'4.1 Comptes 2020 natures'!BC2</f>
        <v>0</v>
      </c>
      <c r="BD60" s="4">
        <f>'4.1 Comptes 2020 natures'!BD60/'4.1 Comptes 2020 natures'!BD2</f>
        <v>0</v>
      </c>
      <c r="BE60" s="4">
        <f>'4.1 Comptes 2020 natures'!BE60/'4.1 Comptes 2020 natures'!BE2</f>
        <v>0</v>
      </c>
      <c r="BF60" s="4">
        <f t="shared" si="37"/>
        <v>19.794140934283451</v>
      </c>
      <c r="BG60" s="4">
        <f t="shared" si="38"/>
        <v>0</v>
      </c>
      <c r="BH60" s="4">
        <f t="shared" si="39"/>
        <v>0</v>
      </c>
      <c r="BI60" s="4">
        <f t="shared" si="40"/>
        <v>19.794140934283451</v>
      </c>
    </row>
    <row r="61" spans="2:61" x14ac:dyDescent="0.3">
      <c r="C61">
        <v>386</v>
      </c>
      <c r="D61" t="s">
        <v>126</v>
      </c>
      <c r="E61" s="4">
        <f>'4.1 Comptes 2020 natures'!E61/'4.1 Comptes 2020 natures'!E2</f>
        <v>0</v>
      </c>
      <c r="F61" s="4">
        <f>'4.1 Comptes 2020 natures'!F61/'4.1 Comptes 2020 natures'!F2</f>
        <v>0</v>
      </c>
      <c r="G61" s="4">
        <f>'4.1 Comptes 2020 natures'!G61/'4.1 Comptes 2020 natures'!G2</f>
        <v>0</v>
      </c>
      <c r="H61" s="4">
        <f>'4.1 Comptes 2020 natures'!H61/'4.1 Comptes 2020 natures'!H2</f>
        <v>0</v>
      </c>
      <c r="I61" s="4">
        <f>'4.1 Comptes 2020 natures'!I61/'4.1 Comptes 2020 natures'!I2</f>
        <v>0</v>
      </c>
      <c r="J61" s="4">
        <f>'4.1 Comptes 2020 natures'!J61/'4.1 Comptes 2020 natures'!J2</f>
        <v>0</v>
      </c>
      <c r="K61" s="4">
        <f>'4.1 Comptes 2020 natures'!K61/'4.1 Comptes 2020 natures'!K2</f>
        <v>0</v>
      </c>
      <c r="L61" s="4">
        <f>'4.1 Comptes 2020 natures'!L61/'4.1 Comptes 2020 natures'!L2</f>
        <v>0</v>
      </c>
      <c r="M61" s="4">
        <f>'4.1 Comptes 2020 natures'!M61/'4.1 Comptes 2020 natures'!M2</f>
        <v>0</v>
      </c>
      <c r="N61" s="4">
        <f>'4.1 Comptes 2020 natures'!N61/'4.1 Comptes 2020 natures'!N2</f>
        <v>0</v>
      </c>
      <c r="O61" s="4">
        <f>'4.1 Comptes 2020 natures'!O61/'4.1 Comptes 2020 natures'!O2</f>
        <v>0</v>
      </c>
      <c r="P61" s="4">
        <f>'4.1 Comptes 2020 natures'!P61/'4.1 Comptes 2020 natures'!P2</f>
        <v>0</v>
      </c>
      <c r="Q61" s="4">
        <f>'4.1 Comptes 2020 natures'!Q61/'4.1 Comptes 2020 natures'!Q2</f>
        <v>0</v>
      </c>
      <c r="R61" s="4">
        <f>'4.1 Comptes 2020 natures'!R61/'4.1 Comptes 2020 natures'!R2</f>
        <v>0</v>
      </c>
      <c r="S61" s="4">
        <f>'4.1 Comptes 2020 natures'!S61/'4.1 Comptes 2020 natures'!S2</f>
        <v>0</v>
      </c>
      <c r="T61" s="4">
        <f>'4.1 Comptes 2020 natures'!T61/'4.1 Comptes 2020 natures'!T2</f>
        <v>0</v>
      </c>
      <c r="U61" s="4">
        <f>'4.1 Comptes 2020 natures'!U61/'4.1 Comptes 2020 natures'!U2</f>
        <v>0</v>
      </c>
      <c r="V61" s="4">
        <f>'4.1 Comptes 2020 natures'!V61/'4.1 Comptes 2020 natures'!V2</f>
        <v>0</v>
      </c>
      <c r="W61" s="4">
        <f>'4.1 Comptes 2020 natures'!W61/'4.1 Comptes 2020 natures'!W2</f>
        <v>0</v>
      </c>
      <c r="X61" s="4">
        <f>'4.1 Comptes 2020 natures'!X61/'4.1 Comptes 2020 natures'!X2</f>
        <v>0</v>
      </c>
      <c r="Y61" s="4">
        <f>'4.1 Comptes 2020 natures'!Y61/'4.1 Comptes 2020 natures'!Y2</f>
        <v>0</v>
      </c>
      <c r="Z61" s="4">
        <f>'4.1 Comptes 2020 natures'!Z61/'4.1 Comptes 2020 natures'!Z2</f>
        <v>0</v>
      </c>
      <c r="AA61" s="4">
        <f>'4.1 Comptes 2020 natures'!AA61/'4.1 Comptes 2020 natures'!AA2</f>
        <v>0</v>
      </c>
      <c r="AB61" s="4">
        <f>'4.1 Comptes 2020 natures'!AB61/'4.1 Comptes 2020 natures'!AB2</f>
        <v>0</v>
      </c>
      <c r="AC61" s="4">
        <f>'4.1 Comptes 2020 natures'!AC61/'4.1 Comptes 2020 natures'!AC2</f>
        <v>0</v>
      </c>
      <c r="AD61" s="4">
        <f>'4.1 Comptes 2020 natures'!AD61/'4.1 Comptes 2020 natures'!AD2</f>
        <v>0</v>
      </c>
      <c r="AE61" s="4">
        <f>'4.1 Comptes 2020 natures'!AE61/'4.1 Comptes 2020 natures'!AE2</f>
        <v>0</v>
      </c>
      <c r="AF61" s="4">
        <f>'4.1 Comptes 2020 natures'!AF61/'4.1 Comptes 2020 natures'!AF2</f>
        <v>0</v>
      </c>
      <c r="AG61" s="4">
        <f>'4.1 Comptes 2020 natures'!AG61/'4.1 Comptes 2020 natures'!AG2</f>
        <v>0</v>
      </c>
      <c r="AH61" s="4">
        <f>'4.1 Comptes 2020 natures'!AH61/'4.1 Comptes 2020 natures'!AH2</f>
        <v>0</v>
      </c>
      <c r="AI61" s="4">
        <f>'4.1 Comptes 2020 natures'!AI61/'4.1 Comptes 2020 natures'!AI2</f>
        <v>0</v>
      </c>
      <c r="AJ61" s="4">
        <f>'4.1 Comptes 2020 natures'!AJ61/'4.1 Comptes 2020 natures'!AJ2</f>
        <v>0</v>
      </c>
      <c r="AK61" s="4">
        <f>'4.1 Comptes 2020 natures'!AK61/'4.1 Comptes 2020 natures'!AK2</f>
        <v>0</v>
      </c>
      <c r="AL61" s="4">
        <f>'4.1 Comptes 2020 natures'!AL61/'4.1 Comptes 2020 natures'!AL2</f>
        <v>0</v>
      </c>
      <c r="AM61" s="4">
        <f>'4.1 Comptes 2020 natures'!AM61/'4.1 Comptes 2020 natures'!AM2</f>
        <v>0</v>
      </c>
      <c r="AN61" s="4">
        <f>'4.1 Comptes 2020 natures'!AN61/'4.1 Comptes 2020 natures'!AN2</f>
        <v>0</v>
      </c>
      <c r="AO61" s="4">
        <f>'4.1 Comptes 2020 natures'!AO61/'4.1 Comptes 2020 natures'!AO2</f>
        <v>0</v>
      </c>
      <c r="AP61" s="4">
        <f>'4.1 Comptes 2020 natures'!AP61/'4.1 Comptes 2020 natures'!AP2</f>
        <v>0</v>
      </c>
      <c r="AQ61" s="4">
        <f>'4.1 Comptes 2020 natures'!AQ61/'4.1 Comptes 2020 natures'!AQ2</f>
        <v>0</v>
      </c>
      <c r="AR61" s="4">
        <f>'4.1 Comptes 2020 natures'!AR61/'4.1 Comptes 2020 natures'!AR2</f>
        <v>0</v>
      </c>
      <c r="AS61" s="4">
        <f>'4.1 Comptes 2020 natures'!AS61/'4.1 Comptes 2020 natures'!AS2</f>
        <v>0</v>
      </c>
      <c r="AT61" s="4">
        <f>'4.1 Comptes 2020 natures'!AT61/'4.1 Comptes 2020 natures'!AT2</f>
        <v>0</v>
      </c>
      <c r="AU61" s="4">
        <f>'4.1 Comptes 2020 natures'!AU61/'4.1 Comptes 2020 natures'!AU2</f>
        <v>0</v>
      </c>
      <c r="AV61" s="4">
        <f>'4.1 Comptes 2020 natures'!AV61/'4.1 Comptes 2020 natures'!AV2</f>
        <v>0</v>
      </c>
      <c r="AW61" s="4">
        <f>'4.1 Comptes 2020 natures'!AW61/'4.1 Comptes 2020 natures'!AW2</f>
        <v>0</v>
      </c>
      <c r="AX61" s="4">
        <f>'4.1 Comptes 2020 natures'!AX61/'4.1 Comptes 2020 natures'!AX2</f>
        <v>0</v>
      </c>
      <c r="AY61" s="4">
        <f>'4.1 Comptes 2020 natures'!AY61/'4.1 Comptes 2020 natures'!AY2</f>
        <v>0</v>
      </c>
      <c r="AZ61" s="4">
        <f>'4.1 Comptes 2020 natures'!AZ61/'4.1 Comptes 2020 natures'!AZ2</f>
        <v>0</v>
      </c>
      <c r="BA61" s="4">
        <f>'4.1 Comptes 2020 natures'!BA61/'4.1 Comptes 2020 natures'!BA2</f>
        <v>0</v>
      </c>
      <c r="BB61" s="4">
        <f>'4.1 Comptes 2020 natures'!BB61/'4.1 Comptes 2020 natures'!BB2</f>
        <v>0</v>
      </c>
      <c r="BC61" s="4">
        <f>'4.1 Comptes 2020 natures'!BC61/'4.1 Comptes 2020 natures'!BC2</f>
        <v>0</v>
      </c>
      <c r="BD61" s="4">
        <f>'4.1 Comptes 2020 natures'!BD61/'4.1 Comptes 2020 natures'!BD2</f>
        <v>0</v>
      </c>
      <c r="BE61" s="4">
        <f>'4.1 Comptes 2020 natures'!BE61/'4.1 Comptes 2020 natures'!BE2</f>
        <v>0</v>
      </c>
      <c r="BF61" s="4">
        <f t="shared" si="37"/>
        <v>0</v>
      </c>
      <c r="BG61" s="4">
        <f t="shared" si="38"/>
        <v>0</v>
      </c>
      <c r="BH61" s="4">
        <f t="shared" si="39"/>
        <v>0</v>
      </c>
      <c r="BI61" s="4">
        <f t="shared" si="40"/>
        <v>0</v>
      </c>
    </row>
    <row r="62" spans="2:61" x14ac:dyDescent="0.3">
      <c r="C62">
        <v>389</v>
      </c>
      <c r="D62" t="s">
        <v>127</v>
      </c>
      <c r="E62" s="4">
        <f>'4.1 Comptes 2020 natures'!E62/'4.1 Comptes 2020 natures'!E2</f>
        <v>346.69555796316359</v>
      </c>
      <c r="F62" s="4">
        <f>'4.1 Comptes 2020 natures'!F62/'4.1 Comptes 2020 natures'!F2</f>
        <v>0</v>
      </c>
      <c r="G62" s="4">
        <f>'4.1 Comptes 2020 natures'!G62/'4.1 Comptes 2020 natures'!G2</f>
        <v>0</v>
      </c>
      <c r="H62" s="4">
        <f>'4.1 Comptes 2020 natures'!H62/'4.1 Comptes 2020 natures'!H2</f>
        <v>0.45221973094170403</v>
      </c>
      <c r="I62" s="4">
        <f>'4.1 Comptes 2020 natures'!I62/'4.1 Comptes 2020 natures'!I2</f>
        <v>0</v>
      </c>
      <c r="J62" s="4">
        <f>'4.1 Comptes 2020 natures'!J62/'4.1 Comptes 2020 natures'!J2</f>
        <v>120.73649260488983</v>
      </c>
      <c r="K62" s="4">
        <f>'4.1 Comptes 2020 natures'!K62/'4.1 Comptes 2020 natures'!K2</f>
        <v>0</v>
      </c>
      <c r="L62" s="4">
        <f>'4.1 Comptes 2020 natures'!L62/'4.1 Comptes 2020 natures'!L2</f>
        <v>0</v>
      </c>
      <c r="M62" s="4">
        <f>'4.1 Comptes 2020 natures'!M62/'4.1 Comptes 2020 natures'!M2</f>
        <v>0</v>
      </c>
      <c r="N62" s="4">
        <f>'4.1 Comptes 2020 natures'!N62/'4.1 Comptes 2020 natures'!N2</f>
        <v>0</v>
      </c>
      <c r="O62" s="4">
        <f>'4.1 Comptes 2020 natures'!O62/'4.1 Comptes 2020 natures'!O2</f>
        <v>0</v>
      </c>
      <c r="P62" s="4">
        <f>'4.1 Comptes 2020 natures'!P62/'4.1 Comptes 2020 natures'!P2</f>
        <v>15.771893939393939</v>
      </c>
      <c r="Q62" s="4">
        <f>'4.1 Comptes 2020 natures'!Q62/'4.1 Comptes 2020 natures'!Q2</f>
        <v>0</v>
      </c>
      <c r="R62" s="4">
        <f>'4.1 Comptes 2020 natures'!R62/'4.1 Comptes 2020 natures'!R2</f>
        <v>0</v>
      </c>
      <c r="S62" s="4">
        <f>'4.1 Comptes 2020 natures'!S62/'4.1 Comptes 2020 natures'!S2</f>
        <v>0</v>
      </c>
      <c r="T62" s="4">
        <f>'4.1 Comptes 2020 natures'!T62/'4.1 Comptes 2020 natures'!T2</f>
        <v>0</v>
      </c>
      <c r="U62" s="4">
        <f>'4.1 Comptes 2020 natures'!U62/'4.1 Comptes 2020 natures'!U2</f>
        <v>0</v>
      </c>
      <c r="V62" s="4">
        <f>'4.1 Comptes 2020 natures'!V62/'4.1 Comptes 2020 natures'!V2</f>
        <v>0</v>
      </c>
      <c r="W62" s="4">
        <f>'4.1 Comptes 2020 natures'!W62/'4.1 Comptes 2020 natures'!W2</f>
        <v>78.369905956112859</v>
      </c>
      <c r="X62" s="4">
        <f>'4.1 Comptes 2020 natures'!X62/'4.1 Comptes 2020 natures'!X2</f>
        <v>216.04938271604939</v>
      </c>
      <c r="Y62" s="4">
        <f>'4.1 Comptes 2020 natures'!Y62/'4.1 Comptes 2020 natures'!Y2</f>
        <v>0</v>
      </c>
      <c r="Z62" s="4">
        <f>'4.1 Comptes 2020 natures'!Z62/'4.1 Comptes 2020 natures'!Z2</f>
        <v>0</v>
      </c>
      <c r="AA62" s="4">
        <f>'4.1 Comptes 2020 natures'!AA62/'4.1 Comptes 2020 natures'!AA2</f>
        <v>0</v>
      </c>
      <c r="AB62" s="4">
        <f>'4.1 Comptes 2020 natures'!AB62/'4.1 Comptes 2020 natures'!AB2</f>
        <v>0</v>
      </c>
      <c r="AC62" s="4">
        <f>'4.1 Comptes 2020 natures'!AC62/'4.1 Comptes 2020 natures'!AC2</f>
        <v>0</v>
      </c>
      <c r="AD62" s="4">
        <f>'4.1 Comptes 2020 natures'!AD62/'4.1 Comptes 2020 natures'!AD2</f>
        <v>0</v>
      </c>
      <c r="AE62" s="4">
        <f>'4.1 Comptes 2020 natures'!AE62/'4.1 Comptes 2020 natures'!AE2</f>
        <v>0</v>
      </c>
      <c r="AF62" s="4">
        <f>'4.1 Comptes 2020 natures'!AF62/'4.1 Comptes 2020 natures'!AF2</f>
        <v>816.32653061224494</v>
      </c>
      <c r="AG62" s="4">
        <f>'4.1 Comptes 2020 natures'!AG62/'4.1 Comptes 2020 natures'!AG2</f>
        <v>0</v>
      </c>
      <c r="AH62" s="4">
        <f>'4.1 Comptes 2020 natures'!AH62/'4.1 Comptes 2020 natures'!AH2</f>
        <v>57.361376673040155</v>
      </c>
      <c r="AI62" s="4">
        <f>'4.1 Comptes 2020 natures'!AI62/'4.1 Comptes 2020 natures'!AI2</f>
        <v>616.74008810572684</v>
      </c>
      <c r="AJ62" s="4">
        <f>'4.1 Comptes 2020 natures'!AJ62/'4.1 Comptes 2020 natures'!AJ2</f>
        <v>0</v>
      </c>
      <c r="AK62" s="4">
        <f>'4.1 Comptes 2020 natures'!AK62/'4.1 Comptes 2020 natures'!AK2</f>
        <v>126.64907651715039</v>
      </c>
      <c r="AL62" s="4">
        <f>'4.1 Comptes 2020 natures'!AL62/'4.1 Comptes 2020 natures'!AL2</f>
        <v>183.51541850220264</v>
      </c>
      <c r="AM62" s="4">
        <f>'4.1 Comptes 2020 natures'!AM62/'4.1 Comptes 2020 natures'!AM2</f>
        <v>0</v>
      </c>
      <c r="AN62" s="4">
        <f>'4.1 Comptes 2020 natures'!AN62/'4.1 Comptes 2020 natures'!AN2</f>
        <v>0.28672268907563025</v>
      </c>
      <c r="AO62" s="4">
        <f>'4.1 Comptes 2020 natures'!AO62/'4.1 Comptes 2020 natures'!AO2</f>
        <v>0</v>
      </c>
      <c r="AP62" s="4">
        <f>'4.1 Comptes 2020 natures'!AP62/'4.1 Comptes 2020 natures'!AP2</f>
        <v>452.48868778280541</v>
      </c>
      <c r="AQ62" s="4">
        <f>'4.1 Comptes 2020 natures'!AQ62/'4.1 Comptes 2020 natures'!AQ2</f>
        <v>155.03875968992247</v>
      </c>
      <c r="AR62" s="4">
        <f>'4.1 Comptes 2020 natures'!AR62/'4.1 Comptes 2020 natures'!AR2</f>
        <v>411.71813143309578</v>
      </c>
      <c r="AS62" s="4">
        <f>'4.1 Comptes 2020 natures'!AS62/'4.1 Comptes 2020 natures'!AS2</f>
        <v>0</v>
      </c>
      <c r="AT62" s="4">
        <f>'4.1 Comptes 2020 natures'!AT62/'4.1 Comptes 2020 natures'!AT2</f>
        <v>0</v>
      </c>
      <c r="AU62" s="4">
        <f>'4.1 Comptes 2020 natures'!AU62/'4.1 Comptes 2020 natures'!AU2</f>
        <v>2633.6694267515923</v>
      </c>
      <c r="AV62" s="4">
        <f>'4.1 Comptes 2020 natures'!AV62/'4.1 Comptes 2020 natures'!AV2</f>
        <v>0</v>
      </c>
      <c r="AW62" s="4">
        <f>'4.1 Comptes 2020 natures'!AW62/'4.1 Comptes 2020 natures'!AW2</f>
        <v>0</v>
      </c>
      <c r="AX62" s="4">
        <f>'4.1 Comptes 2020 natures'!AX62/'4.1 Comptes 2020 natures'!AX2</f>
        <v>22.016574585635357</v>
      </c>
      <c r="AY62" s="4">
        <f>'4.1 Comptes 2020 natures'!AY62/'4.1 Comptes 2020 natures'!AY2</f>
        <v>167.14697406340056</v>
      </c>
      <c r="AZ62" s="4">
        <f>'4.1 Comptes 2020 natures'!AZ62/'4.1 Comptes 2020 natures'!AZ2</f>
        <v>88.757396449704146</v>
      </c>
      <c r="BA62" s="4">
        <f>'4.1 Comptes 2020 natures'!BA62/'4.1 Comptes 2020 natures'!BA2</f>
        <v>516.79586563307498</v>
      </c>
      <c r="BB62" s="4">
        <f>'4.1 Comptes 2020 natures'!BB62/'4.1 Comptes 2020 natures'!BB2</f>
        <v>91.240875912408754</v>
      </c>
      <c r="BC62" s="4">
        <f>'4.1 Comptes 2020 natures'!BC62/'4.1 Comptes 2020 natures'!BC2</f>
        <v>0</v>
      </c>
      <c r="BD62" s="4">
        <f>'4.1 Comptes 2020 natures'!BD62/'4.1 Comptes 2020 natures'!BD2</f>
        <v>124.33944668946224</v>
      </c>
      <c r="BE62" s="4">
        <f>'4.1 Comptes 2020 natures'!BE62/'4.1 Comptes 2020 natures'!BE2</f>
        <v>0</v>
      </c>
      <c r="BF62" s="4">
        <f t="shared" si="37"/>
        <v>7242.166805001094</v>
      </c>
      <c r="BG62" s="4">
        <f t="shared" si="38"/>
        <v>562.02607019450193</v>
      </c>
      <c r="BH62" s="4">
        <f t="shared" si="39"/>
        <v>1706.4773781070612</v>
      </c>
      <c r="BI62" s="4">
        <f t="shared" si="40"/>
        <v>4973.6633566995306</v>
      </c>
    </row>
    <row r="63" spans="2:61" x14ac:dyDescent="0.3">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3">
      <c r="B64" s="94">
        <v>39</v>
      </c>
      <c r="C64" s="94"/>
      <c r="D64" s="94" t="s">
        <v>128</v>
      </c>
      <c r="E64" s="95">
        <f>E65+E66+E67+E68+E69+E70+E71+E72</f>
        <v>53.007583965330447</v>
      </c>
      <c r="F64" s="95">
        <f t="shared" ref="F64:BI64" si="41">F65+F66+F67+F68+F69+F70+F71+F72</f>
        <v>116.11107407407407</v>
      </c>
      <c r="G64" s="95">
        <f t="shared" si="41"/>
        <v>5.8028865979381443</v>
      </c>
      <c r="H64" s="95">
        <f t="shared" si="41"/>
        <v>32.412556053811656</v>
      </c>
      <c r="I64" s="95">
        <f t="shared" si="41"/>
        <v>86.670338749655741</v>
      </c>
      <c r="J64" s="95">
        <f t="shared" si="41"/>
        <v>17.856323573800182</v>
      </c>
      <c r="K64" s="95">
        <f t="shared" si="41"/>
        <v>69.066981845688346</v>
      </c>
      <c r="L64" s="95">
        <f t="shared" si="41"/>
        <v>508.375204469805</v>
      </c>
      <c r="M64" s="95">
        <f t="shared" si="41"/>
        <v>72.734799416484321</v>
      </c>
      <c r="N64" s="95">
        <f t="shared" si="41"/>
        <v>0</v>
      </c>
      <c r="O64" s="95">
        <f t="shared" si="41"/>
        <v>8.8070322310590203</v>
      </c>
      <c r="P64" s="95">
        <f t="shared" si="41"/>
        <v>68.083238636363632</v>
      </c>
      <c r="Q64" s="95">
        <f t="shared" si="41"/>
        <v>0</v>
      </c>
      <c r="R64" s="95">
        <f t="shared" si="41"/>
        <v>29.484337349397592</v>
      </c>
      <c r="S64" s="95">
        <f t="shared" si="41"/>
        <v>0</v>
      </c>
      <c r="T64" s="95">
        <f t="shared" si="41"/>
        <v>2.8047307132459971</v>
      </c>
      <c r="U64" s="95">
        <f t="shared" si="41"/>
        <v>0</v>
      </c>
      <c r="V64" s="95">
        <f t="shared" si="41"/>
        <v>135.79644495412845</v>
      </c>
      <c r="W64" s="95">
        <f t="shared" si="41"/>
        <v>89.655219435736669</v>
      </c>
      <c r="X64" s="95">
        <f t="shared" si="41"/>
        <v>5.4043209876543215E-2</v>
      </c>
      <c r="Y64" s="95">
        <f t="shared" si="41"/>
        <v>0</v>
      </c>
      <c r="Z64" s="95">
        <f t="shared" si="41"/>
        <v>0</v>
      </c>
      <c r="AA64" s="95">
        <f t="shared" si="41"/>
        <v>193.75</v>
      </c>
      <c r="AB64" s="95">
        <f t="shared" si="41"/>
        <v>0</v>
      </c>
      <c r="AC64" s="95">
        <f t="shared" si="41"/>
        <v>0</v>
      </c>
      <c r="AD64" s="95">
        <f t="shared" si="41"/>
        <v>178.9307004470939</v>
      </c>
      <c r="AE64" s="95">
        <f t="shared" si="41"/>
        <v>152.34763986013985</v>
      </c>
      <c r="AF64" s="95">
        <f t="shared" si="41"/>
        <v>174.97183673469388</v>
      </c>
      <c r="AG64" s="95">
        <f t="shared" si="41"/>
        <v>2.8770637408568445</v>
      </c>
      <c r="AH64" s="95">
        <f t="shared" si="41"/>
        <v>10.745697896749522</v>
      </c>
      <c r="AI64" s="95">
        <f t="shared" si="41"/>
        <v>0</v>
      </c>
      <c r="AJ64" s="95">
        <f t="shared" si="41"/>
        <v>8.024045801526718</v>
      </c>
      <c r="AK64" s="95">
        <f t="shared" si="41"/>
        <v>77.190284960422161</v>
      </c>
      <c r="AL64" s="95">
        <f t="shared" si="41"/>
        <v>52.263215859030836</v>
      </c>
      <c r="AM64" s="95">
        <f t="shared" si="41"/>
        <v>2.9814665592264302</v>
      </c>
      <c r="AN64" s="95">
        <f t="shared" si="41"/>
        <v>6.7226890756302522</v>
      </c>
      <c r="AO64" s="95">
        <f t="shared" si="41"/>
        <v>34.944602510460257</v>
      </c>
      <c r="AP64" s="95">
        <f t="shared" si="41"/>
        <v>140.33650075414781</v>
      </c>
      <c r="AQ64" s="95">
        <f t="shared" si="41"/>
        <v>0</v>
      </c>
      <c r="AR64" s="95">
        <f t="shared" si="41"/>
        <v>0</v>
      </c>
      <c r="AS64" s="95">
        <f t="shared" si="41"/>
        <v>79.960540540540535</v>
      </c>
      <c r="AT64" s="95">
        <f t="shared" si="41"/>
        <v>0</v>
      </c>
      <c r="AU64" s="95">
        <f t="shared" si="41"/>
        <v>39.294585987261144</v>
      </c>
      <c r="AV64" s="95">
        <f t="shared" si="41"/>
        <v>13.217499999999999</v>
      </c>
      <c r="AW64" s="95">
        <f t="shared" si="41"/>
        <v>0</v>
      </c>
      <c r="AX64" s="95">
        <f t="shared" si="41"/>
        <v>40.601104972375694</v>
      </c>
      <c r="AY64" s="95">
        <f t="shared" si="41"/>
        <v>0</v>
      </c>
      <c r="AZ64" s="95">
        <f t="shared" si="41"/>
        <v>90.208639053254444</v>
      </c>
      <c r="BA64" s="95">
        <f t="shared" si="41"/>
        <v>0</v>
      </c>
      <c r="BB64" s="95">
        <f t="shared" si="41"/>
        <v>42.112116788321167</v>
      </c>
      <c r="BC64" s="95">
        <f t="shared" si="41"/>
        <v>14.276595744680851</v>
      </c>
      <c r="BD64" s="95">
        <f t="shared" si="41"/>
        <v>0</v>
      </c>
      <c r="BE64" s="95">
        <f t="shared" si="41"/>
        <v>27.678571428571427</v>
      </c>
      <c r="BF64" s="95">
        <f t="shared" si="41"/>
        <v>2680.1581939913794</v>
      </c>
      <c r="BG64" s="95">
        <f t="shared" si="41"/>
        <v>1296.6687520665193</v>
      </c>
      <c r="BH64" s="95">
        <f t="shared" si="41"/>
        <v>721.70102769093728</v>
      </c>
      <c r="BI64" s="95">
        <f t="shared" si="41"/>
        <v>661.78841423392294</v>
      </c>
    </row>
    <row r="65" spans="1:61" x14ac:dyDescent="0.3">
      <c r="C65">
        <v>390</v>
      </c>
      <c r="D65" t="s">
        <v>129</v>
      </c>
      <c r="E65" s="4">
        <f>'4.1 Comptes 2020 natures'!E65/'4.1 Comptes 2020 natures'!E2</f>
        <v>0</v>
      </c>
      <c r="F65" s="4">
        <f>'4.1 Comptes 2020 natures'!F65/'4.1 Comptes 2020 natures'!F2</f>
        <v>0.7407407407407407</v>
      </c>
      <c r="G65" s="4">
        <f>'4.1 Comptes 2020 natures'!G65/'4.1 Comptes 2020 natures'!G2</f>
        <v>0</v>
      </c>
      <c r="H65" s="4">
        <f>'4.1 Comptes 2020 natures'!H65/'4.1 Comptes 2020 natures'!H2</f>
        <v>0</v>
      </c>
      <c r="I65" s="4">
        <f>'4.1 Comptes 2020 natures'!I65/'4.1 Comptes 2020 natures'!I2</f>
        <v>0</v>
      </c>
      <c r="J65" s="4">
        <f>'4.1 Comptes 2020 natures'!J65/'4.1 Comptes 2020 natures'!J2</f>
        <v>0</v>
      </c>
      <c r="K65" s="4">
        <f>'4.1 Comptes 2020 natures'!K65/'4.1 Comptes 2020 natures'!K2</f>
        <v>0</v>
      </c>
      <c r="L65" s="4">
        <f>'4.1 Comptes 2020 natures'!L65/'4.1 Comptes 2020 natures'!L2</f>
        <v>2.377555872563005</v>
      </c>
      <c r="M65" s="4">
        <f>'4.1 Comptes 2020 natures'!M65/'4.1 Comptes 2020 natures'!M2</f>
        <v>0.87527352297592997</v>
      </c>
      <c r="N65" s="4">
        <f>'4.1 Comptes 2020 natures'!N65/'4.1 Comptes 2020 natures'!N2</f>
        <v>0</v>
      </c>
      <c r="O65" s="4">
        <f>'4.1 Comptes 2020 natures'!O65/'4.1 Comptes 2020 natures'!O2</f>
        <v>0</v>
      </c>
      <c r="P65" s="4">
        <f>'4.1 Comptes 2020 natures'!P65/'4.1 Comptes 2020 natures'!P2</f>
        <v>0</v>
      </c>
      <c r="Q65" s="4">
        <f>'4.1 Comptes 2020 natures'!Q65/'4.1 Comptes 2020 natures'!Q2</f>
        <v>0</v>
      </c>
      <c r="R65" s="4">
        <f>'4.1 Comptes 2020 natures'!R65/'4.1 Comptes 2020 natures'!R2</f>
        <v>0</v>
      </c>
      <c r="S65" s="4">
        <f>'4.1 Comptes 2020 natures'!S65/'4.1 Comptes 2020 natures'!S2</f>
        <v>0</v>
      </c>
      <c r="T65" s="4">
        <f>'4.1 Comptes 2020 natures'!T65/'4.1 Comptes 2020 natures'!T2</f>
        <v>2.8047307132459971</v>
      </c>
      <c r="U65" s="4">
        <f>'4.1 Comptes 2020 natures'!U65/'4.1 Comptes 2020 natures'!U2</f>
        <v>0</v>
      </c>
      <c r="V65" s="4">
        <f>'4.1 Comptes 2020 natures'!V65/'4.1 Comptes 2020 natures'!V2</f>
        <v>0</v>
      </c>
      <c r="W65" s="4">
        <f>'4.1 Comptes 2020 natures'!W65/'4.1 Comptes 2020 natures'!W2</f>
        <v>4.0752351097178687</v>
      </c>
      <c r="X65" s="4">
        <f>'4.1 Comptes 2020 natures'!X65/'4.1 Comptes 2020 natures'!X2</f>
        <v>0</v>
      </c>
      <c r="Y65" s="4">
        <f>'4.1 Comptes 2020 natures'!Y65/'4.1 Comptes 2020 natures'!Y2</f>
        <v>0</v>
      </c>
      <c r="Z65" s="4">
        <f>'4.1 Comptes 2020 natures'!Z65/'4.1 Comptes 2020 natures'!Z2</f>
        <v>0</v>
      </c>
      <c r="AA65" s="4">
        <f>'4.1 Comptes 2020 natures'!AA65/'4.1 Comptes 2020 natures'!AA2</f>
        <v>0</v>
      </c>
      <c r="AB65" s="4">
        <f>'4.1 Comptes 2020 natures'!AB65/'4.1 Comptes 2020 natures'!AB2</f>
        <v>0</v>
      </c>
      <c r="AC65" s="4">
        <f>'4.1 Comptes 2020 natures'!AC65/'4.1 Comptes 2020 natures'!AC2</f>
        <v>0</v>
      </c>
      <c r="AD65" s="4">
        <f>'4.1 Comptes 2020 natures'!AD65/'4.1 Comptes 2020 natures'!AD2</f>
        <v>0.29806259314456035</v>
      </c>
      <c r="AE65" s="4">
        <f>'4.1 Comptes 2020 natures'!AE65/'4.1 Comptes 2020 natures'!AE2</f>
        <v>0</v>
      </c>
      <c r="AF65" s="4">
        <f>'4.1 Comptes 2020 natures'!AF65/'4.1 Comptes 2020 natures'!AF2</f>
        <v>0</v>
      </c>
      <c r="AG65" s="4">
        <f>'4.1 Comptes 2020 natures'!AG65/'4.1 Comptes 2020 natures'!AG2</f>
        <v>1.8119905956112854</v>
      </c>
      <c r="AH65" s="4">
        <f>'4.1 Comptes 2020 natures'!AH65/'4.1 Comptes 2020 natures'!AH2</f>
        <v>0</v>
      </c>
      <c r="AI65" s="4">
        <f>'4.1 Comptes 2020 natures'!AI65/'4.1 Comptes 2020 natures'!AI2</f>
        <v>0</v>
      </c>
      <c r="AJ65" s="4">
        <f>'4.1 Comptes 2020 natures'!AJ65/'4.1 Comptes 2020 natures'!AJ2</f>
        <v>0</v>
      </c>
      <c r="AK65" s="4">
        <f>'4.1 Comptes 2020 natures'!AK65/'4.1 Comptes 2020 natures'!AK2</f>
        <v>0</v>
      </c>
      <c r="AL65" s="4">
        <f>'4.1 Comptes 2020 natures'!AL65/'4.1 Comptes 2020 natures'!AL2</f>
        <v>0</v>
      </c>
      <c r="AM65" s="4">
        <f>'4.1 Comptes 2020 natures'!AM65/'4.1 Comptes 2020 natures'!AM2</f>
        <v>0</v>
      </c>
      <c r="AN65" s="4">
        <f>'4.1 Comptes 2020 natures'!AN65/'4.1 Comptes 2020 natures'!AN2</f>
        <v>0</v>
      </c>
      <c r="AO65" s="4">
        <f>'4.1 Comptes 2020 natures'!AO65/'4.1 Comptes 2020 natures'!AO2</f>
        <v>0</v>
      </c>
      <c r="AP65" s="4">
        <f>'4.1 Comptes 2020 natures'!AP65/'4.1 Comptes 2020 natures'!AP2</f>
        <v>1.2066365007541477</v>
      </c>
      <c r="AQ65" s="4">
        <f>'4.1 Comptes 2020 natures'!AQ65/'4.1 Comptes 2020 natures'!AQ2</f>
        <v>0</v>
      </c>
      <c r="AR65" s="4">
        <f>'4.1 Comptes 2020 natures'!AR65/'4.1 Comptes 2020 natures'!AR2</f>
        <v>0</v>
      </c>
      <c r="AS65" s="4">
        <f>'4.1 Comptes 2020 natures'!AS65/'4.1 Comptes 2020 natures'!AS2</f>
        <v>0</v>
      </c>
      <c r="AT65" s="4">
        <f>'4.1 Comptes 2020 natures'!AT65/'4.1 Comptes 2020 natures'!AT2</f>
        <v>0</v>
      </c>
      <c r="AU65" s="4">
        <f>'4.1 Comptes 2020 natures'!AU65/'4.1 Comptes 2020 natures'!AU2</f>
        <v>0</v>
      </c>
      <c r="AV65" s="4">
        <f>'4.1 Comptes 2020 natures'!AV65/'4.1 Comptes 2020 natures'!AV2</f>
        <v>0</v>
      </c>
      <c r="AW65" s="4">
        <f>'4.1 Comptes 2020 natures'!AW65/'4.1 Comptes 2020 natures'!AW2</f>
        <v>0</v>
      </c>
      <c r="AX65" s="4">
        <f>'4.1 Comptes 2020 natures'!AX65/'4.1 Comptes 2020 natures'!AX2</f>
        <v>0</v>
      </c>
      <c r="AY65" s="4">
        <f>'4.1 Comptes 2020 natures'!AY65/'4.1 Comptes 2020 natures'!AY2</f>
        <v>0</v>
      </c>
      <c r="AZ65" s="4">
        <f>'4.1 Comptes 2020 natures'!AZ65/'4.1 Comptes 2020 natures'!AZ2</f>
        <v>0</v>
      </c>
      <c r="BA65" s="4">
        <f>'4.1 Comptes 2020 natures'!BA65/'4.1 Comptes 2020 natures'!BA2</f>
        <v>0</v>
      </c>
      <c r="BB65" s="4">
        <f>'4.1 Comptes 2020 natures'!BB65/'4.1 Comptes 2020 natures'!BB2</f>
        <v>0</v>
      </c>
      <c r="BC65" s="4">
        <f>'4.1 Comptes 2020 natures'!BC65/'4.1 Comptes 2020 natures'!BC2</f>
        <v>0</v>
      </c>
      <c r="BD65" s="4">
        <f>'4.1 Comptes 2020 natures'!BD65/'4.1 Comptes 2020 natures'!BD2</f>
        <v>0</v>
      </c>
      <c r="BE65" s="4">
        <f>'4.1 Comptes 2020 natures'!BE65/'4.1 Comptes 2020 natures'!BE2</f>
        <v>0</v>
      </c>
      <c r="BF65" s="4">
        <f t="shared" ref="BF65:BF73" si="42">SUM(E65:BE65)</f>
        <v>14.190225648753533</v>
      </c>
      <c r="BG65" s="4">
        <f t="shared" ref="BG65:BG73" si="43">SUM(E65:W65)</f>
        <v>10.87353595924354</v>
      </c>
      <c r="BH65" s="4">
        <f t="shared" ref="BH65:BH73" si="44">SUM(X65:AJ65)</f>
        <v>2.1100531887558458</v>
      </c>
      <c r="BI65" s="4">
        <f t="shared" ref="BI65:BI73" si="45">SUM(AK65:BE65)</f>
        <v>1.2066365007541477</v>
      </c>
    </row>
    <row r="66" spans="1:61" x14ac:dyDescent="0.3">
      <c r="C66">
        <v>391</v>
      </c>
      <c r="D66" t="s">
        <v>130</v>
      </c>
      <c r="E66" s="4">
        <f>'4.1 Comptes 2020 natures'!E66/'4.1 Comptes 2020 natures'!E2</f>
        <v>53.007583965330447</v>
      </c>
      <c r="F66" s="4">
        <f>'4.1 Comptes 2020 natures'!F66/'4.1 Comptes 2020 natures'!F2</f>
        <v>22.968703703703703</v>
      </c>
      <c r="G66" s="4">
        <f>'4.1 Comptes 2020 natures'!G66/'4.1 Comptes 2020 natures'!G2</f>
        <v>0</v>
      </c>
      <c r="H66" s="4">
        <f>'4.1 Comptes 2020 natures'!H66/'4.1 Comptes 2020 natures'!H2</f>
        <v>31.614349775784753</v>
      </c>
      <c r="I66" s="4">
        <f>'4.1 Comptes 2020 natures'!I66/'4.1 Comptes 2020 natures'!I2</f>
        <v>5.8936931974662627</v>
      </c>
      <c r="J66" s="4">
        <f>'4.1 Comptes 2020 natures'!J66/'4.1 Comptes 2020 natures'!J2</f>
        <v>17.856323573800182</v>
      </c>
      <c r="K66" s="4">
        <f>'4.1 Comptes 2020 natures'!K66/'4.1 Comptes 2020 natures'!K2</f>
        <v>69.066981845688346</v>
      </c>
      <c r="L66" s="4">
        <f>'4.1 Comptes 2020 natures'!L66/'4.1 Comptes 2020 natures'!L2</f>
        <v>92.28909098113806</v>
      </c>
      <c r="M66" s="4">
        <f>'4.1 Comptes 2020 natures'!M66/'4.1 Comptes 2020 natures'!M2</f>
        <v>40.78949671772429</v>
      </c>
      <c r="N66" s="4">
        <f>'4.1 Comptes 2020 natures'!N66/'4.1 Comptes 2020 natures'!N2</f>
        <v>0</v>
      </c>
      <c r="O66" s="4">
        <f>'4.1 Comptes 2020 natures'!O66/'4.1 Comptes 2020 natures'!O2</f>
        <v>0</v>
      </c>
      <c r="P66" s="4">
        <f>'4.1 Comptes 2020 natures'!P66/'4.1 Comptes 2020 natures'!P2</f>
        <v>68.083238636363632</v>
      </c>
      <c r="Q66" s="4">
        <f>'4.1 Comptes 2020 natures'!Q66/'4.1 Comptes 2020 natures'!Q2</f>
        <v>0</v>
      </c>
      <c r="R66" s="4">
        <f>'4.1 Comptes 2020 natures'!R66/'4.1 Comptes 2020 natures'!R2</f>
        <v>29.484337349397592</v>
      </c>
      <c r="S66" s="4">
        <f>'4.1 Comptes 2020 natures'!S66/'4.1 Comptes 2020 natures'!S2</f>
        <v>0</v>
      </c>
      <c r="T66" s="4">
        <f>'4.1 Comptes 2020 natures'!T66/'4.1 Comptes 2020 natures'!T2</f>
        <v>0</v>
      </c>
      <c r="U66" s="4">
        <f>'4.1 Comptes 2020 natures'!U66/'4.1 Comptes 2020 natures'!U2</f>
        <v>0</v>
      </c>
      <c r="V66" s="4">
        <f>'4.1 Comptes 2020 natures'!V66/'4.1 Comptes 2020 natures'!V2</f>
        <v>135.79644495412845</v>
      </c>
      <c r="W66" s="4">
        <f>'4.1 Comptes 2020 natures'!W66/'4.1 Comptes 2020 natures'!W2</f>
        <v>27.83667711598746</v>
      </c>
      <c r="X66" s="4">
        <f>'4.1 Comptes 2020 natures'!X66/'4.1 Comptes 2020 natures'!X2</f>
        <v>0</v>
      </c>
      <c r="Y66" s="4">
        <f>'4.1 Comptes 2020 natures'!Y66/'4.1 Comptes 2020 natures'!Y2</f>
        <v>0</v>
      </c>
      <c r="Z66" s="4">
        <f>'4.1 Comptes 2020 natures'!Z66/'4.1 Comptes 2020 natures'!Z2</f>
        <v>0</v>
      </c>
      <c r="AA66" s="4">
        <f>'4.1 Comptes 2020 natures'!AA66/'4.1 Comptes 2020 natures'!AA2</f>
        <v>193.75</v>
      </c>
      <c r="AB66" s="4">
        <f>'4.1 Comptes 2020 natures'!AB66/'4.1 Comptes 2020 natures'!AB2</f>
        <v>0</v>
      </c>
      <c r="AC66" s="4">
        <f>'4.1 Comptes 2020 natures'!AC66/'4.1 Comptes 2020 natures'!AC2</f>
        <v>0</v>
      </c>
      <c r="AD66" s="4">
        <f>'4.1 Comptes 2020 natures'!AD66/'4.1 Comptes 2020 natures'!AD2</f>
        <v>118.77816691505215</v>
      </c>
      <c r="AE66" s="4">
        <f>'4.1 Comptes 2020 natures'!AE66/'4.1 Comptes 2020 natures'!AE2</f>
        <v>152.32054195804196</v>
      </c>
      <c r="AF66" s="4">
        <f>'4.1 Comptes 2020 natures'!AF66/'4.1 Comptes 2020 natures'!AF2</f>
        <v>174.97183673469388</v>
      </c>
      <c r="AG66" s="4">
        <f>'4.1 Comptes 2020 natures'!AG66/'4.1 Comptes 2020 natures'!AG2</f>
        <v>1.0650731452455591</v>
      </c>
      <c r="AH66" s="4">
        <f>'4.1 Comptes 2020 natures'!AH66/'4.1 Comptes 2020 natures'!AH2</f>
        <v>10.745697896749522</v>
      </c>
      <c r="AI66" s="4">
        <f>'4.1 Comptes 2020 natures'!AI66/'4.1 Comptes 2020 natures'!AI2</f>
        <v>0</v>
      </c>
      <c r="AJ66" s="4">
        <f>'4.1 Comptes 2020 natures'!AJ66/'4.1 Comptes 2020 natures'!AJ2</f>
        <v>0</v>
      </c>
      <c r="AK66" s="4">
        <f>'4.1 Comptes 2020 natures'!AK66/'4.1 Comptes 2020 natures'!AK2</f>
        <v>77.190284960422161</v>
      </c>
      <c r="AL66" s="4">
        <f>'4.1 Comptes 2020 natures'!AL66/'4.1 Comptes 2020 natures'!AL2</f>
        <v>0</v>
      </c>
      <c r="AM66" s="4">
        <f>'4.1 Comptes 2020 natures'!AM66/'4.1 Comptes 2020 natures'!AM2</f>
        <v>2.9814665592264302</v>
      </c>
      <c r="AN66" s="4">
        <f>'4.1 Comptes 2020 natures'!AN66/'4.1 Comptes 2020 natures'!AN2</f>
        <v>6.7226890756302522</v>
      </c>
      <c r="AO66" s="4">
        <f>'4.1 Comptes 2020 natures'!AO66/'4.1 Comptes 2020 natures'!AO2</f>
        <v>34.944602510460257</v>
      </c>
      <c r="AP66" s="4">
        <f>'4.1 Comptes 2020 natures'!AP66/'4.1 Comptes 2020 natures'!AP2</f>
        <v>83.271417797888375</v>
      </c>
      <c r="AQ66" s="4">
        <f>'4.1 Comptes 2020 natures'!AQ66/'4.1 Comptes 2020 natures'!AQ2</f>
        <v>0</v>
      </c>
      <c r="AR66" s="4">
        <f>'4.1 Comptes 2020 natures'!AR66/'4.1 Comptes 2020 natures'!AR2</f>
        <v>0</v>
      </c>
      <c r="AS66" s="4">
        <f>'4.1 Comptes 2020 natures'!AS66/'4.1 Comptes 2020 natures'!AS2</f>
        <v>65.902432432432434</v>
      </c>
      <c r="AT66" s="4">
        <f>'4.1 Comptes 2020 natures'!AT66/'4.1 Comptes 2020 natures'!AT2</f>
        <v>0</v>
      </c>
      <c r="AU66" s="4">
        <f>'4.1 Comptes 2020 natures'!AU66/'4.1 Comptes 2020 natures'!AU2</f>
        <v>39.294585987261144</v>
      </c>
      <c r="AV66" s="4">
        <f>'4.1 Comptes 2020 natures'!AV66/'4.1 Comptes 2020 natures'!AV2</f>
        <v>13.217499999999999</v>
      </c>
      <c r="AW66" s="4">
        <f>'4.1 Comptes 2020 natures'!AW66/'4.1 Comptes 2020 natures'!AW2</f>
        <v>0</v>
      </c>
      <c r="AX66" s="4">
        <f>'4.1 Comptes 2020 natures'!AX66/'4.1 Comptes 2020 natures'!AX2</f>
        <v>0</v>
      </c>
      <c r="AY66" s="4">
        <f>'4.1 Comptes 2020 natures'!AY66/'4.1 Comptes 2020 natures'!AY2</f>
        <v>0</v>
      </c>
      <c r="AZ66" s="4">
        <f>'4.1 Comptes 2020 natures'!AZ66/'4.1 Comptes 2020 natures'!AZ2</f>
        <v>88.137633136094678</v>
      </c>
      <c r="BA66" s="4">
        <f>'4.1 Comptes 2020 natures'!BA66/'4.1 Comptes 2020 natures'!BA2</f>
        <v>0</v>
      </c>
      <c r="BB66" s="4">
        <f>'4.1 Comptes 2020 natures'!BB66/'4.1 Comptes 2020 natures'!BB2</f>
        <v>42.112116788321167</v>
      </c>
      <c r="BC66" s="4">
        <f>'4.1 Comptes 2020 natures'!BC66/'4.1 Comptes 2020 natures'!BC2</f>
        <v>0</v>
      </c>
      <c r="BD66" s="4">
        <f>'4.1 Comptes 2020 natures'!BD66/'4.1 Comptes 2020 natures'!BD2</f>
        <v>0</v>
      </c>
      <c r="BE66" s="4">
        <f>'4.1 Comptes 2020 natures'!BE66/'4.1 Comptes 2020 natures'!BE2</f>
        <v>27.678571428571427</v>
      </c>
      <c r="BF66" s="4">
        <f t="shared" si="42"/>
        <v>1727.7715391426048</v>
      </c>
      <c r="BG66" s="4">
        <f t="shared" si="43"/>
        <v>594.68692181651318</v>
      </c>
      <c r="BH66" s="4">
        <f t="shared" si="44"/>
        <v>651.63131664978312</v>
      </c>
      <c r="BI66" s="4">
        <f t="shared" si="45"/>
        <v>481.45330067630829</v>
      </c>
    </row>
    <row r="67" spans="1:61" x14ac:dyDescent="0.3">
      <c r="C67">
        <v>392</v>
      </c>
      <c r="D67" t="s">
        <v>131</v>
      </c>
      <c r="E67" s="4">
        <f>'4.1 Comptes 2020 natures'!E67/'4.1 Comptes 2020 natures'!E2</f>
        <v>0</v>
      </c>
      <c r="F67" s="4">
        <f>'4.1 Comptes 2020 natures'!F67/'4.1 Comptes 2020 natures'!F2</f>
        <v>0</v>
      </c>
      <c r="G67" s="4">
        <f>'4.1 Comptes 2020 natures'!G67/'4.1 Comptes 2020 natures'!G2</f>
        <v>0</v>
      </c>
      <c r="H67" s="4">
        <f>'4.1 Comptes 2020 natures'!H67/'4.1 Comptes 2020 natures'!H2</f>
        <v>0</v>
      </c>
      <c r="I67" s="4">
        <f>'4.1 Comptes 2020 natures'!I67/'4.1 Comptes 2020 natures'!I2</f>
        <v>0</v>
      </c>
      <c r="J67" s="4">
        <f>'4.1 Comptes 2020 natures'!J67/'4.1 Comptes 2020 natures'!J2</f>
        <v>0</v>
      </c>
      <c r="K67" s="4">
        <f>'4.1 Comptes 2020 natures'!K67/'4.1 Comptes 2020 natures'!K2</f>
        <v>0</v>
      </c>
      <c r="L67" s="4">
        <f>'4.1 Comptes 2020 natures'!L67/'4.1 Comptes 2020 natures'!L2</f>
        <v>8.7177048660643521</v>
      </c>
      <c r="M67" s="4">
        <f>'4.1 Comptes 2020 natures'!M67/'4.1 Comptes 2020 natures'!M2</f>
        <v>0</v>
      </c>
      <c r="N67" s="4">
        <f>'4.1 Comptes 2020 natures'!N67/'4.1 Comptes 2020 natures'!N2</f>
        <v>0</v>
      </c>
      <c r="O67" s="4">
        <f>'4.1 Comptes 2020 natures'!O67/'4.1 Comptes 2020 natures'!O2</f>
        <v>0</v>
      </c>
      <c r="P67" s="4">
        <f>'4.1 Comptes 2020 natures'!P67/'4.1 Comptes 2020 natures'!P2</f>
        <v>0</v>
      </c>
      <c r="Q67" s="4">
        <f>'4.1 Comptes 2020 natures'!Q67/'4.1 Comptes 2020 natures'!Q2</f>
        <v>0</v>
      </c>
      <c r="R67" s="4">
        <f>'4.1 Comptes 2020 natures'!R67/'4.1 Comptes 2020 natures'!R2</f>
        <v>0</v>
      </c>
      <c r="S67" s="4">
        <f>'4.1 Comptes 2020 natures'!S67/'4.1 Comptes 2020 natures'!S2</f>
        <v>0</v>
      </c>
      <c r="T67" s="4">
        <f>'4.1 Comptes 2020 natures'!T67/'4.1 Comptes 2020 natures'!T2</f>
        <v>0</v>
      </c>
      <c r="U67" s="4">
        <f>'4.1 Comptes 2020 natures'!U67/'4.1 Comptes 2020 natures'!U2</f>
        <v>0</v>
      </c>
      <c r="V67" s="4">
        <f>'4.1 Comptes 2020 natures'!V67/'4.1 Comptes 2020 natures'!V2</f>
        <v>0</v>
      </c>
      <c r="W67" s="4">
        <f>'4.1 Comptes 2020 natures'!W67/'4.1 Comptes 2020 natures'!W2</f>
        <v>0</v>
      </c>
      <c r="X67" s="4">
        <f>'4.1 Comptes 2020 natures'!X67/'4.1 Comptes 2020 natures'!X2</f>
        <v>0</v>
      </c>
      <c r="Y67" s="4">
        <f>'4.1 Comptes 2020 natures'!Y67/'4.1 Comptes 2020 natures'!Y2</f>
        <v>0</v>
      </c>
      <c r="Z67" s="4">
        <f>'4.1 Comptes 2020 natures'!Z67/'4.1 Comptes 2020 natures'!Z2</f>
        <v>0</v>
      </c>
      <c r="AA67" s="4">
        <f>'4.1 Comptes 2020 natures'!AA67/'4.1 Comptes 2020 natures'!AA2</f>
        <v>0</v>
      </c>
      <c r="AB67" s="4">
        <f>'4.1 Comptes 2020 natures'!AB67/'4.1 Comptes 2020 natures'!AB2</f>
        <v>0</v>
      </c>
      <c r="AC67" s="4">
        <f>'4.1 Comptes 2020 natures'!AC67/'4.1 Comptes 2020 natures'!AC2</f>
        <v>0</v>
      </c>
      <c r="AD67" s="4">
        <f>'4.1 Comptes 2020 natures'!AD67/'4.1 Comptes 2020 natures'!AD2</f>
        <v>0</v>
      </c>
      <c r="AE67" s="4">
        <f>'4.1 Comptes 2020 natures'!AE67/'4.1 Comptes 2020 natures'!AE2</f>
        <v>0</v>
      </c>
      <c r="AF67" s="4">
        <f>'4.1 Comptes 2020 natures'!AF67/'4.1 Comptes 2020 natures'!AF2</f>
        <v>0</v>
      </c>
      <c r="AG67" s="4">
        <f>'4.1 Comptes 2020 natures'!AG67/'4.1 Comptes 2020 natures'!AG2</f>
        <v>0</v>
      </c>
      <c r="AH67" s="4">
        <f>'4.1 Comptes 2020 natures'!AH67/'4.1 Comptes 2020 natures'!AH2</f>
        <v>0</v>
      </c>
      <c r="AI67" s="4">
        <f>'4.1 Comptes 2020 natures'!AI67/'4.1 Comptes 2020 natures'!AI2</f>
        <v>0</v>
      </c>
      <c r="AJ67" s="4">
        <f>'4.1 Comptes 2020 natures'!AJ67/'4.1 Comptes 2020 natures'!AJ2</f>
        <v>0</v>
      </c>
      <c r="AK67" s="4">
        <f>'4.1 Comptes 2020 natures'!AK67/'4.1 Comptes 2020 natures'!AK2</f>
        <v>0</v>
      </c>
      <c r="AL67" s="4">
        <f>'4.1 Comptes 2020 natures'!AL67/'4.1 Comptes 2020 natures'!AL2</f>
        <v>0</v>
      </c>
      <c r="AM67" s="4">
        <f>'4.1 Comptes 2020 natures'!AM67/'4.1 Comptes 2020 natures'!AM2</f>
        <v>0</v>
      </c>
      <c r="AN67" s="4">
        <f>'4.1 Comptes 2020 natures'!AN67/'4.1 Comptes 2020 natures'!AN2</f>
        <v>0</v>
      </c>
      <c r="AO67" s="4">
        <f>'4.1 Comptes 2020 natures'!AO67/'4.1 Comptes 2020 natures'!AO2</f>
        <v>0</v>
      </c>
      <c r="AP67" s="4">
        <f>'4.1 Comptes 2020 natures'!AP67/'4.1 Comptes 2020 natures'!AP2</f>
        <v>0</v>
      </c>
      <c r="AQ67" s="4">
        <f>'4.1 Comptes 2020 natures'!AQ67/'4.1 Comptes 2020 natures'!AQ2</f>
        <v>0</v>
      </c>
      <c r="AR67" s="4">
        <f>'4.1 Comptes 2020 natures'!AR67/'4.1 Comptes 2020 natures'!AR2</f>
        <v>0</v>
      </c>
      <c r="AS67" s="4">
        <f>'4.1 Comptes 2020 natures'!AS67/'4.1 Comptes 2020 natures'!AS2</f>
        <v>0</v>
      </c>
      <c r="AT67" s="4">
        <f>'4.1 Comptes 2020 natures'!AT67/'4.1 Comptes 2020 natures'!AT2</f>
        <v>0</v>
      </c>
      <c r="AU67" s="4">
        <f>'4.1 Comptes 2020 natures'!AU67/'4.1 Comptes 2020 natures'!AU2</f>
        <v>0</v>
      </c>
      <c r="AV67" s="4">
        <f>'4.1 Comptes 2020 natures'!AV67/'4.1 Comptes 2020 natures'!AV2</f>
        <v>0</v>
      </c>
      <c r="AW67" s="4">
        <f>'4.1 Comptes 2020 natures'!AW67/'4.1 Comptes 2020 natures'!AW2</f>
        <v>0</v>
      </c>
      <c r="AX67" s="4">
        <f>'4.1 Comptes 2020 natures'!AX67/'4.1 Comptes 2020 natures'!AX2</f>
        <v>0</v>
      </c>
      <c r="AY67" s="4">
        <f>'4.1 Comptes 2020 natures'!AY67/'4.1 Comptes 2020 natures'!AY2</f>
        <v>0</v>
      </c>
      <c r="AZ67" s="4">
        <f>'4.1 Comptes 2020 natures'!AZ67/'4.1 Comptes 2020 natures'!AZ2</f>
        <v>0</v>
      </c>
      <c r="BA67" s="4">
        <f>'4.1 Comptes 2020 natures'!BA67/'4.1 Comptes 2020 natures'!BA2</f>
        <v>0</v>
      </c>
      <c r="BB67" s="4">
        <f>'4.1 Comptes 2020 natures'!BB67/'4.1 Comptes 2020 natures'!BB2</f>
        <v>0</v>
      </c>
      <c r="BC67" s="4">
        <f>'4.1 Comptes 2020 natures'!BC67/'4.1 Comptes 2020 natures'!BC2</f>
        <v>0</v>
      </c>
      <c r="BD67" s="4">
        <f>'4.1 Comptes 2020 natures'!BD67/'4.1 Comptes 2020 natures'!BD2</f>
        <v>0</v>
      </c>
      <c r="BE67" s="4">
        <f>'4.1 Comptes 2020 natures'!BE67/'4.1 Comptes 2020 natures'!BE2</f>
        <v>0</v>
      </c>
      <c r="BF67" s="4">
        <f t="shared" si="42"/>
        <v>8.7177048660643521</v>
      </c>
      <c r="BG67" s="4">
        <f t="shared" si="43"/>
        <v>8.7177048660643521</v>
      </c>
      <c r="BH67" s="4">
        <f t="shared" si="44"/>
        <v>0</v>
      </c>
      <c r="BI67" s="4">
        <f t="shared" si="45"/>
        <v>0</v>
      </c>
    </row>
    <row r="68" spans="1:61" x14ac:dyDescent="0.3">
      <c r="C68">
        <v>393</v>
      </c>
      <c r="D68" t="s">
        <v>132</v>
      </c>
      <c r="E68" s="4">
        <f>'4.1 Comptes 2020 natures'!E68/'4.1 Comptes 2020 natures'!E2</f>
        <v>0</v>
      </c>
      <c r="F68" s="4">
        <f>'4.1 Comptes 2020 natures'!F68/'4.1 Comptes 2020 natures'!F2</f>
        <v>0</v>
      </c>
      <c r="G68" s="4">
        <f>'4.1 Comptes 2020 natures'!G68/'4.1 Comptes 2020 natures'!G2</f>
        <v>0</v>
      </c>
      <c r="H68" s="4">
        <f>'4.1 Comptes 2020 natures'!H68/'4.1 Comptes 2020 natures'!H2</f>
        <v>0</v>
      </c>
      <c r="I68" s="4">
        <f>'4.1 Comptes 2020 natures'!I68/'4.1 Comptes 2020 natures'!I2</f>
        <v>0</v>
      </c>
      <c r="J68" s="4">
        <f>'4.1 Comptes 2020 natures'!J68/'4.1 Comptes 2020 natures'!J2</f>
        <v>0</v>
      </c>
      <c r="K68" s="4">
        <f>'4.1 Comptes 2020 natures'!K68/'4.1 Comptes 2020 natures'!K2</f>
        <v>0</v>
      </c>
      <c r="L68" s="4">
        <f>'4.1 Comptes 2020 natures'!L68/'4.1 Comptes 2020 natures'!L2</f>
        <v>0</v>
      </c>
      <c r="M68" s="4">
        <f>'4.1 Comptes 2020 natures'!M68/'4.1 Comptes 2020 natures'!M2</f>
        <v>0</v>
      </c>
      <c r="N68" s="4">
        <f>'4.1 Comptes 2020 natures'!N68/'4.1 Comptes 2020 natures'!N2</f>
        <v>0</v>
      </c>
      <c r="O68" s="4">
        <f>'4.1 Comptes 2020 natures'!O68/'4.1 Comptes 2020 natures'!O2</f>
        <v>0</v>
      </c>
      <c r="P68" s="4">
        <f>'4.1 Comptes 2020 natures'!P68/'4.1 Comptes 2020 natures'!P2</f>
        <v>0</v>
      </c>
      <c r="Q68" s="4">
        <f>'4.1 Comptes 2020 natures'!Q68/'4.1 Comptes 2020 natures'!Q2</f>
        <v>0</v>
      </c>
      <c r="R68" s="4">
        <f>'4.1 Comptes 2020 natures'!R68/'4.1 Comptes 2020 natures'!R2</f>
        <v>0</v>
      </c>
      <c r="S68" s="4">
        <f>'4.1 Comptes 2020 natures'!S68/'4.1 Comptes 2020 natures'!S2</f>
        <v>0</v>
      </c>
      <c r="T68" s="4">
        <f>'4.1 Comptes 2020 natures'!T68/'4.1 Comptes 2020 natures'!T2</f>
        <v>0</v>
      </c>
      <c r="U68" s="4">
        <f>'4.1 Comptes 2020 natures'!U68/'4.1 Comptes 2020 natures'!U2</f>
        <v>0</v>
      </c>
      <c r="V68" s="4">
        <f>'4.1 Comptes 2020 natures'!V68/'4.1 Comptes 2020 natures'!V2</f>
        <v>0</v>
      </c>
      <c r="W68" s="4">
        <f>'4.1 Comptes 2020 natures'!W68/'4.1 Comptes 2020 natures'!W2</f>
        <v>1.2539184952978057</v>
      </c>
      <c r="X68" s="4">
        <f>'4.1 Comptes 2020 natures'!X68/'4.1 Comptes 2020 natures'!X2</f>
        <v>0</v>
      </c>
      <c r="Y68" s="4">
        <f>'4.1 Comptes 2020 natures'!Y68/'4.1 Comptes 2020 natures'!Y2</f>
        <v>0</v>
      </c>
      <c r="Z68" s="4">
        <f>'4.1 Comptes 2020 natures'!Z68/'4.1 Comptes 2020 natures'!Z2</f>
        <v>0</v>
      </c>
      <c r="AA68" s="4">
        <f>'4.1 Comptes 2020 natures'!AA68/'4.1 Comptes 2020 natures'!AA2</f>
        <v>0</v>
      </c>
      <c r="AB68" s="4">
        <f>'4.1 Comptes 2020 natures'!AB68/'4.1 Comptes 2020 natures'!AB2</f>
        <v>0</v>
      </c>
      <c r="AC68" s="4">
        <f>'4.1 Comptes 2020 natures'!AC68/'4.1 Comptes 2020 natures'!AC2</f>
        <v>0</v>
      </c>
      <c r="AD68" s="4">
        <f>'4.1 Comptes 2020 natures'!AD68/'4.1 Comptes 2020 natures'!AD2</f>
        <v>3.8002980625931446</v>
      </c>
      <c r="AE68" s="4">
        <f>'4.1 Comptes 2020 natures'!AE68/'4.1 Comptes 2020 natures'!AE2</f>
        <v>0</v>
      </c>
      <c r="AF68" s="4">
        <f>'4.1 Comptes 2020 natures'!AF68/'4.1 Comptes 2020 natures'!AF2</f>
        <v>0</v>
      </c>
      <c r="AG68" s="4">
        <f>'4.1 Comptes 2020 natures'!AG68/'4.1 Comptes 2020 natures'!AG2</f>
        <v>0</v>
      </c>
      <c r="AH68" s="4">
        <f>'4.1 Comptes 2020 natures'!AH68/'4.1 Comptes 2020 natures'!AH2</f>
        <v>0</v>
      </c>
      <c r="AI68" s="4">
        <f>'4.1 Comptes 2020 natures'!AI68/'4.1 Comptes 2020 natures'!AI2</f>
        <v>0</v>
      </c>
      <c r="AJ68" s="4">
        <f>'4.1 Comptes 2020 natures'!AJ68/'4.1 Comptes 2020 natures'!AJ2</f>
        <v>0</v>
      </c>
      <c r="AK68" s="4">
        <f>'4.1 Comptes 2020 natures'!AK68/'4.1 Comptes 2020 natures'!AK2</f>
        <v>0</v>
      </c>
      <c r="AL68" s="4">
        <f>'4.1 Comptes 2020 natures'!AL68/'4.1 Comptes 2020 natures'!AL2</f>
        <v>0</v>
      </c>
      <c r="AM68" s="4">
        <f>'4.1 Comptes 2020 natures'!AM68/'4.1 Comptes 2020 natures'!AM2</f>
        <v>0</v>
      </c>
      <c r="AN68" s="4">
        <f>'4.1 Comptes 2020 natures'!AN68/'4.1 Comptes 2020 natures'!AN2</f>
        <v>0</v>
      </c>
      <c r="AO68" s="4">
        <f>'4.1 Comptes 2020 natures'!AO68/'4.1 Comptes 2020 natures'!AO2</f>
        <v>0</v>
      </c>
      <c r="AP68" s="4">
        <f>'4.1 Comptes 2020 natures'!AP68/'4.1 Comptes 2020 natures'!AP2</f>
        <v>0</v>
      </c>
      <c r="AQ68" s="4">
        <f>'4.1 Comptes 2020 natures'!AQ68/'4.1 Comptes 2020 natures'!AQ2</f>
        <v>0</v>
      </c>
      <c r="AR68" s="4">
        <f>'4.1 Comptes 2020 natures'!AR68/'4.1 Comptes 2020 natures'!AR2</f>
        <v>0</v>
      </c>
      <c r="AS68" s="4">
        <f>'4.1 Comptes 2020 natures'!AS68/'4.1 Comptes 2020 natures'!AS2</f>
        <v>3.5397297297297299</v>
      </c>
      <c r="AT68" s="4">
        <f>'4.1 Comptes 2020 natures'!AT68/'4.1 Comptes 2020 natures'!AT2</f>
        <v>0</v>
      </c>
      <c r="AU68" s="4">
        <f>'4.1 Comptes 2020 natures'!AU68/'4.1 Comptes 2020 natures'!AU2</f>
        <v>0</v>
      </c>
      <c r="AV68" s="4">
        <f>'4.1 Comptes 2020 natures'!AV68/'4.1 Comptes 2020 natures'!AV2</f>
        <v>0</v>
      </c>
      <c r="AW68" s="4">
        <f>'4.1 Comptes 2020 natures'!AW68/'4.1 Comptes 2020 natures'!AW2</f>
        <v>0</v>
      </c>
      <c r="AX68" s="4">
        <f>'4.1 Comptes 2020 natures'!AX68/'4.1 Comptes 2020 natures'!AX2</f>
        <v>0</v>
      </c>
      <c r="AY68" s="4">
        <f>'4.1 Comptes 2020 natures'!AY68/'4.1 Comptes 2020 natures'!AY2</f>
        <v>0</v>
      </c>
      <c r="AZ68" s="4">
        <f>'4.1 Comptes 2020 natures'!AZ68/'4.1 Comptes 2020 natures'!AZ2</f>
        <v>0</v>
      </c>
      <c r="BA68" s="4">
        <f>'4.1 Comptes 2020 natures'!BA68/'4.1 Comptes 2020 natures'!BA2</f>
        <v>0</v>
      </c>
      <c r="BB68" s="4">
        <f>'4.1 Comptes 2020 natures'!BB68/'4.1 Comptes 2020 natures'!BB2</f>
        <v>0</v>
      </c>
      <c r="BC68" s="4">
        <f>'4.1 Comptes 2020 natures'!BC68/'4.1 Comptes 2020 natures'!BC2</f>
        <v>0</v>
      </c>
      <c r="BD68" s="4">
        <f>'4.1 Comptes 2020 natures'!BD68/'4.1 Comptes 2020 natures'!BD2</f>
        <v>0</v>
      </c>
      <c r="BE68" s="4">
        <f>'4.1 Comptes 2020 natures'!BE68/'4.1 Comptes 2020 natures'!BE2</f>
        <v>0</v>
      </c>
      <c r="BF68" s="4">
        <f t="shared" si="42"/>
        <v>8.59394628762068</v>
      </c>
      <c r="BG68" s="4">
        <f t="shared" si="43"/>
        <v>1.2539184952978057</v>
      </c>
      <c r="BH68" s="4">
        <f t="shared" si="44"/>
        <v>3.8002980625931446</v>
      </c>
      <c r="BI68" s="4">
        <f t="shared" si="45"/>
        <v>3.5397297297297299</v>
      </c>
    </row>
    <row r="69" spans="1:61" x14ac:dyDescent="0.3">
      <c r="C69">
        <v>394</v>
      </c>
      <c r="D69" t="s">
        <v>133</v>
      </c>
      <c r="E69" s="4">
        <f>'4.1 Comptes 2020 natures'!E69/'4.1 Comptes 2020 natures'!E2</f>
        <v>0</v>
      </c>
      <c r="F69" s="4">
        <f>'4.1 Comptes 2020 natures'!F69/'4.1 Comptes 2020 natures'!F2</f>
        <v>92.401629629629625</v>
      </c>
      <c r="G69" s="4">
        <f>'4.1 Comptes 2020 natures'!G69/'4.1 Comptes 2020 natures'!G2</f>
        <v>5.8028865979381443</v>
      </c>
      <c r="H69" s="4">
        <f>'4.1 Comptes 2020 natures'!H69/'4.1 Comptes 2020 natures'!H2</f>
        <v>0</v>
      </c>
      <c r="I69" s="4">
        <f>'4.1 Comptes 2020 natures'!I69/'4.1 Comptes 2020 natures'!I2</f>
        <v>80.776645552189478</v>
      </c>
      <c r="J69" s="4">
        <f>'4.1 Comptes 2020 natures'!J69/'4.1 Comptes 2020 natures'!J2</f>
        <v>0</v>
      </c>
      <c r="K69" s="4">
        <f>'4.1 Comptes 2020 natures'!K69/'4.1 Comptes 2020 natures'!K2</f>
        <v>0</v>
      </c>
      <c r="L69" s="4">
        <f>'4.1 Comptes 2020 natures'!L69/'4.1 Comptes 2020 natures'!L2</f>
        <v>54.873514027579645</v>
      </c>
      <c r="M69" s="4">
        <f>'4.1 Comptes 2020 natures'!M69/'4.1 Comptes 2020 natures'!M2</f>
        <v>31.0700291757841</v>
      </c>
      <c r="N69" s="4">
        <f>'4.1 Comptes 2020 natures'!N69/'4.1 Comptes 2020 natures'!N2</f>
        <v>0</v>
      </c>
      <c r="O69" s="4">
        <f>'4.1 Comptes 2020 natures'!O69/'4.1 Comptes 2020 natures'!O2</f>
        <v>8.8070322310590203</v>
      </c>
      <c r="P69" s="4">
        <f>'4.1 Comptes 2020 natures'!P69/'4.1 Comptes 2020 natures'!P2</f>
        <v>0</v>
      </c>
      <c r="Q69" s="4">
        <f>'4.1 Comptes 2020 natures'!Q69/'4.1 Comptes 2020 natures'!Q2</f>
        <v>0</v>
      </c>
      <c r="R69" s="4">
        <f>'4.1 Comptes 2020 natures'!R69/'4.1 Comptes 2020 natures'!R2</f>
        <v>0</v>
      </c>
      <c r="S69" s="4">
        <f>'4.1 Comptes 2020 natures'!S69/'4.1 Comptes 2020 natures'!S2</f>
        <v>0</v>
      </c>
      <c r="T69" s="4">
        <f>'4.1 Comptes 2020 natures'!T69/'4.1 Comptes 2020 natures'!T2</f>
        <v>0</v>
      </c>
      <c r="U69" s="4">
        <f>'4.1 Comptes 2020 natures'!U69/'4.1 Comptes 2020 natures'!U2</f>
        <v>0</v>
      </c>
      <c r="V69" s="4">
        <f>'4.1 Comptes 2020 natures'!V69/'4.1 Comptes 2020 natures'!V2</f>
        <v>0</v>
      </c>
      <c r="W69" s="4">
        <f>'4.1 Comptes 2020 natures'!W69/'4.1 Comptes 2020 natures'!W2</f>
        <v>54.7965987460815</v>
      </c>
      <c r="X69" s="4">
        <f>'4.1 Comptes 2020 natures'!X69/'4.1 Comptes 2020 natures'!X2</f>
        <v>5.4043209876543215E-2</v>
      </c>
      <c r="Y69" s="4">
        <f>'4.1 Comptes 2020 natures'!Y69/'4.1 Comptes 2020 natures'!Y2</f>
        <v>0</v>
      </c>
      <c r="Z69" s="4">
        <f>'4.1 Comptes 2020 natures'!Z69/'4.1 Comptes 2020 natures'!Z2</f>
        <v>0</v>
      </c>
      <c r="AA69" s="4">
        <f>'4.1 Comptes 2020 natures'!AA69/'4.1 Comptes 2020 natures'!AA2</f>
        <v>0</v>
      </c>
      <c r="AB69" s="4">
        <f>'4.1 Comptes 2020 natures'!AB69/'4.1 Comptes 2020 natures'!AB2</f>
        <v>0</v>
      </c>
      <c r="AC69" s="4">
        <f>'4.1 Comptes 2020 natures'!AC69/'4.1 Comptes 2020 natures'!AC2</f>
        <v>0</v>
      </c>
      <c r="AD69" s="4">
        <f>'4.1 Comptes 2020 natures'!AD69/'4.1 Comptes 2020 natures'!AD2</f>
        <v>56.054172876304023</v>
      </c>
      <c r="AE69" s="4">
        <f>'4.1 Comptes 2020 natures'!AE69/'4.1 Comptes 2020 natures'!AE2</f>
        <v>2.7097902097902096E-2</v>
      </c>
      <c r="AF69" s="4">
        <f>'4.1 Comptes 2020 natures'!AF69/'4.1 Comptes 2020 natures'!AF2</f>
        <v>0</v>
      </c>
      <c r="AG69" s="4">
        <f>'4.1 Comptes 2020 natures'!AG69/'4.1 Comptes 2020 natures'!AG2</f>
        <v>0</v>
      </c>
      <c r="AH69" s="4">
        <f>'4.1 Comptes 2020 natures'!AH69/'4.1 Comptes 2020 natures'!AH2</f>
        <v>0</v>
      </c>
      <c r="AI69" s="4">
        <f>'4.1 Comptes 2020 natures'!AI69/'4.1 Comptes 2020 natures'!AI2</f>
        <v>0</v>
      </c>
      <c r="AJ69" s="4">
        <f>'4.1 Comptes 2020 natures'!AJ69/'4.1 Comptes 2020 natures'!AJ2</f>
        <v>8.024045801526718</v>
      </c>
      <c r="AK69" s="4">
        <f>'4.1 Comptes 2020 natures'!AK69/'4.1 Comptes 2020 natures'!AK2</f>
        <v>0</v>
      </c>
      <c r="AL69" s="4">
        <f>'4.1 Comptes 2020 natures'!AL69/'4.1 Comptes 2020 natures'!AL2</f>
        <v>52.263215859030836</v>
      </c>
      <c r="AM69" s="4">
        <f>'4.1 Comptes 2020 natures'!AM69/'4.1 Comptes 2020 natures'!AM2</f>
        <v>0</v>
      </c>
      <c r="AN69" s="4">
        <f>'4.1 Comptes 2020 natures'!AN69/'4.1 Comptes 2020 natures'!AN2</f>
        <v>0</v>
      </c>
      <c r="AO69" s="4">
        <f>'4.1 Comptes 2020 natures'!AO69/'4.1 Comptes 2020 natures'!AO2</f>
        <v>0</v>
      </c>
      <c r="AP69" s="4">
        <f>'4.1 Comptes 2020 natures'!AP69/'4.1 Comptes 2020 natures'!AP2</f>
        <v>55.85844645550528</v>
      </c>
      <c r="AQ69" s="4">
        <f>'4.1 Comptes 2020 natures'!AQ69/'4.1 Comptes 2020 natures'!AQ2</f>
        <v>0</v>
      </c>
      <c r="AR69" s="4">
        <f>'4.1 Comptes 2020 natures'!AR69/'4.1 Comptes 2020 natures'!AR2</f>
        <v>0</v>
      </c>
      <c r="AS69" s="4">
        <f>'4.1 Comptes 2020 natures'!AS69/'4.1 Comptes 2020 natures'!AS2</f>
        <v>10.51837837837838</v>
      </c>
      <c r="AT69" s="4">
        <f>'4.1 Comptes 2020 natures'!AT69/'4.1 Comptes 2020 natures'!AT2</f>
        <v>0</v>
      </c>
      <c r="AU69" s="4">
        <f>'4.1 Comptes 2020 natures'!AU69/'4.1 Comptes 2020 natures'!AU2</f>
        <v>0</v>
      </c>
      <c r="AV69" s="4">
        <f>'4.1 Comptes 2020 natures'!AV69/'4.1 Comptes 2020 natures'!AV2</f>
        <v>0</v>
      </c>
      <c r="AW69" s="4">
        <f>'4.1 Comptes 2020 natures'!AW69/'4.1 Comptes 2020 natures'!AW2</f>
        <v>0</v>
      </c>
      <c r="AX69" s="4">
        <f>'4.1 Comptes 2020 natures'!AX69/'4.1 Comptes 2020 natures'!AX2</f>
        <v>40.601104972375694</v>
      </c>
      <c r="AY69" s="4">
        <f>'4.1 Comptes 2020 natures'!AY69/'4.1 Comptes 2020 natures'!AY2</f>
        <v>0</v>
      </c>
      <c r="AZ69" s="4">
        <f>'4.1 Comptes 2020 natures'!AZ69/'4.1 Comptes 2020 natures'!AZ2</f>
        <v>0</v>
      </c>
      <c r="BA69" s="4">
        <f>'4.1 Comptes 2020 natures'!BA69/'4.1 Comptes 2020 natures'!BA2</f>
        <v>0</v>
      </c>
      <c r="BB69" s="4">
        <f>'4.1 Comptes 2020 natures'!BB69/'4.1 Comptes 2020 natures'!BB2</f>
        <v>0</v>
      </c>
      <c r="BC69" s="4">
        <f>'4.1 Comptes 2020 natures'!BC69/'4.1 Comptes 2020 natures'!BC2</f>
        <v>14.276595744680851</v>
      </c>
      <c r="BD69" s="4">
        <f>'4.1 Comptes 2020 natures'!BD69/'4.1 Comptes 2020 natures'!BD2</f>
        <v>0</v>
      </c>
      <c r="BE69" s="4">
        <f>'4.1 Comptes 2020 natures'!BE69/'4.1 Comptes 2020 natures'!BE2</f>
        <v>0</v>
      </c>
      <c r="BF69" s="4">
        <f t="shared" si="42"/>
        <v>566.20543716003772</v>
      </c>
      <c r="BG69" s="4">
        <f t="shared" si="43"/>
        <v>328.52833596026147</v>
      </c>
      <c r="BH69" s="4">
        <f t="shared" si="44"/>
        <v>64.159359789805194</v>
      </c>
      <c r="BI69" s="4">
        <f t="shared" si="45"/>
        <v>173.51774140997102</v>
      </c>
    </row>
    <row r="70" spans="1:61" x14ac:dyDescent="0.3">
      <c r="C70">
        <v>395</v>
      </c>
      <c r="D70" t="s">
        <v>134</v>
      </c>
      <c r="E70" s="4">
        <f>'4.1 Comptes 2020 natures'!E70/'4.1 Comptes 2020 natures'!E2</f>
        <v>0</v>
      </c>
      <c r="F70" s="4">
        <f>'4.1 Comptes 2020 natures'!F70/'4.1 Comptes 2020 natures'!F2</f>
        <v>0</v>
      </c>
      <c r="G70" s="4">
        <f>'4.1 Comptes 2020 natures'!G70/'4.1 Comptes 2020 natures'!G2</f>
        <v>0</v>
      </c>
      <c r="H70" s="4">
        <f>'4.1 Comptes 2020 natures'!H70/'4.1 Comptes 2020 natures'!H2</f>
        <v>0.7982062780269058</v>
      </c>
      <c r="I70" s="4">
        <f>'4.1 Comptes 2020 natures'!I70/'4.1 Comptes 2020 natures'!I2</f>
        <v>0</v>
      </c>
      <c r="J70" s="4">
        <f>'4.1 Comptes 2020 natures'!J70/'4.1 Comptes 2020 natures'!J2</f>
        <v>0</v>
      </c>
      <c r="K70" s="4">
        <f>'4.1 Comptes 2020 natures'!K70/'4.1 Comptes 2020 natures'!K2</f>
        <v>0</v>
      </c>
      <c r="L70" s="4">
        <f>'4.1 Comptes 2020 natures'!L70/'4.1 Comptes 2020 natures'!L2</f>
        <v>0</v>
      </c>
      <c r="M70" s="4">
        <f>'4.1 Comptes 2020 natures'!M70/'4.1 Comptes 2020 natures'!M2</f>
        <v>0</v>
      </c>
      <c r="N70" s="4">
        <f>'4.1 Comptes 2020 natures'!N70/'4.1 Comptes 2020 natures'!N2</f>
        <v>0</v>
      </c>
      <c r="O70" s="4">
        <f>'4.1 Comptes 2020 natures'!O70/'4.1 Comptes 2020 natures'!O2</f>
        <v>0</v>
      </c>
      <c r="P70" s="4">
        <f>'4.1 Comptes 2020 natures'!P70/'4.1 Comptes 2020 natures'!P2</f>
        <v>0</v>
      </c>
      <c r="Q70" s="4">
        <f>'4.1 Comptes 2020 natures'!Q70/'4.1 Comptes 2020 natures'!Q2</f>
        <v>0</v>
      </c>
      <c r="R70" s="4">
        <f>'4.1 Comptes 2020 natures'!R70/'4.1 Comptes 2020 natures'!R2</f>
        <v>0</v>
      </c>
      <c r="S70" s="4">
        <f>'4.1 Comptes 2020 natures'!S70/'4.1 Comptes 2020 natures'!S2</f>
        <v>0</v>
      </c>
      <c r="T70" s="4">
        <f>'4.1 Comptes 2020 natures'!T70/'4.1 Comptes 2020 natures'!T2</f>
        <v>0</v>
      </c>
      <c r="U70" s="4">
        <f>'4.1 Comptes 2020 natures'!U70/'4.1 Comptes 2020 natures'!U2</f>
        <v>0</v>
      </c>
      <c r="V70" s="4">
        <f>'4.1 Comptes 2020 natures'!V70/'4.1 Comptes 2020 natures'!V2</f>
        <v>0</v>
      </c>
      <c r="W70" s="4">
        <f>'4.1 Comptes 2020 natures'!W70/'4.1 Comptes 2020 natures'!W2</f>
        <v>0</v>
      </c>
      <c r="X70" s="4">
        <f>'4.1 Comptes 2020 natures'!X70/'4.1 Comptes 2020 natures'!X2</f>
        <v>0</v>
      </c>
      <c r="Y70" s="4">
        <f>'4.1 Comptes 2020 natures'!Y70/'4.1 Comptes 2020 natures'!Y2</f>
        <v>0</v>
      </c>
      <c r="Z70" s="4">
        <f>'4.1 Comptes 2020 natures'!Z70/'4.1 Comptes 2020 natures'!Z2</f>
        <v>0</v>
      </c>
      <c r="AA70" s="4">
        <f>'4.1 Comptes 2020 natures'!AA70/'4.1 Comptes 2020 natures'!AA2</f>
        <v>0</v>
      </c>
      <c r="AB70" s="4">
        <f>'4.1 Comptes 2020 natures'!AB70/'4.1 Comptes 2020 natures'!AB2</f>
        <v>0</v>
      </c>
      <c r="AC70" s="4">
        <f>'4.1 Comptes 2020 natures'!AC70/'4.1 Comptes 2020 natures'!AC2</f>
        <v>0</v>
      </c>
      <c r="AD70" s="4">
        <f>'4.1 Comptes 2020 natures'!AD70/'4.1 Comptes 2020 natures'!AD2</f>
        <v>0</v>
      </c>
      <c r="AE70" s="4">
        <f>'4.1 Comptes 2020 natures'!AE70/'4.1 Comptes 2020 natures'!AE2</f>
        <v>0</v>
      </c>
      <c r="AF70" s="4">
        <f>'4.1 Comptes 2020 natures'!AF70/'4.1 Comptes 2020 natures'!AF2</f>
        <v>0</v>
      </c>
      <c r="AG70" s="4">
        <f>'4.1 Comptes 2020 natures'!AG70/'4.1 Comptes 2020 natures'!AG2</f>
        <v>0</v>
      </c>
      <c r="AH70" s="4">
        <f>'4.1 Comptes 2020 natures'!AH70/'4.1 Comptes 2020 natures'!AH2</f>
        <v>0</v>
      </c>
      <c r="AI70" s="4">
        <f>'4.1 Comptes 2020 natures'!AI70/'4.1 Comptes 2020 natures'!AI2</f>
        <v>0</v>
      </c>
      <c r="AJ70" s="4">
        <f>'4.1 Comptes 2020 natures'!AJ70/'4.1 Comptes 2020 natures'!AJ2</f>
        <v>0</v>
      </c>
      <c r="AK70" s="4">
        <f>'4.1 Comptes 2020 natures'!AK70/'4.1 Comptes 2020 natures'!AK2</f>
        <v>0</v>
      </c>
      <c r="AL70" s="4">
        <f>'4.1 Comptes 2020 natures'!AL70/'4.1 Comptes 2020 natures'!AL2</f>
        <v>0</v>
      </c>
      <c r="AM70" s="4">
        <f>'4.1 Comptes 2020 natures'!AM70/'4.1 Comptes 2020 natures'!AM2</f>
        <v>0</v>
      </c>
      <c r="AN70" s="4">
        <f>'4.1 Comptes 2020 natures'!AN70/'4.1 Comptes 2020 natures'!AN2</f>
        <v>0</v>
      </c>
      <c r="AO70" s="4">
        <f>'4.1 Comptes 2020 natures'!AO70/'4.1 Comptes 2020 natures'!AO2</f>
        <v>0</v>
      </c>
      <c r="AP70" s="4">
        <f>'4.1 Comptes 2020 natures'!AP70/'4.1 Comptes 2020 natures'!AP2</f>
        <v>0</v>
      </c>
      <c r="AQ70" s="4">
        <f>'4.1 Comptes 2020 natures'!AQ70/'4.1 Comptes 2020 natures'!AQ2</f>
        <v>0</v>
      </c>
      <c r="AR70" s="4">
        <f>'4.1 Comptes 2020 natures'!AR70/'4.1 Comptes 2020 natures'!AR2</f>
        <v>0</v>
      </c>
      <c r="AS70" s="4">
        <f>'4.1 Comptes 2020 natures'!AS70/'4.1 Comptes 2020 natures'!AS2</f>
        <v>0</v>
      </c>
      <c r="AT70" s="4">
        <f>'4.1 Comptes 2020 natures'!AT70/'4.1 Comptes 2020 natures'!AT2</f>
        <v>0</v>
      </c>
      <c r="AU70" s="4">
        <f>'4.1 Comptes 2020 natures'!AU70/'4.1 Comptes 2020 natures'!AU2</f>
        <v>0</v>
      </c>
      <c r="AV70" s="4">
        <f>'4.1 Comptes 2020 natures'!AV70/'4.1 Comptes 2020 natures'!AV2</f>
        <v>0</v>
      </c>
      <c r="AW70" s="4">
        <f>'4.1 Comptes 2020 natures'!AW70/'4.1 Comptes 2020 natures'!AW2</f>
        <v>0</v>
      </c>
      <c r="AX70" s="4">
        <f>'4.1 Comptes 2020 natures'!AX70/'4.1 Comptes 2020 natures'!AX2</f>
        <v>0</v>
      </c>
      <c r="AY70" s="4">
        <f>'4.1 Comptes 2020 natures'!AY70/'4.1 Comptes 2020 natures'!AY2</f>
        <v>0</v>
      </c>
      <c r="AZ70" s="4">
        <f>'4.1 Comptes 2020 natures'!AZ70/'4.1 Comptes 2020 natures'!AZ2</f>
        <v>0</v>
      </c>
      <c r="BA70" s="4">
        <f>'4.1 Comptes 2020 natures'!BA70/'4.1 Comptes 2020 natures'!BA2</f>
        <v>0</v>
      </c>
      <c r="BB70" s="4">
        <f>'4.1 Comptes 2020 natures'!BB70/'4.1 Comptes 2020 natures'!BB2</f>
        <v>0</v>
      </c>
      <c r="BC70" s="4">
        <f>'4.1 Comptes 2020 natures'!BC70/'4.1 Comptes 2020 natures'!BC2</f>
        <v>0</v>
      </c>
      <c r="BD70" s="4">
        <f>'4.1 Comptes 2020 natures'!BD70/'4.1 Comptes 2020 natures'!BD2</f>
        <v>0</v>
      </c>
      <c r="BE70" s="4">
        <f>'4.1 Comptes 2020 natures'!BE70/'4.1 Comptes 2020 natures'!BE2</f>
        <v>0</v>
      </c>
      <c r="BF70" s="4">
        <f t="shared" si="42"/>
        <v>0.7982062780269058</v>
      </c>
      <c r="BG70" s="4">
        <f t="shared" si="43"/>
        <v>0.7982062780269058</v>
      </c>
      <c r="BH70" s="4">
        <f t="shared" si="44"/>
        <v>0</v>
      </c>
      <c r="BI70" s="4">
        <f t="shared" si="45"/>
        <v>0</v>
      </c>
    </row>
    <row r="71" spans="1:61" x14ac:dyDescent="0.3">
      <c r="C71">
        <v>398</v>
      </c>
      <c r="D71" t="s">
        <v>135</v>
      </c>
      <c r="E71" s="4">
        <f>'4.1 Comptes 2020 natures'!E71/'4.1 Comptes 2020 natures'!E2</f>
        <v>0</v>
      </c>
      <c r="F71" s="4">
        <f>'4.1 Comptes 2020 natures'!F71/'4.1 Comptes 2020 natures'!F2</f>
        <v>0</v>
      </c>
      <c r="G71" s="4">
        <f>'4.1 Comptes 2020 natures'!G71/'4.1 Comptes 2020 natures'!G2</f>
        <v>0</v>
      </c>
      <c r="H71" s="4">
        <f>'4.1 Comptes 2020 natures'!H71/'4.1 Comptes 2020 natures'!H2</f>
        <v>0</v>
      </c>
      <c r="I71" s="4">
        <f>'4.1 Comptes 2020 natures'!I71/'4.1 Comptes 2020 natures'!I2</f>
        <v>0</v>
      </c>
      <c r="J71" s="4">
        <f>'4.1 Comptes 2020 natures'!J71/'4.1 Comptes 2020 natures'!J2</f>
        <v>0</v>
      </c>
      <c r="K71" s="4">
        <f>'4.1 Comptes 2020 natures'!K71/'4.1 Comptes 2020 natures'!K2</f>
        <v>0</v>
      </c>
      <c r="L71" s="4">
        <f>'4.1 Comptes 2020 natures'!L71/'4.1 Comptes 2020 natures'!L2</f>
        <v>195.41819781264857</v>
      </c>
      <c r="M71" s="4">
        <f>'4.1 Comptes 2020 natures'!M71/'4.1 Comptes 2020 natures'!M2</f>
        <v>0</v>
      </c>
      <c r="N71" s="4">
        <f>'4.1 Comptes 2020 natures'!N71/'4.1 Comptes 2020 natures'!N2</f>
        <v>0</v>
      </c>
      <c r="O71" s="4">
        <f>'4.1 Comptes 2020 natures'!O71/'4.1 Comptes 2020 natures'!O2</f>
        <v>0</v>
      </c>
      <c r="P71" s="4">
        <f>'4.1 Comptes 2020 natures'!P71/'4.1 Comptes 2020 natures'!P2</f>
        <v>0</v>
      </c>
      <c r="Q71" s="4">
        <f>'4.1 Comptes 2020 natures'!Q71/'4.1 Comptes 2020 natures'!Q2</f>
        <v>0</v>
      </c>
      <c r="R71" s="4">
        <f>'4.1 Comptes 2020 natures'!R71/'4.1 Comptes 2020 natures'!R2</f>
        <v>0</v>
      </c>
      <c r="S71" s="4">
        <f>'4.1 Comptes 2020 natures'!S71/'4.1 Comptes 2020 natures'!S2</f>
        <v>0</v>
      </c>
      <c r="T71" s="4">
        <f>'4.1 Comptes 2020 natures'!T71/'4.1 Comptes 2020 natures'!T2</f>
        <v>0</v>
      </c>
      <c r="U71" s="4">
        <f>'4.1 Comptes 2020 natures'!U71/'4.1 Comptes 2020 natures'!U2</f>
        <v>0</v>
      </c>
      <c r="V71" s="4">
        <f>'4.1 Comptes 2020 natures'!V71/'4.1 Comptes 2020 natures'!V2</f>
        <v>0</v>
      </c>
      <c r="W71" s="4">
        <f>'4.1 Comptes 2020 natures'!W71/'4.1 Comptes 2020 natures'!W2</f>
        <v>0</v>
      </c>
      <c r="X71" s="4">
        <f>'4.1 Comptes 2020 natures'!X71/'4.1 Comptes 2020 natures'!X2</f>
        <v>0</v>
      </c>
      <c r="Y71" s="4">
        <f>'4.1 Comptes 2020 natures'!Y71/'4.1 Comptes 2020 natures'!Y2</f>
        <v>0</v>
      </c>
      <c r="Z71" s="4">
        <f>'4.1 Comptes 2020 natures'!Z71/'4.1 Comptes 2020 natures'!Z2</f>
        <v>0</v>
      </c>
      <c r="AA71" s="4">
        <f>'4.1 Comptes 2020 natures'!AA71/'4.1 Comptes 2020 natures'!AA2</f>
        <v>0</v>
      </c>
      <c r="AB71" s="4">
        <f>'4.1 Comptes 2020 natures'!AB71/'4.1 Comptes 2020 natures'!AB2</f>
        <v>0</v>
      </c>
      <c r="AC71" s="4">
        <f>'4.1 Comptes 2020 natures'!AC71/'4.1 Comptes 2020 natures'!AC2</f>
        <v>0</v>
      </c>
      <c r="AD71" s="4">
        <f>'4.1 Comptes 2020 natures'!AD71/'4.1 Comptes 2020 natures'!AD2</f>
        <v>0</v>
      </c>
      <c r="AE71" s="4">
        <f>'4.1 Comptes 2020 natures'!AE71/'4.1 Comptes 2020 natures'!AE2</f>
        <v>0</v>
      </c>
      <c r="AF71" s="4">
        <f>'4.1 Comptes 2020 natures'!AF71/'4.1 Comptes 2020 natures'!AF2</f>
        <v>0</v>
      </c>
      <c r="AG71" s="4">
        <f>'4.1 Comptes 2020 natures'!AG71/'4.1 Comptes 2020 natures'!AG2</f>
        <v>0</v>
      </c>
      <c r="AH71" s="4">
        <f>'4.1 Comptes 2020 natures'!AH71/'4.1 Comptes 2020 natures'!AH2</f>
        <v>0</v>
      </c>
      <c r="AI71" s="4">
        <f>'4.1 Comptes 2020 natures'!AI71/'4.1 Comptes 2020 natures'!AI2</f>
        <v>0</v>
      </c>
      <c r="AJ71" s="4">
        <f>'4.1 Comptes 2020 natures'!AJ71/'4.1 Comptes 2020 natures'!AJ2</f>
        <v>0</v>
      </c>
      <c r="AK71" s="4">
        <f>'4.1 Comptes 2020 natures'!AK71/'4.1 Comptes 2020 natures'!AK2</f>
        <v>0</v>
      </c>
      <c r="AL71" s="4">
        <f>'4.1 Comptes 2020 natures'!AL71/'4.1 Comptes 2020 natures'!AL2</f>
        <v>0</v>
      </c>
      <c r="AM71" s="4">
        <f>'4.1 Comptes 2020 natures'!AM71/'4.1 Comptes 2020 natures'!AM2</f>
        <v>0</v>
      </c>
      <c r="AN71" s="4">
        <f>'4.1 Comptes 2020 natures'!AN71/'4.1 Comptes 2020 natures'!AN2</f>
        <v>0</v>
      </c>
      <c r="AO71" s="4">
        <f>'4.1 Comptes 2020 natures'!AO71/'4.1 Comptes 2020 natures'!AO2</f>
        <v>0</v>
      </c>
      <c r="AP71" s="4">
        <f>'4.1 Comptes 2020 natures'!AP71/'4.1 Comptes 2020 natures'!AP2</f>
        <v>0</v>
      </c>
      <c r="AQ71" s="4">
        <f>'4.1 Comptes 2020 natures'!AQ71/'4.1 Comptes 2020 natures'!AQ2</f>
        <v>0</v>
      </c>
      <c r="AR71" s="4">
        <f>'4.1 Comptes 2020 natures'!AR71/'4.1 Comptes 2020 natures'!AR2</f>
        <v>0</v>
      </c>
      <c r="AS71" s="4">
        <f>'4.1 Comptes 2020 natures'!AS71/'4.1 Comptes 2020 natures'!AS2</f>
        <v>0</v>
      </c>
      <c r="AT71" s="4">
        <f>'4.1 Comptes 2020 natures'!AT71/'4.1 Comptes 2020 natures'!AT2</f>
        <v>0</v>
      </c>
      <c r="AU71" s="4">
        <f>'4.1 Comptes 2020 natures'!AU71/'4.1 Comptes 2020 natures'!AU2</f>
        <v>0</v>
      </c>
      <c r="AV71" s="4">
        <f>'4.1 Comptes 2020 natures'!AV71/'4.1 Comptes 2020 natures'!AV2</f>
        <v>0</v>
      </c>
      <c r="AW71" s="4">
        <f>'4.1 Comptes 2020 natures'!AW71/'4.1 Comptes 2020 natures'!AW2</f>
        <v>0</v>
      </c>
      <c r="AX71" s="4">
        <f>'4.1 Comptes 2020 natures'!AX71/'4.1 Comptes 2020 natures'!AX2</f>
        <v>0</v>
      </c>
      <c r="AY71" s="4">
        <f>'4.1 Comptes 2020 natures'!AY71/'4.1 Comptes 2020 natures'!AY2</f>
        <v>0</v>
      </c>
      <c r="AZ71" s="4">
        <f>'4.1 Comptes 2020 natures'!AZ71/'4.1 Comptes 2020 natures'!AZ2</f>
        <v>0</v>
      </c>
      <c r="BA71" s="4">
        <f>'4.1 Comptes 2020 natures'!BA71/'4.1 Comptes 2020 natures'!BA2</f>
        <v>0</v>
      </c>
      <c r="BB71" s="4">
        <f>'4.1 Comptes 2020 natures'!BB71/'4.1 Comptes 2020 natures'!BB2</f>
        <v>0</v>
      </c>
      <c r="BC71" s="4">
        <f>'4.1 Comptes 2020 natures'!BC71/'4.1 Comptes 2020 natures'!BC2</f>
        <v>0</v>
      </c>
      <c r="BD71" s="4">
        <f>'4.1 Comptes 2020 natures'!BD71/'4.1 Comptes 2020 natures'!BD2</f>
        <v>0</v>
      </c>
      <c r="BE71" s="4">
        <f>'4.1 Comptes 2020 natures'!BE71/'4.1 Comptes 2020 natures'!BE2</f>
        <v>0</v>
      </c>
      <c r="BF71" s="4">
        <f t="shared" si="42"/>
        <v>195.41819781264857</v>
      </c>
      <c r="BG71" s="4">
        <f t="shared" si="43"/>
        <v>195.41819781264857</v>
      </c>
      <c r="BH71" s="4">
        <f t="shared" si="44"/>
        <v>0</v>
      </c>
      <c r="BI71" s="4">
        <f t="shared" si="45"/>
        <v>0</v>
      </c>
    </row>
    <row r="72" spans="1:61" x14ac:dyDescent="0.3">
      <c r="C72">
        <v>399</v>
      </c>
      <c r="D72" t="s">
        <v>136</v>
      </c>
      <c r="E72" s="4">
        <f>'4.1 Comptes 2020 natures'!E72/'4.1 Comptes 2020 natures'!E2</f>
        <v>0</v>
      </c>
      <c r="F72" s="4">
        <f>'4.1 Comptes 2020 natures'!F72/'4.1 Comptes 2020 natures'!F2</f>
        <v>0</v>
      </c>
      <c r="G72" s="4">
        <f>'4.1 Comptes 2020 natures'!G72/'4.1 Comptes 2020 natures'!G2</f>
        <v>0</v>
      </c>
      <c r="H72" s="4">
        <f>'4.1 Comptes 2020 natures'!H72/'4.1 Comptes 2020 natures'!H2</f>
        <v>0</v>
      </c>
      <c r="I72" s="4">
        <f>'4.1 Comptes 2020 natures'!I72/'4.1 Comptes 2020 natures'!I2</f>
        <v>0</v>
      </c>
      <c r="J72" s="4">
        <f>'4.1 Comptes 2020 natures'!J72/'4.1 Comptes 2020 natures'!J2</f>
        <v>0</v>
      </c>
      <c r="K72" s="4">
        <f>'4.1 Comptes 2020 natures'!K72/'4.1 Comptes 2020 natures'!K2</f>
        <v>0</v>
      </c>
      <c r="L72" s="4">
        <f>'4.1 Comptes 2020 natures'!L72/'4.1 Comptes 2020 natures'!L2</f>
        <v>154.69914090981138</v>
      </c>
      <c r="M72" s="4">
        <f>'4.1 Comptes 2020 natures'!M72/'4.1 Comptes 2020 natures'!M2</f>
        <v>0</v>
      </c>
      <c r="N72" s="4">
        <f>'4.1 Comptes 2020 natures'!N72/'4.1 Comptes 2020 natures'!N2</f>
        <v>0</v>
      </c>
      <c r="O72" s="4">
        <f>'4.1 Comptes 2020 natures'!O72/'4.1 Comptes 2020 natures'!O2</f>
        <v>0</v>
      </c>
      <c r="P72" s="4">
        <f>'4.1 Comptes 2020 natures'!P72/'4.1 Comptes 2020 natures'!P2</f>
        <v>0</v>
      </c>
      <c r="Q72" s="4">
        <f>'4.1 Comptes 2020 natures'!Q72/'4.1 Comptes 2020 natures'!Q2</f>
        <v>0</v>
      </c>
      <c r="R72" s="4">
        <f>'4.1 Comptes 2020 natures'!R72/'4.1 Comptes 2020 natures'!R2</f>
        <v>0</v>
      </c>
      <c r="S72" s="4">
        <f>'4.1 Comptes 2020 natures'!S72/'4.1 Comptes 2020 natures'!S2</f>
        <v>0</v>
      </c>
      <c r="T72" s="4">
        <f>'4.1 Comptes 2020 natures'!T72/'4.1 Comptes 2020 natures'!T2</f>
        <v>0</v>
      </c>
      <c r="U72" s="4">
        <f>'4.1 Comptes 2020 natures'!U72/'4.1 Comptes 2020 natures'!U2</f>
        <v>0</v>
      </c>
      <c r="V72" s="4">
        <f>'4.1 Comptes 2020 natures'!V72/'4.1 Comptes 2020 natures'!V2</f>
        <v>0</v>
      </c>
      <c r="W72" s="4">
        <f>'4.1 Comptes 2020 natures'!W72/'4.1 Comptes 2020 natures'!W2</f>
        <v>1.6927899686520376</v>
      </c>
      <c r="X72" s="4">
        <f>'4.1 Comptes 2020 natures'!X72/'4.1 Comptes 2020 natures'!X2</f>
        <v>0</v>
      </c>
      <c r="Y72" s="4">
        <f>'4.1 Comptes 2020 natures'!Y72/'4.1 Comptes 2020 natures'!Y2</f>
        <v>0</v>
      </c>
      <c r="Z72" s="4">
        <f>'4.1 Comptes 2020 natures'!Z72/'4.1 Comptes 2020 natures'!Z2</f>
        <v>0</v>
      </c>
      <c r="AA72" s="4">
        <f>'4.1 Comptes 2020 natures'!AA72/'4.1 Comptes 2020 natures'!AA2</f>
        <v>0</v>
      </c>
      <c r="AB72" s="4">
        <f>'4.1 Comptes 2020 natures'!AB72/'4.1 Comptes 2020 natures'!AB2</f>
        <v>0</v>
      </c>
      <c r="AC72" s="4">
        <f>'4.1 Comptes 2020 natures'!AC72/'4.1 Comptes 2020 natures'!AC2</f>
        <v>0</v>
      </c>
      <c r="AD72" s="4">
        <f>'4.1 Comptes 2020 natures'!AD72/'4.1 Comptes 2020 natures'!AD2</f>
        <v>0</v>
      </c>
      <c r="AE72" s="4">
        <f>'4.1 Comptes 2020 natures'!AE72/'4.1 Comptes 2020 natures'!AE2</f>
        <v>0</v>
      </c>
      <c r="AF72" s="4">
        <f>'4.1 Comptes 2020 natures'!AF72/'4.1 Comptes 2020 natures'!AF2</f>
        <v>0</v>
      </c>
      <c r="AG72" s="4">
        <f>'4.1 Comptes 2020 natures'!AG72/'4.1 Comptes 2020 natures'!AG2</f>
        <v>0</v>
      </c>
      <c r="AH72" s="4">
        <f>'4.1 Comptes 2020 natures'!AH72/'4.1 Comptes 2020 natures'!AH2</f>
        <v>0</v>
      </c>
      <c r="AI72" s="4">
        <f>'4.1 Comptes 2020 natures'!AI72/'4.1 Comptes 2020 natures'!AI2</f>
        <v>0</v>
      </c>
      <c r="AJ72" s="4">
        <f>'4.1 Comptes 2020 natures'!AJ72/'4.1 Comptes 2020 natures'!AJ2</f>
        <v>0</v>
      </c>
      <c r="AK72" s="4">
        <f>'4.1 Comptes 2020 natures'!AK72/'4.1 Comptes 2020 natures'!AK2</f>
        <v>0</v>
      </c>
      <c r="AL72" s="4">
        <f>'4.1 Comptes 2020 natures'!AL72/'4.1 Comptes 2020 natures'!AL2</f>
        <v>0</v>
      </c>
      <c r="AM72" s="4">
        <f>'4.1 Comptes 2020 natures'!AM72/'4.1 Comptes 2020 natures'!AM2</f>
        <v>0</v>
      </c>
      <c r="AN72" s="4">
        <f>'4.1 Comptes 2020 natures'!AN72/'4.1 Comptes 2020 natures'!AN2</f>
        <v>0</v>
      </c>
      <c r="AO72" s="4">
        <f>'4.1 Comptes 2020 natures'!AO72/'4.1 Comptes 2020 natures'!AO2</f>
        <v>0</v>
      </c>
      <c r="AP72" s="4">
        <f>'4.1 Comptes 2020 natures'!AP72/'4.1 Comptes 2020 natures'!AP2</f>
        <v>0</v>
      </c>
      <c r="AQ72" s="4">
        <f>'4.1 Comptes 2020 natures'!AQ72/'4.1 Comptes 2020 natures'!AQ2</f>
        <v>0</v>
      </c>
      <c r="AR72" s="4">
        <f>'4.1 Comptes 2020 natures'!AR72/'4.1 Comptes 2020 natures'!AR2</f>
        <v>0</v>
      </c>
      <c r="AS72" s="4">
        <f>'4.1 Comptes 2020 natures'!AS72/'4.1 Comptes 2020 natures'!AS2</f>
        <v>0</v>
      </c>
      <c r="AT72" s="4">
        <f>'4.1 Comptes 2020 natures'!AT72/'4.1 Comptes 2020 natures'!AT2</f>
        <v>0</v>
      </c>
      <c r="AU72" s="4">
        <f>'4.1 Comptes 2020 natures'!AU72/'4.1 Comptes 2020 natures'!AU2</f>
        <v>0</v>
      </c>
      <c r="AV72" s="4">
        <f>'4.1 Comptes 2020 natures'!AV72/'4.1 Comptes 2020 natures'!AV2</f>
        <v>0</v>
      </c>
      <c r="AW72" s="4">
        <f>'4.1 Comptes 2020 natures'!AW72/'4.1 Comptes 2020 natures'!AW2</f>
        <v>0</v>
      </c>
      <c r="AX72" s="4">
        <f>'4.1 Comptes 2020 natures'!AX72/'4.1 Comptes 2020 natures'!AX2</f>
        <v>0</v>
      </c>
      <c r="AY72" s="4">
        <f>'4.1 Comptes 2020 natures'!AY72/'4.1 Comptes 2020 natures'!AY2</f>
        <v>0</v>
      </c>
      <c r="AZ72" s="4">
        <f>'4.1 Comptes 2020 natures'!AZ72/'4.1 Comptes 2020 natures'!AZ2</f>
        <v>2.0710059171597632</v>
      </c>
      <c r="BA72" s="4">
        <f>'4.1 Comptes 2020 natures'!BA72/'4.1 Comptes 2020 natures'!BA2</f>
        <v>0</v>
      </c>
      <c r="BB72" s="4">
        <f>'4.1 Comptes 2020 natures'!BB72/'4.1 Comptes 2020 natures'!BB2</f>
        <v>0</v>
      </c>
      <c r="BC72" s="4">
        <f>'4.1 Comptes 2020 natures'!BC72/'4.1 Comptes 2020 natures'!BC2</f>
        <v>0</v>
      </c>
      <c r="BD72" s="4">
        <f>'4.1 Comptes 2020 natures'!BD72/'4.1 Comptes 2020 natures'!BD2</f>
        <v>0</v>
      </c>
      <c r="BE72" s="4">
        <f>'4.1 Comptes 2020 natures'!BE72/'4.1 Comptes 2020 natures'!BE2</f>
        <v>0</v>
      </c>
      <c r="BF72" s="4">
        <f t="shared" si="42"/>
        <v>158.46293679562319</v>
      </c>
      <c r="BG72" s="4">
        <f t="shared" si="43"/>
        <v>156.39193087846343</v>
      </c>
      <c r="BH72" s="4">
        <f t="shared" si="44"/>
        <v>0</v>
      </c>
      <c r="BI72" s="4">
        <f t="shared" si="45"/>
        <v>2.0710059171597632</v>
      </c>
    </row>
    <row r="73" spans="1:61" x14ac:dyDescent="0.3">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3">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4">
      <c r="A75" s="98">
        <v>4</v>
      </c>
      <c r="B75" s="98"/>
      <c r="C75" s="98"/>
      <c r="D75" s="98" t="s">
        <v>137</v>
      </c>
      <c r="E75" s="97">
        <f>E76+E82+E88+E99+E105+E117+E121+E128+E131+E140</f>
        <v>4725.6075622968583</v>
      </c>
      <c r="F75" s="97">
        <f t="shared" ref="F75:BI75" si="46">F76+F82+F88+F99+F105+F117+F121+F128+F131+F140</f>
        <v>4473.4967407407412</v>
      </c>
      <c r="G75" s="97">
        <f t="shared" si="46"/>
        <v>3528.5215257731957</v>
      </c>
      <c r="H75" s="97">
        <f t="shared" si="46"/>
        <v>3946.5501569506723</v>
      </c>
      <c r="I75" s="97">
        <f t="shared" si="46"/>
        <v>4004.0498870834476</v>
      </c>
      <c r="J75" s="97">
        <f t="shared" si="46"/>
        <v>4348.9699909447627</v>
      </c>
      <c r="K75" s="97">
        <f t="shared" si="46"/>
        <v>3953.3641906202724</v>
      </c>
      <c r="L75" s="97">
        <f t="shared" si="46"/>
        <v>8021.0986852116021</v>
      </c>
      <c r="M75" s="97">
        <f t="shared" si="46"/>
        <v>5230.6986141502548</v>
      </c>
      <c r="N75" s="97">
        <f t="shared" si="46"/>
        <v>3400.6086440677964</v>
      </c>
      <c r="O75" s="97">
        <f t="shared" si="46"/>
        <v>3404.069552113855</v>
      </c>
      <c r="P75" s="97">
        <f t="shared" si="46"/>
        <v>3656.5479545454555</v>
      </c>
      <c r="Q75" s="97">
        <f t="shared" si="46"/>
        <v>3418.0969444444445</v>
      </c>
      <c r="R75" s="97">
        <f t="shared" si="46"/>
        <v>3665.0187951807225</v>
      </c>
      <c r="S75" s="97">
        <f t="shared" si="46"/>
        <v>3848.9428366762177</v>
      </c>
      <c r="T75" s="97">
        <f t="shared" si="46"/>
        <v>4190.6506404657948</v>
      </c>
      <c r="U75" s="97">
        <f t="shared" si="46"/>
        <v>3975.1637647058819</v>
      </c>
      <c r="V75" s="97">
        <f t="shared" si="46"/>
        <v>5201.3993577981646</v>
      </c>
      <c r="W75" s="97">
        <f t="shared" si="46"/>
        <v>3800.0172884012545</v>
      </c>
      <c r="X75" s="97">
        <f t="shared" si="46"/>
        <v>5782.3639197530874</v>
      </c>
      <c r="Y75" s="97">
        <f t="shared" si="46"/>
        <v>4688.3867817014452</v>
      </c>
      <c r="Z75" s="97">
        <f t="shared" si="46"/>
        <v>9394.1458246073289</v>
      </c>
      <c r="AA75" s="97">
        <f t="shared" si="46"/>
        <v>6597.5305208333339</v>
      </c>
      <c r="AB75" s="97">
        <f t="shared" si="46"/>
        <v>5834.9889261744956</v>
      </c>
      <c r="AC75" s="97">
        <f t="shared" si="46"/>
        <v>5058.7437790697677</v>
      </c>
      <c r="AD75" s="97">
        <f t="shared" si="46"/>
        <v>4955.2103278688528</v>
      </c>
      <c r="AE75" s="97">
        <f t="shared" si="46"/>
        <v>4351.4553671328667</v>
      </c>
      <c r="AF75" s="97">
        <f t="shared" si="46"/>
        <v>7830.5577959183684</v>
      </c>
      <c r="AG75" s="97">
        <f t="shared" si="46"/>
        <v>5187.6416248693822</v>
      </c>
      <c r="AH75" s="97">
        <f t="shared" si="46"/>
        <v>4523.3804321223697</v>
      </c>
      <c r="AI75" s="97">
        <f t="shared" si="46"/>
        <v>5038.9596475770923</v>
      </c>
      <c r="AJ75" s="97">
        <f t="shared" si="46"/>
        <v>5074.9774809160299</v>
      </c>
      <c r="AK75" s="97">
        <f t="shared" si="46"/>
        <v>4301.8004379947233</v>
      </c>
      <c r="AL75" s="97">
        <f t="shared" si="46"/>
        <v>5043.1150044052865</v>
      </c>
      <c r="AM75" s="97">
        <f t="shared" si="46"/>
        <v>3712.3336825141023</v>
      </c>
      <c r="AN75" s="97">
        <f t="shared" si="46"/>
        <v>4855.7499159663876</v>
      </c>
      <c r="AO75" s="97">
        <f t="shared" si="46"/>
        <v>7272.5566359832628</v>
      </c>
      <c r="AP75" s="97">
        <f t="shared" si="46"/>
        <v>5996.3980693815984</v>
      </c>
      <c r="AQ75" s="97">
        <f t="shared" si="46"/>
        <v>3913.4564031007753</v>
      </c>
      <c r="AR75" s="97">
        <f t="shared" si="46"/>
        <v>5737.570269200316</v>
      </c>
      <c r="AS75" s="97">
        <f t="shared" si="46"/>
        <v>4135.71227027027</v>
      </c>
      <c r="AT75" s="97">
        <f t="shared" si="46"/>
        <v>4272.0051167315178</v>
      </c>
      <c r="AU75" s="97">
        <f t="shared" si="46"/>
        <v>8822.4509554140113</v>
      </c>
      <c r="AV75" s="97">
        <f t="shared" si="46"/>
        <v>3611.8806708333336</v>
      </c>
      <c r="AW75" s="97">
        <f t="shared" si="46"/>
        <v>3896.0589801324504</v>
      </c>
      <c r="AX75" s="97">
        <f t="shared" si="46"/>
        <v>4260.0320441988943</v>
      </c>
      <c r="AY75" s="97">
        <f t="shared" si="46"/>
        <v>4499.0024495677235</v>
      </c>
      <c r="AZ75" s="97">
        <f t="shared" si="46"/>
        <v>4202.9342189349109</v>
      </c>
      <c r="BA75" s="97">
        <f t="shared" si="46"/>
        <v>4909.5119638242895</v>
      </c>
      <c r="BB75" s="97">
        <f t="shared" si="46"/>
        <v>5349.849835766423</v>
      </c>
      <c r="BC75" s="97">
        <f t="shared" si="46"/>
        <v>3305.5404255319149</v>
      </c>
      <c r="BD75" s="97">
        <f t="shared" si="46"/>
        <v>6485.0547062480582</v>
      </c>
      <c r="BE75" s="97">
        <f t="shared" si="46"/>
        <v>4365.7773928571432</v>
      </c>
      <c r="BF75" s="97">
        <f t="shared" si="46"/>
        <v>258060.00700957316</v>
      </c>
      <c r="BG75" s="97">
        <f t="shared" si="46"/>
        <v>80792.873132171386</v>
      </c>
      <c r="BH75" s="97">
        <f t="shared" si="46"/>
        <v>74318.342428544405</v>
      </c>
      <c r="BI75" s="97">
        <f t="shared" si="46"/>
        <v>102948.7914488574</v>
      </c>
    </row>
    <row r="76" spans="1:61" x14ac:dyDescent="0.3">
      <c r="A76" s="7"/>
      <c r="B76" s="96">
        <v>40</v>
      </c>
      <c r="C76" s="96"/>
      <c r="D76" s="96" t="s">
        <v>79</v>
      </c>
      <c r="E76" s="91">
        <f>E77+E78+E79+E80</f>
        <v>3608.782936078007</v>
      </c>
      <c r="F76" s="91">
        <f t="shared" ref="F76:BI76" si="47">F77+F78+F79+F80</f>
        <v>2515.9483333333337</v>
      </c>
      <c r="G76" s="91">
        <f t="shared" si="47"/>
        <v>2388.0231958762884</v>
      </c>
      <c r="H76" s="91">
        <f t="shared" si="47"/>
        <v>2421.5825112107623</v>
      </c>
      <c r="I76" s="91">
        <f t="shared" si="47"/>
        <v>2235.0037730652712</v>
      </c>
      <c r="J76" s="91">
        <f t="shared" si="47"/>
        <v>2850.9736039843046</v>
      </c>
      <c r="K76" s="91">
        <f t="shared" si="47"/>
        <v>2689.9585325264752</v>
      </c>
      <c r="L76" s="91">
        <f t="shared" si="47"/>
        <v>3097.1503249326361</v>
      </c>
      <c r="M76" s="91">
        <f t="shared" si="47"/>
        <v>2553.5054266958423</v>
      </c>
      <c r="N76" s="91">
        <f t="shared" si="47"/>
        <v>1725.7726271186439</v>
      </c>
      <c r="O76" s="91">
        <f t="shared" si="47"/>
        <v>2305.3218920050231</v>
      </c>
      <c r="P76" s="91">
        <f t="shared" si="47"/>
        <v>2385.2366477272731</v>
      </c>
      <c r="Q76" s="91">
        <f t="shared" si="47"/>
        <v>1922.7379629629629</v>
      </c>
      <c r="R76" s="91">
        <f t="shared" si="47"/>
        <v>2437.3075903614454</v>
      </c>
      <c r="S76" s="91">
        <f t="shared" si="47"/>
        <v>2071.3729226361033</v>
      </c>
      <c r="T76" s="91">
        <f t="shared" si="47"/>
        <v>2919.1296943231441</v>
      </c>
      <c r="U76" s="91">
        <f t="shared" si="47"/>
        <v>2339.407058823529</v>
      </c>
      <c r="V76" s="91">
        <f t="shared" si="47"/>
        <v>3134.6864678899078</v>
      </c>
      <c r="W76" s="91">
        <f t="shared" si="47"/>
        <v>2413.0836206896552</v>
      </c>
      <c r="X76" s="91">
        <f t="shared" si="47"/>
        <v>2619.7881172839507</v>
      </c>
      <c r="Y76" s="91">
        <f t="shared" si="47"/>
        <v>3016.5314365971108</v>
      </c>
      <c r="Z76" s="91">
        <f t="shared" si="47"/>
        <v>6508.6652486910998</v>
      </c>
      <c r="AA76" s="91">
        <f t="shared" si="47"/>
        <v>2449.4473958333333</v>
      </c>
      <c r="AB76" s="91">
        <f t="shared" si="47"/>
        <v>2098.0557046979861</v>
      </c>
      <c r="AC76" s="91">
        <f t="shared" si="47"/>
        <v>2416.3097868217055</v>
      </c>
      <c r="AD76" s="91">
        <f t="shared" si="47"/>
        <v>2145.6699701937409</v>
      </c>
      <c r="AE76" s="91">
        <f t="shared" si="47"/>
        <v>2302.9590909090907</v>
      </c>
      <c r="AF76" s="91">
        <f t="shared" si="47"/>
        <v>3862.9834693877551</v>
      </c>
      <c r="AG76" s="91">
        <f t="shared" si="47"/>
        <v>3623.4288662486933</v>
      </c>
      <c r="AH76" s="91">
        <f t="shared" si="47"/>
        <v>2946.0812428298277</v>
      </c>
      <c r="AI76" s="91">
        <f t="shared" si="47"/>
        <v>2303.596255506608</v>
      </c>
      <c r="AJ76" s="91">
        <f t="shared" si="47"/>
        <v>2922.9381679389307</v>
      </c>
      <c r="AK76" s="91">
        <f t="shared" si="47"/>
        <v>2872.5028496042219</v>
      </c>
      <c r="AL76" s="91">
        <f t="shared" si="47"/>
        <v>2168.5554889867844</v>
      </c>
      <c r="AM76" s="91">
        <f t="shared" si="47"/>
        <v>2388.9745366639813</v>
      </c>
      <c r="AN76" s="91">
        <f t="shared" si="47"/>
        <v>2811.2634453781511</v>
      </c>
      <c r="AO76" s="91">
        <f t="shared" si="47"/>
        <v>5749.4516736401674</v>
      </c>
      <c r="AP76" s="91">
        <f t="shared" si="47"/>
        <v>3102.6818702865762</v>
      </c>
      <c r="AQ76" s="91">
        <f t="shared" si="47"/>
        <v>3025.9848682170546</v>
      </c>
      <c r="AR76" s="91">
        <f t="shared" si="47"/>
        <v>2730.5979809976247</v>
      </c>
      <c r="AS76" s="91">
        <f t="shared" si="47"/>
        <v>2363.0270945945945</v>
      </c>
      <c r="AT76" s="91">
        <f t="shared" si="47"/>
        <v>2375.2022859922181</v>
      </c>
      <c r="AU76" s="91">
        <f t="shared" si="47"/>
        <v>7213.4310509554134</v>
      </c>
      <c r="AV76" s="91">
        <f t="shared" si="47"/>
        <v>2530.7540958333334</v>
      </c>
      <c r="AW76" s="91">
        <f t="shared" si="47"/>
        <v>2916.631655629139</v>
      </c>
      <c r="AX76" s="91">
        <f t="shared" si="47"/>
        <v>2243.9651933701657</v>
      </c>
      <c r="AY76" s="91">
        <f t="shared" si="47"/>
        <v>2601.2865994236313</v>
      </c>
      <c r="AZ76" s="91">
        <f t="shared" si="47"/>
        <v>2982.9321597633134</v>
      </c>
      <c r="BA76" s="91">
        <f t="shared" si="47"/>
        <v>2544.4622739018087</v>
      </c>
      <c r="BB76" s="91">
        <f t="shared" si="47"/>
        <v>3339.0863047445255</v>
      </c>
      <c r="BC76" s="91">
        <f t="shared" si="47"/>
        <v>1817.4699468085107</v>
      </c>
      <c r="BD76" s="91">
        <f t="shared" si="47"/>
        <v>3836.8247746347533</v>
      </c>
      <c r="BE76" s="91">
        <f t="shared" si="47"/>
        <v>2486.1935714285719</v>
      </c>
      <c r="BF76" s="91">
        <f t="shared" si="47"/>
        <v>151332.71959603499</v>
      </c>
      <c r="BG76" s="91">
        <f t="shared" si="47"/>
        <v>48014.9851222406</v>
      </c>
      <c r="BH76" s="91">
        <f t="shared" si="47"/>
        <v>39216.454752939826</v>
      </c>
      <c r="BI76" s="91">
        <f t="shared" si="47"/>
        <v>64101.279720854538</v>
      </c>
    </row>
    <row r="77" spans="1:61" x14ac:dyDescent="0.3">
      <c r="C77">
        <v>400</v>
      </c>
      <c r="D77" t="s">
        <v>138</v>
      </c>
      <c r="E77" s="4">
        <f>'4.1 Comptes 2020 natures'!E77/'4.1 Comptes 2020 natures'!E2</f>
        <v>2599.1880823401953</v>
      </c>
      <c r="F77" s="4">
        <f>'4.1 Comptes 2020 natures'!F77/'4.1 Comptes 2020 natures'!F2</f>
        <v>1742.0572222222222</v>
      </c>
      <c r="G77" s="4">
        <f>'4.1 Comptes 2020 natures'!G77/'4.1 Comptes 2020 natures'!G2</f>
        <v>1970.1288659793815</v>
      </c>
      <c r="H77" s="4">
        <f>'4.1 Comptes 2020 natures'!H77/'4.1 Comptes 2020 natures'!H2</f>
        <v>1967.0591928251122</v>
      </c>
      <c r="I77" s="4">
        <f>'4.1 Comptes 2020 natures'!I77/'4.1 Comptes 2020 natures'!I2</f>
        <v>1791.8755163866704</v>
      </c>
      <c r="J77" s="4">
        <f>'4.1 Comptes 2020 natures'!J77/'4.1 Comptes 2020 natures'!J2</f>
        <v>2394.706866888017</v>
      </c>
      <c r="K77" s="4">
        <f>'4.1 Comptes 2020 natures'!K77/'4.1 Comptes 2020 natures'!K2</f>
        <v>2096.8862708018155</v>
      </c>
      <c r="L77" s="4">
        <f>'4.1 Comptes 2020 natures'!L77/'4.1 Comptes 2020 natures'!L2</f>
        <v>2262.8912268188301</v>
      </c>
      <c r="M77" s="4">
        <f>'4.1 Comptes 2020 natures'!M77/'4.1 Comptes 2020 natures'!M2</f>
        <v>2004.9249380014587</v>
      </c>
      <c r="N77" s="4">
        <f>'4.1 Comptes 2020 natures'!N77/'4.1 Comptes 2020 natures'!N2</f>
        <v>1538.2915254237287</v>
      </c>
      <c r="O77" s="4">
        <f>'4.1 Comptes 2020 natures'!O77/'4.1 Comptes 2020 natures'!O2</f>
        <v>1919.4374215152784</v>
      </c>
      <c r="P77" s="4">
        <f>'4.1 Comptes 2020 natures'!P77/'4.1 Comptes 2020 natures'!P2</f>
        <v>1915.4157196969697</v>
      </c>
      <c r="Q77" s="4">
        <f>'4.1 Comptes 2020 natures'!Q77/'4.1 Comptes 2020 natures'!Q2</f>
        <v>1673.3351851851853</v>
      </c>
      <c r="R77" s="4">
        <f>'4.1 Comptes 2020 natures'!R77/'4.1 Comptes 2020 natures'!R2</f>
        <v>2058.2755421686747</v>
      </c>
      <c r="S77" s="4">
        <f>'4.1 Comptes 2020 natures'!S77/'4.1 Comptes 2020 natures'!S2</f>
        <v>1727.1131805157593</v>
      </c>
      <c r="T77" s="4">
        <f>'4.1 Comptes 2020 natures'!T77/'4.1 Comptes 2020 natures'!T2</f>
        <v>2616.1624454148473</v>
      </c>
      <c r="U77" s="4">
        <f>'4.1 Comptes 2020 natures'!U77/'4.1 Comptes 2020 natures'!U2</f>
        <v>1938.4978431372549</v>
      </c>
      <c r="V77" s="4">
        <f>'4.1 Comptes 2020 natures'!V77/'4.1 Comptes 2020 natures'!V2</f>
        <v>2655.4235091743117</v>
      </c>
      <c r="W77" s="4">
        <f>'4.1 Comptes 2020 natures'!W77/'4.1 Comptes 2020 natures'!W2</f>
        <v>2043.6651410658308</v>
      </c>
      <c r="X77" s="4">
        <f>'4.1 Comptes 2020 natures'!X77/'4.1 Comptes 2020 natures'!X2</f>
        <v>2230.3646604938272</v>
      </c>
      <c r="Y77" s="4">
        <f>'4.1 Comptes 2020 natures'!Y77/'4.1 Comptes 2020 natures'!Y2</f>
        <v>2663.1134590690208</v>
      </c>
      <c r="Z77" s="4">
        <f>'4.1 Comptes 2020 natures'!Z77/'4.1 Comptes 2020 natures'!Z2</f>
        <v>1822.4945680628273</v>
      </c>
      <c r="AA77" s="4">
        <f>'4.1 Comptes 2020 natures'!AA77/'4.1 Comptes 2020 natures'!AA2</f>
        <v>1731.5755208333333</v>
      </c>
      <c r="AB77" s="4">
        <f>'4.1 Comptes 2020 natures'!AB77/'4.1 Comptes 2020 natures'!AB2</f>
        <v>1656.7234899328857</v>
      </c>
      <c r="AC77" s="4">
        <f>'4.1 Comptes 2020 natures'!AC77/'4.1 Comptes 2020 natures'!AC2</f>
        <v>2611.4323643410853</v>
      </c>
      <c r="AD77" s="4">
        <f>'4.1 Comptes 2020 natures'!AD77/'4.1 Comptes 2020 natures'!AD2</f>
        <v>1734.284128166915</v>
      </c>
      <c r="AE77" s="4">
        <f>'4.1 Comptes 2020 natures'!AE77/'4.1 Comptes 2020 natures'!AE2</f>
        <v>1904.7631118881118</v>
      </c>
      <c r="AF77" s="4">
        <f>'4.1 Comptes 2020 natures'!AF77/'4.1 Comptes 2020 natures'!AF2</f>
        <v>2000.205612244898</v>
      </c>
      <c r="AG77" s="4">
        <f>'4.1 Comptes 2020 natures'!AG77/'4.1 Comptes 2020 natures'!AG2</f>
        <v>2309.6526907001044</v>
      </c>
      <c r="AH77" s="4">
        <f>'4.1 Comptes 2020 natures'!AH77/'4.1 Comptes 2020 natures'!AH2</f>
        <v>2367.5933078393882</v>
      </c>
      <c r="AI77" s="4">
        <f>'4.1 Comptes 2020 natures'!AI77/'4.1 Comptes 2020 natures'!AI2</f>
        <v>2016.2350220264316</v>
      </c>
      <c r="AJ77" s="4">
        <f>'4.1 Comptes 2020 natures'!AJ77/'4.1 Comptes 2020 natures'!AJ2</f>
        <v>1858.925572519084</v>
      </c>
      <c r="AK77" s="4">
        <f>'4.1 Comptes 2020 natures'!AK77/'4.1 Comptes 2020 natures'!AK2</f>
        <v>2270.2080738786281</v>
      </c>
      <c r="AL77" s="4">
        <f>'4.1 Comptes 2020 natures'!AL77/'4.1 Comptes 2020 natures'!AL2</f>
        <v>1866.7216211453745</v>
      </c>
      <c r="AM77" s="4">
        <f>'4.1 Comptes 2020 natures'!AM77/'4.1 Comptes 2020 natures'!AM2</f>
        <v>2013.0039887187754</v>
      </c>
      <c r="AN77" s="4">
        <f>'4.1 Comptes 2020 natures'!AN77/'4.1 Comptes 2020 natures'!AN2</f>
        <v>2198.1567226890757</v>
      </c>
      <c r="AO77" s="4">
        <f>'4.1 Comptes 2020 natures'!AO77/'4.1 Comptes 2020 natures'!AO2</f>
        <v>3203.0407949790797</v>
      </c>
      <c r="AP77" s="4">
        <f>'4.1 Comptes 2020 natures'!AP77/'4.1 Comptes 2020 natures'!AP2</f>
        <v>1982.1950226244344</v>
      </c>
      <c r="AQ77" s="4">
        <f>'4.1 Comptes 2020 natures'!AQ77/'4.1 Comptes 2020 natures'!AQ2</f>
        <v>2377.1737829457365</v>
      </c>
      <c r="AR77" s="4">
        <f>'4.1 Comptes 2020 natures'!AR77/'4.1 Comptes 2020 natures'!AR2</f>
        <v>1805.9702296120347</v>
      </c>
      <c r="AS77" s="4">
        <f>'4.1 Comptes 2020 natures'!AS77/'4.1 Comptes 2020 natures'!AS2</f>
        <v>1951.5913513513515</v>
      </c>
      <c r="AT77" s="4">
        <f>'4.1 Comptes 2020 natures'!AT77/'4.1 Comptes 2020 natures'!AT2</f>
        <v>2045.1923638132296</v>
      </c>
      <c r="AU77" s="4">
        <f>'4.1 Comptes 2020 natures'!AU77/'4.1 Comptes 2020 natures'!AU2</f>
        <v>7024.8457006369417</v>
      </c>
      <c r="AV77" s="4">
        <f>'4.1 Comptes 2020 natures'!AV77/'4.1 Comptes 2020 natures'!AV2</f>
        <v>2117.6725333333334</v>
      </c>
      <c r="AW77" s="4">
        <f>'4.1 Comptes 2020 natures'!AW77/'4.1 Comptes 2020 natures'!AW2</f>
        <v>2204.4019867549669</v>
      </c>
      <c r="AX77" s="4">
        <f>'4.1 Comptes 2020 natures'!AX77/'4.1 Comptes 2020 natures'!AX2</f>
        <v>1855.0287292817679</v>
      </c>
      <c r="AY77" s="4">
        <f>'4.1 Comptes 2020 natures'!AY77/'4.1 Comptes 2020 natures'!AY2</f>
        <v>2180.5742074927953</v>
      </c>
      <c r="AZ77" s="4">
        <f>'4.1 Comptes 2020 natures'!AZ77/'4.1 Comptes 2020 natures'!AZ2</f>
        <v>2503.5982840236684</v>
      </c>
      <c r="BA77" s="4">
        <f>'4.1 Comptes 2020 natures'!BA77/'4.1 Comptes 2020 natures'!BA2</f>
        <v>2085.5512919896642</v>
      </c>
      <c r="BB77" s="4">
        <f>'4.1 Comptes 2020 natures'!BB77/'4.1 Comptes 2020 natures'!BB2</f>
        <v>2368.9132755474452</v>
      </c>
      <c r="BC77" s="4">
        <f>'4.1 Comptes 2020 natures'!BC77/'4.1 Comptes 2020 natures'!BC2</f>
        <v>1629.1611702127659</v>
      </c>
      <c r="BD77" s="4">
        <f>'4.1 Comptes 2020 natures'!BD77/'4.1 Comptes 2020 natures'!BD2</f>
        <v>2957.6237332918872</v>
      </c>
      <c r="BE77" s="4">
        <f>'4.1 Comptes 2020 natures'!BE77/'4.1 Comptes 2020 natures'!BE2</f>
        <v>1917.4577678571429</v>
      </c>
      <c r="BF77" s="4">
        <f t="shared" ref="BF77:BF80" si="48">SUM(E77:BE77)</f>
        <v>116380.78183585955</v>
      </c>
      <c r="BG77" s="4">
        <f t="shared" ref="BG77:BG80" si="49">SUM(E77:W77)</f>
        <v>38915.335695561538</v>
      </c>
      <c r="BH77" s="4">
        <f t="shared" ref="BH77:BH80" si="50">SUM(X77:AJ77)</f>
        <v>26907.363508117909</v>
      </c>
      <c r="BI77" s="4">
        <f t="shared" ref="BI77:BI80" si="51">SUM(AK77:BE77)</f>
        <v>50558.0826321801</v>
      </c>
    </row>
    <row r="78" spans="1:61" x14ac:dyDescent="0.3">
      <c r="C78">
        <v>401</v>
      </c>
      <c r="D78" t="s">
        <v>139</v>
      </c>
      <c r="E78" s="4">
        <f>'4.1 Comptes 2020 natures'!E78/'4.1 Comptes 2020 natures'!E2</f>
        <v>202.45260021668471</v>
      </c>
      <c r="F78" s="4">
        <f>'4.1 Comptes 2020 natures'!F78/'4.1 Comptes 2020 natures'!F2</f>
        <v>40.627037037037034</v>
      </c>
      <c r="G78" s="4">
        <f>'4.1 Comptes 2020 natures'!G78/'4.1 Comptes 2020 natures'!G2</f>
        <v>149.64268041237113</v>
      </c>
      <c r="H78" s="4">
        <f>'4.1 Comptes 2020 natures'!H78/'4.1 Comptes 2020 natures'!H2</f>
        <v>184.43307174887892</v>
      </c>
      <c r="I78" s="4">
        <f>'4.1 Comptes 2020 natures'!I78/'4.1 Comptes 2020 natures'!I2</f>
        <v>110.78760671991186</v>
      </c>
      <c r="J78" s="4">
        <f>'4.1 Comptes 2020 natures'!J78/'4.1 Comptes 2020 natures'!J2</f>
        <v>192.36405070932688</v>
      </c>
      <c r="K78" s="4">
        <f>'4.1 Comptes 2020 natures'!K78/'4.1 Comptes 2020 natures'!K2</f>
        <v>358.59158472012103</v>
      </c>
      <c r="L78" s="4">
        <f>'4.1 Comptes 2020 natures'!L78/'4.1 Comptes 2020 natures'!L2</f>
        <v>446.21375812331593</v>
      </c>
      <c r="M78" s="4">
        <f>'4.1 Comptes 2020 natures'!M78/'4.1 Comptes 2020 natures'!M2</f>
        <v>321.33621444201316</v>
      </c>
      <c r="N78" s="4">
        <f>'4.1 Comptes 2020 natures'!N78/'4.1 Comptes 2020 natures'!N2</f>
        <v>31.087711864406778</v>
      </c>
      <c r="O78" s="4">
        <f>'4.1 Comptes 2020 natures'!O78/'4.1 Comptes 2020 natures'!O2</f>
        <v>90.523873308218214</v>
      </c>
      <c r="P78" s="4">
        <f>'4.1 Comptes 2020 natures'!P78/'4.1 Comptes 2020 natures'!P2</f>
        <v>81.835700757575751</v>
      </c>
      <c r="Q78" s="4">
        <f>'4.1 Comptes 2020 natures'!Q78/'4.1 Comptes 2020 natures'!Q2</f>
        <v>-27.728703703703701</v>
      </c>
      <c r="R78" s="4">
        <f>'4.1 Comptes 2020 natures'!R78/'4.1 Comptes 2020 natures'!R2</f>
        <v>27.214578313253011</v>
      </c>
      <c r="S78" s="4">
        <f>'4.1 Comptes 2020 natures'!S78/'4.1 Comptes 2020 natures'!S2</f>
        <v>-12.423495702005731</v>
      </c>
      <c r="T78" s="4">
        <f>'4.1 Comptes 2020 natures'!T78/'4.1 Comptes 2020 natures'!T2</f>
        <v>58.124381368267827</v>
      </c>
      <c r="U78" s="4">
        <f>'4.1 Comptes 2020 natures'!U78/'4.1 Comptes 2020 natures'!U2</f>
        <v>86.085098039215694</v>
      </c>
      <c r="V78" s="4">
        <f>'4.1 Comptes 2020 natures'!V78/'4.1 Comptes 2020 natures'!V2</f>
        <v>210.22465596330275</v>
      </c>
      <c r="W78" s="4">
        <f>'4.1 Comptes 2020 natures'!W78/'4.1 Comptes 2020 natures'!W2</f>
        <v>48.478573667711593</v>
      </c>
      <c r="X78" s="4">
        <f>'4.1 Comptes 2020 natures'!X78/'4.1 Comptes 2020 natures'!X2</f>
        <v>15.741512345679013</v>
      </c>
      <c r="Y78" s="4">
        <f>'4.1 Comptes 2020 natures'!Y78/'4.1 Comptes 2020 natures'!Y2</f>
        <v>92.602929373996787</v>
      </c>
      <c r="Z78" s="4">
        <f>'4.1 Comptes 2020 natures'!Z78/'4.1 Comptes 2020 natures'!Z2</f>
        <v>4427.6885798429321</v>
      </c>
      <c r="AA78" s="4">
        <f>'4.1 Comptes 2020 natures'!AA78/'4.1 Comptes 2020 natures'!AA2</f>
        <v>9.6583333333333332</v>
      </c>
      <c r="AB78" s="4">
        <f>'4.1 Comptes 2020 natures'!AB78/'4.1 Comptes 2020 natures'!AB2</f>
        <v>59.971812080536907</v>
      </c>
      <c r="AC78" s="4">
        <f>'4.1 Comptes 2020 natures'!AC78/'4.1 Comptes 2020 natures'!AC2</f>
        <v>-435.55765503875966</v>
      </c>
      <c r="AD78" s="4">
        <f>'4.1 Comptes 2020 natures'!AD78/'4.1 Comptes 2020 natures'!AD2</f>
        <v>104.5258569299553</v>
      </c>
      <c r="AE78" s="4">
        <f>'4.1 Comptes 2020 natures'!AE78/'4.1 Comptes 2020 natures'!AE2</f>
        <v>58.188024475524479</v>
      </c>
      <c r="AF78" s="4">
        <f>'4.1 Comptes 2020 natures'!AF78/'4.1 Comptes 2020 natures'!AF2</f>
        <v>1486.1498979591836</v>
      </c>
      <c r="AG78" s="4">
        <f>'4.1 Comptes 2020 natures'!AG78/'4.1 Comptes 2020 natures'!AG2</f>
        <v>894.81473354231969</v>
      </c>
      <c r="AH78" s="4">
        <f>'4.1 Comptes 2020 natures'!AH78/'4.1 Comptes 2020 natures'!AH2</f>
        <v>260.86099426386232</v>
      </c>
      <c r="AI78" s="4">
        <f>'4.1 Comptes 2020 natures'!AI78/'4.1 Comptes 2020 natures'!AI2</f>
        <v>32.002863436123349</v>
      </c>
      <c r="AJ78" s="4">
        <f>'4.1 Comptes 2020 natures'!AJ78/'4.1 Comptes 2020 natures'!AJ2</f>
        <v>53.716030534351148</v>
      </c>
      <c r="AK78" s="4">
        <f>'4.1 Comptes 2020 natures'!AK78/'4.1 Comptes 2020 natures'!AK2</f>
        <v>286.9227176781003</v>
      </c>
      <c r="AL78" s="4">
        <f>'4.1 Comptes 2020 natures'!AL78/'4.1 Comptes 2020 natures'!AL2</f>
        <v>-76.849788546255496</v>
      </c>
      <c r="AM78" s="4">
        <f>'4.1 Comptes 2020 natures'!AM78/'4.1 Comptes 2020 natures'!AM2</f>
        <v>35.910354552780014</v>
      </c>
      <c r="AN78" s="4">
        <f>'4.1 Comptes 2020 natures'!AN78/'4.1 Comptes 2020 natures'!AN2</f>
        <v>10.312605042016807</v>
      </c>
      <c r="AO78" s="4">
        <f>'4.1 Comptes 2020 natures'!AO78/'4.1 Comptes 2020 natures'!AO2</f>
        <v>2139.8638912133893</v>
      </c>
      <c r="AP78" s="4">
        <f>'4.1 Comptes 2020 natures'!AP78/'4.1 Comptes 2020 natures'!AP2</f>
        <v>760.88687782805425</v>
      </c>
      <c r="AQ78" s="4">
        <f>'4.1 Comptes 2020 natures'!AQ78/'4.1 Comptes 2020 natures'!AQ2</f>
        <v>223.72596899224806</v>
      </c>
      <c r="AR78" s="4">
        <f>'4.1 Comptes 2020 natures'!AR78/'4.1 Comptes 2020 natures'!AR2</f>
        <v>185.67620744259699</v>
      </c>
      <c r="AS78" s="4">
        <f>'4.1 Comptes 2020 natures'!AS78/'4.1 Comptes 2020 natures'!AS2</f>
        <v>24.320743243243243</v>
      </c>
      <c r="AT78" s="4">
        <f>'4.1 Comptes 2020 natures'!AT78/'4.1 Comptes 2020 natures'!AT2</f>
        <v>5.6410505836575879</v>
      </c>
      <c r="AU78" s="4">
        <f>'4.1 Comptes 2020 natures'!AU78/'4.1 Comptes 2020 natures'!AU2</f>
        <v>-211.88550955414013</v>
      </c>
      <c r="AV78" s="4">
        <f>'4.1 Comptes 2020 natures'!AV78/'4.1 Comptes 2020 natures'!AV2</f>
        <v>50.698479166666672</v>
      </c>
      <c r="AW78" s="4">
        <f>'4.1 Comptes 2020 natures'!AW78/'4.1 Comptes 2020 natures'!AW2</f>
        <v>359.77701986754971</v>
      </c>
      <c r="AX78" s="4">
        <f>'4.1 Comptes 2020 natures'!AX78/'4.1 Comptes 2020 natures'!AX2</f>
        <v>58.437569060773484</v>
      </c>
      <c r="AY78" s="4">
        <f>'4.1 Comptes 2020 natures'!AY78/'4.1 Comptes 2020 natures'!AY2</f>
        <v>59.27219020172911</v>
      </c>
      <c r="AZ78" s="4">
        <f>'4.1 Comptes 2020 natures'!AZ78/'4.1 Comptes 2020 natures'!AZ2</f>
        <v>197.27186390532546</v>
      </c>
      <c r="BA78" s="4">
        <f>'4.1 Comptes 2020 natures'!BA78/'4.1 Comptes 2020 natures'!BA2</f>
        <v>33.776098191214473</v>
      </c>
      <c r="BB78" s="4">
        <f>'4.1 Comptes 2020 natures'!BB78/'4.1 Comptes 2020 natures'!BB2</f>
        <v>538.94525547445255</v>
      </c>
      <c r="BC78" s="4">
        <f>'4.1 Comptes 2020 natures'!BC78/'4.1 Comptes 2020 natures'!BC2</f>
        <v>9.7550531914893615</v>
      </c>
      <c r="BD78" s="4">
        <f>'4.1 Comptes 2020 natures'!BD78/'4.1 Comptes 2020 natures'!BD2</f>
        <v>484.02475132110663</v>
      </c>
      <c r="BE78" s="4">
        <f>'4.1 Comptes 2020 natures'!BE78/'4.1 Comptes 2020 natures'!BE2</f>
        <v>97.652589285714285</v>
      </c>
      <c r="BF78" s="4">
        <f t="shared" si="48"/>
        <v>14934.370879226659</v>
      </c>
      <c r="BG78" s="4">
        <f t="shared" si="49"/>
        <v>2599.870978005903</v>
      </c>
      <c r="BH78" s="4">
        <f t="shared" si="50"/>
        <v>7060.3639130790398</v>
      </c>
      <c r="BI78" s="4">
        <f t="shared" si="51"/>
        <v>5274.1359881417129</v>
      </c>
    </row>
    <row r="79" spans="1:61" x14ac:dyDescent="0.3">
      <c r="C79">
        <v>402</v>
      </c>
      <c r="D79" t="s">
        <v>140</v>
      </c>
      <c r="E79" s="4">
        <f>'4.1 Comptes 2020 natures'!E79/'4.1 Comptes 2020 natures'!E2</f>
        <v>792.42118093174429</v>
      </c>
      <c r="F79" s="4">
        <f>'4.1 Comptes 2020 natures'!F79/'4.1 Comptes 2020 natures'!F2</f>
        <v>715.12333333333333</v>
      </c>
      <c r="G79" s="4">
        <f>'4.1 Comptes 2020 natures'!G79/'4.1 Comptes 2020 natures'!G2</f>
        <v>258.49494845360823</v>
      </c>
      <c r="H79" s="4">
        <f>'4.1 Comptes 2020 natures'!H79/'4.1 Comptes 2020 natures'!H2</f>
        <v>263.00504484304935</v>
      </c>
      <c r="I79" s="4">
        <f>'4.1 Comptes 2020 natures'!I79/'4.1 Comptes 2020 natures'!I2</f>
        <v>318.13903883227766</v>
      </c>
      <c r="J79" s="4">
        <f>'4.1 Comptes 2020 natures'!J79/'4.1 Comptes 2020 natures'!J2</f>
        <v>259.24835496528829</v>
      </c>
      <c r="K79" s="4">
        <f>'4.1 Comptes 2020 natures'!K79/'4.1 Comptes 2020 natures'!K2</f>
        <v>228.36189863842662</v>
      </c>
      <c r="L79" s="4">
        <f>'4.1 Comptes 2020 natures'!L79/'4.1 Comptes 2020 natures'!L2</f>
        <v>380.80834125851959</v>
      </c>
      <c r="M79" s="4">
        <f>'4.1 Comptes 2020 natures'!M79/'4.1 Comptes 2020 natures'!M2</f>
        <v>223.21444201312912</v>
      </c>
      <c r="N79" s="4">
        <f>'4.1 Comptes 2020 natures'!N79/'4.1 Comptes 2020 natures'!N2</f>
        <v>30.316525423728812</v>
      </c>
      <c r="O79" s="4">
        <f>'4.1 Comptes 2020 natures'!O79/'4.1 Comptes 2020 natures'!O2</f>
        <v>288.16026231338077</v>
      </c>
      <c r="P79" s="4">
        <f>'4.1 Comptes 2020 natures'!P79/'4.1 Comptes 2020 natures'!P2</f>
        <v>381.81098484848485</v>
      </c>
      <c r="Q79" s="4">
        <f>'4.1 Comptes 2020 natures'!Q79/'4.1 Comptes 2020 natures'!Q2</f>
        <v>239.45925925925926</v>
      </c>
      <c r="R79" s="4">
        <f>'4.1 Comptes 2020 natures'!R79/'4.1 Comptes 2020 natures'!R2</f>
        <v>312.63493975903617</v>
      </c>
      <c r="S79" s="4">
        <f>'4.1 Comptes 2020 natures'!S79/'4.1 Comptes 2020 natures'!S2</f>
        <v>323.76862464183381</v>
      </c>
      <c r="T79" s="4">
        <f>'4.1 Comptes 2020 natures'!T79/'4.1 Comptes 2020 natures'!T2</f>
        <v>240.28682678311498</v>
      </c>
      <c r="U79" s="4">
        <f>'4.1 Comptes 2020 natures'!U79/'4.1 Comptes 2020 natures'!U2</f>
        <v>269.69392156862745</v>
      </c>
      <c r="V79" s="4">
        <f>'4.1 Comptes 2020 natures'!V79/'4.1 Comptes 2020 natures'!V2</f>
        <v>249.1837155963303</v>
      </c>
      <c r="W79" s="4">
        <f>'4.1 Comptes 2020 natures'!W79/'4.1 Comptes 2020 natures'!W2</f>
        <v>307.61506269592479</v>
      </c>
      <c r="X79" s="4">
        <f>'4.1 Comptes 2020 natures'!X79/'4.1 Comptes 2020 natures'!X2</f>
        <v>273.80540123456791</v>
      </c>
      <c r="Y79" s="4">
        <f>'4.1 Comptes 2020 natures'!Y79/'4.1 Comptes 2020 natures'!Y2</f>
        <v>248.56031300160515</v>
      </c>
      <c r="Z79" s="4">
        <f>'4.1 Comptes 2020 natures'!Z79/'4.1 Comptes 2020 natures'!Z2</f>
        <v>251.80294502617804</v>
      </c>
      <c r="AA79" s="4">
        <f>'4.1 Comptes 2020 natures'!AA79/'4.1 Comptes 2020 natures'!AA2</f>
        <v>601.30000000000007</v>
      </c>
      <c r="AB79" s="4">
        <f>'4.1 Comptes 2020 natures'!AB79/'4.1 Comptes 2020 natures'!AB2</f>
        <v>359.0919463087248</v>
      </c>
      <c r="AC79" s="4">
        <f>'4.1 Comptes 2020 natures'!AC79/'4.1 Comptes 2020 natures'!AC2</f>
        <v>223.63779069767443</v>
      </c>
      <c r="AD79" s="4">
        <f>'4.1 Comptes 2020 natures'!AD79/'4.1 Comptes 2020 natures'!AD2</f>
        <v>283.04269746646793</v>
      </c>
      <c r="AE79" s="4">
        <f>'4.1 Comptes 2020 natures'!AE79/'4.1 Comptes 2020 natures'!AE2</f>
        <v>285.09291958041956</v>
      </c>
      <c r="AF79" s="4">
        <f>'4.1 Comptes 2020 natures'!AF79/'4.1 Comptes 2020 natures'!AF2</f>
        <v>358.7512244897959</v>
      </c>
      <c r="AG79" s="4">
        <f>'4.1 Comptes 2020 natures'!AG79/'4.1 Comptes 2020 natures'!AG2</f>
        <v>407.23680773249737</v>
      </c>
      <c r="AH79" s="4">
        <f>'4.1 Comptes 2020 natures'!AH79/'4.1 Comptes 2020 natures'!AH2</f>
        <v>286.02464627151051</v>
      </c>
      <c r="AI79" s="4">
        <f>'4.1 Comptes 2020 natures'!AI79/'4.1 Comptes 2020 natures'!AI2</f>
        <v>219.36806167400883</v>
      </c>
      <c r="AJ79" s="4">
        <f>'4.1 Comptes 2020 natures'!AJ79/'4.1 Comptes 2020 natures'!AJ2</f>
        <v>692.11946564885488</v>
      </c>
      <c r="AK79" s="4">
        <f>'4.1 Comptes 2020 natures'!AK79/'4.1 Comptes 2020 natures'!AK2</f>
        <v>310.31401055408975</v>
      </c>
      <c r="AL79" s="4">
        <f>'4.1 Comptes 2020 natures'!AL79/'4.1 Comptes 2020 natures'!AL2</f>
        <v>334.3576651982379</v>
      </c>
      <c r="AM79" s="4">
        <f>'4.1 Comptes 2020 natures'!AM79/'4.1 Comptes 2020 natures'!AM2</f>
        <v>321.82526188557614</v>
      </c>
      <c r="AN79" s="4">
        <f>'4.1 Comptes 2020 natures'!AN79/'4.1 Comptes 2020 natures'!AN2</f>
        <v>564.27983193277316</v>
      </c>
      <c r="AO79" s="4">
        <f>'4.1 Comptes 2020 natures'!AO79/'4.1 Comptes 2020 natures'!AO2</f>
        <v>404.59184100418412</v>
      </c>
      <c r="AP79" s="4">
        <f>'4.1 Comptes 2020 natures'!AP79/'4.1 Comptes 2020 natures'!AP2</f>
        <v>341.47508295625943</v>
      </c>
      <c r="AQ79" s="4">
        <f>'4.1 Comptes 2020 natures'!AQ79/'4.1 Comptes 2020 natures'!AQ2</f>
        <v>412.79147286821706</v>
      </c>
      <c r="AR79" s="4">
        <f>'4.1 Comptes 2020 natures'!AR79/'4.1 Comptes 2020 natures'!AR2</f>
        <v>645.46338083927162</v>
      </c>
      <c r="AS79" s="4">
        <f>'4.1 Comptes 2020 natures'!AS79/'4.1 Comptes 2020 natures'!AS2</f>
        <v>378.34770270270269</v>
      </c>
      <c r="AT79" s="4">
        <f>'4.1 Comptes 2020 natures'!AT79/'4.1 Comptes 2020 natures'!AT2</f>
        <v>316.94085603112842</v>
      </c>
      <c r="AU79" s="4">
        <f>'4.1 Comptes 2020 natures'!AU79/'4.1 Comptes 2020 natures'!AU2</f>
        <v>387.03773885350319</v>
      </c>
      <c r="AV79" s="4">
        <f>'4.1 Comptes 2020 natures'!AV79/'4.1 Comptes 2020 natures'!AV2</f>
        <v>359.70033333333333</v>
      </c>
      <c r="AW79" s="4">
        <f>'4.1 Comptes 2020 natures'!AW79/'4.1 Comptes 2020 natures'!AW2</f>
        <v>347.06298013245032</v>
      </c>
      <c r="AX79" s="4">
        <f>'4.1 Comptes 2020 natures'!AX79/'4.1 Comptes 2020 natures'!AX2</f>
        <v>326.02209944751382</v>
      </c>
      <c r="AY79" s="4">
        <f>'4.1 Comptes 2020 natures'!AY79/'4.1 Comptes 2020 natures'!AY2</f>
        <v>342.47766570605188</v>
      </c>
      <c r="AZ79" s="4">
        <f>'4.1 Comptes 2020 natures'!AZ79/'4.1 Comptes 2020 natures'!AZ2</f>
        <v>268.40221893491122</v>
      </c>
      <c r="BA79" s="4">
        <f>'4.1 Comptes 2020 natures'!BA79/'4.1 Comptes 2020 natures'!BA2</f>
        <v>388.71485788113694</v>
      </c>
      <c r="BB79" s="4">
        <f>'4.1 Comptes 2020 natures'!BB79/'4.1 Comptes 2020 natures'!BB2</f>
        <v>376.21604927007297</v>
      </c>
      <c r="BC79" s="4">
        <f>'4.1 Comptes 2020 natures'!BC79/'4.1 Comptes 2020 natures'!BC2</f>
        <v>169.77712765957446</v>
      </c>
      <c r="BD79" s="4">
        <f>'4.1 Comptes 2020 natures'!BD79/'4.1 Comptes 2020 natures'!BD2</f>
        <v>387.60530774013051</v>
      </c>
      <c r="BE79" s="4">
        <f>'4.1 Comptes 2020 natures'!BE79/'4.1 Comptes 2020 natures'!BE2</f>
        <v>460.14249999999998</v>
      </c>
      <c r="BF79" s="4">
        <f t="shared" si="48"/>
        <v>18415.126910222527</v>
      </c>
      <c r="BG79" s="4">
        <f t="shared" si="49"/>
        <v>6081.7467061590978</v>
      </c>
      <c r="BH79" s="4">
        <f t="shared" si="50"/>
        <v>4489.8342191323054</v>
      </c>
      <c r="BI79" s="4">
        <f t="shared" si="51"/>
        <v>7843.5459849311192</v>
      </c>
    </row>
    <row r="80" spans="1:61" x14ac:dyDescent="0.3">
      <c r="C80">
        <v>403</v>
      </c>
      <c r="D80" t="s">
        <v>141</v>
      </c>
      <c r="E80" s="4">
        <f>'4.1 Comptes 2020 natures'!E80/'4.1 Comptes 2020 natures'!E2</f>
        <v>14.721072589382448</v>
      </c>
      <c r="F80" s="4">
        <f>'4.1 Comptes 2020 natures'!F80/'4.1 Comptes 2020 natures'!F2</f>
        <v>18.140740740740739</v>
      </c>
      <c r="G80" s="4">
        <f>'4.1 Comptes 2020 natures'!G80/'4.1 Comptes 2020 natures'!G2</f>
        <v>9.7567010309278359</v>
      </c>
      <c r="H80" s="4">
        <f>'4.1 Comptes 2020 natures'!H80/'4.1 Comptes 2020 natures'!H2</f>
        <v>7.0852017937219731</v>
      </c>
      <c r="I80" s="4">
        <f>'4.1 Comptes 2020 natures'!I80/'4.1 Comptes 2020 natures'!I2</f>
        <v>14.201611126411457</v>
      </c>
      <c r="J80" s="4">
        <f>'4.1 Comptes 2020 natures'!J80/'4.1 Comptes 2020 natures'!J2</f>
        <v>4.6543314216722003</v>
      </c>
      <c r="K80" s="4">
        <f>'4.1 Comptes 2020 natures'!K80/'4.1 Comptes 2020 natures'!K2</f>
        <v>6.1187783661119513</v>
      </c>
      <c r="L80" s="4">
        <f>'4.1 Comptes 2020 natures'!L80/'4.1 Comptes 2020 natures'!L2</f>
        <v>7.2369987319702007</v>
      </c>
      <c r="M80" s="4">
        <f>'4.1 Comptes 2020 natures'!M80/'4.1 Comptes 2020 natures'!M2</f>
        <v>4.0298322392414292</v>
      </c>
      <c r="N80" s="4">
        <f>'4.1 Comptes 2020 natures'!N80/'4.1 Comptes 2020 natures'!N2</f>
        <v>126.07686440677966</v>
      </c>
      <c r="O80" s="4">
        <f>'4.1 Comptes 2020 natures'!O80/'4.1 Comptes 2020 natures'!O2</f>
        <v>7.200334868145668</v>
      </c>
      <c r="P80" s="4">
        <f>'4.1 Comptes 2020 natures'!P80/'4.1 Comptes 2020 natures'!P2</f>
        <v>6.1742424242424239</v>
      </c>
      <c r="Q80" s="4">
        <f>'4.1 Comptes 2020 natures'!Q80/'4.1 Comptes 2020 natures'!Q2</f>
        <v>37.672222222222224</v>
      </c>
      <c r="R80" s="4">
        <f>'4.1 Comptes 2020 natures'!R80/'4.1 Comptes 2020 natures'!R2</f>
        <v>39.182530120481928</v>
      </c>
      <c r="S80" s="4">
        <f>'4.1 Comptes 2020 natures'!S80/'4.1 Comptes 2020 natures'!S2</f>
        <v>32.914613180515758</v>
      </c>
      <c r="T80" s="4">
        <f>'4.1 Comptes 2020 natures'!T80/'4.1 Comptes 2020 natures'!T2</f>
        <v>4.5560407569141192</v>
      </c>
      <c r="U80" s="4">
        <f>'4.1 Comptes 2020 natures'!U80/'4.1 Comptes 2020 natures'!U2</f>
        <v>45.130196078431375</v>
      </c>
      <c r="V80" s="4">
        <f>'4.1 Comptes 2020 natures'!V80/'4.1 Comptes 2020 natures'!V2</f>
        <v>19.854587155963305</v>
      </c>
      <c r="W80" s="4">
        <f>'4.1 Comptes 2020 natures'!W80/'4.1 Comptes 2020 natures'!W2</f>
        <v>13.324843260188088</v>
      </c>
      <c r="X80" s="4">
        <f>'4.1 Comptes 2020 natures'!X80/'4.1 Comptes 2020 natures'!X2</f>
        <v>99.876543209876544</v>
      </c>
      <c r="Y80" s="4">
        <f>'4.1 Comptes 2020 natures'!Y80/'4.1 Comptes 2020 natures'!Y2</f>
        <v>12.254735152487962</v>
      </c>
      <c r="Z80" s="4">
        <f>'4.1 Comptes 2020 natures'!Z80/'4.1 Comptes 2020 natures'!Z2</f>
        <v>6.6791557591623034</v>
      </c>
      <c r="AA80" s="4">
        <f>'4.1 Comptes 2020 natures'!AA80/'4.1 Comptes 2020 natures'!AA2</f>
        <v>106.91354166666667</v>
      </c>
      <c r="AB80" s="4">
        <f>'4.1 Comptes 2020 natures'!AB80/'4.1 Comptes 2020 natures'!AB2</f>
        <v>22.268456375838927</v>
      </c>
      <c r="AC80" s="4">
        <f>'4.1 Comptes 2020 natures'!AC80/'4.1 Comptes 2020 natures'!AC2</f>
        <v>16.797286821705427</v>
      </c>
      <c r="AD80" s="4">
        <f>'4.1 Comptes 2020 natures'!AD80/'4.1 Comptes 2020 natures'!AD2</f>
        <v>23.817287630402383</v>
      </c>
      <c r="AE80" s="4">
        <f>'4.1 Comptes 2020 natures'!AE80/'4.1 Comptes 2020 natures'!AE2</f>
        <v>54.91503496503497</v>
      </c>
      <c r="AF80" s="4">
        <f>'4.1 Comptes 2020 natures'!AF80/'4.1 Comptes 2020 natures'!AF2</f>
        <v>17.876734693877552</v>
      </c>
      <c r="AG80" s="4">
        <f>'4.1 Comptes 2020 natures'!AG80/'4.1 Comptes 2020 natures'!AG2</f>
        <v>11.724634273772205</v>
      </c>
      <c r="AH80" s="4">
        <f>'4.1 Comptes 2020 natures'!AH80/'4.1 Comptes 2020 natures'!AH2</f>
        <v>31.602294455066922</v>
      </c>
      <c r="AI80" s="4">
        <f>'4.1 Comptes 2020 natures'!AI80/'4.1 Comptes 2020 natures'!AI2</f>
        <v>35.990308370044055</v>
      </c>
      <c r="AJ80" s="4">
        <f>'4.1 Comptes 2020 natures'!AJ80/'4.1 Comptes 2020 natures'!AJ2</f>
        <v>318.1770992366412</v>
      </c>
      <c r="AK80" s="4">
        <f>'4.1 Comptes 2020 natures'!AK80/'4.1 Comptes 2020 natures'!AK2</f>
        <v>5.0580474934036941</v>
      </c>
      <c r="AL80" s="4">
        <f>'4.1 Comptes 2020 natures'!AL80/'4.1 Comptes 2020 natures'!AL2</f>
        <v>44.325991189427313</v>
      </c>
      <c r="AM80" s="4">
        <f>'4.1 Comptes 2020 natures'!AM80/'4.1 Comptes 2020 natures'!AM2</f>
        <v>18.234931506849314</v>
      </c>
      <c r="AN80" s="4">
        <f>'4.1 Comptes 2020 natures'!AN80/'4.1 Comptes 2020 natures'!AN2</f>
        <v>38.514285714285712</v>
      </c>
      <c r="AO80" s="4">
        <f>'4.1 Comptes 2020 natures'!AO80/'4.1 Comptes 2020 natures'!AO2</f>
        <v>1.9551464435146444</v>
      </c>
      <c r="AP80" s="4">
        <f>'4.1 Comptes 2020 natures'!AP80/'4.1 Comptes 2020 natures'!AP2</f>
        <v>18.124886877828054</v>
      </c>
      <c r="AQ80" s="4">
        <f>'4.1 Comptes 2020 natures'!AQ80/'4.1 Comptes 2020 natures'!AQ2</f>
        <v>12.293643410852713</v>
      </c>
      <c r="AR80" s="4">
        <f>'4.1 Comptes 2020 natures'!AR80/'4.1 Comptes 2020 natures'!AR2</f>
        <v>93.488163103721305</v>
      </c>
      <c r="AS80" s="4">
        <f>'4.1 Comptes 2020 natures'!AS80/'4.1 Comptes 2020 natures'!AS2</f>
        <v>8.7672972972972971</v>
      </c>
      <c r="AT80" s="4">
        <f>'4.1 Comptes 2020 natures'!AT80/'4.1 Comptes 2020 natures'!AT2</f>
        <v>7.4280155642023349</v>
      </c>
      <c r="AU80" s="4">
        <f>'4.1 Comptes 2020 natures'!AU80/'4.1 Comptes 2020 natures'!AU2</f>
        <v>13.433121019108281</v>
      </c>
      <c r="AV80" s="4">
        <f>'4.1 Comptes 2020 natures'!AV80/'4.1 Comptes 2020 natures'!AV2</f>
        <v>2.68275</v>
      </c>
      <c r="AW80" s="4">
        <f>'4.1 Comptes 2020 natures'!AW80/'4.1 Comptes 2020 natures'!AW2</f>
        <v>5.3896688741721848</v>
      </c>
      <c r="AX80" s="4">
        <f>'4.1 Comptes 2020 natures'!AX80/'4.1 Comptes 2020 natures'!AX2</f>
        <v>4.4767955801104966</v>
      </c>
      <c r="AY80" s="4">
        <f>'4.1 Comptes 2020 natures'!AY80/'4.1 Comptes 2020 natures'!AY2</f>
        <v>18.962536023054756</v>
      </c>
      <c r="AZ80" s="4">
        <f>'4.1 Comptes 2020 natures'!AZ80/'4.1 Comptes 2020 natures'!AZ2</f>
        <v>13.659792899408284</v>
      </c>
      <c r="BA80" s="4">
        <f>'4.1 Comptes 2020 natures'!BA80/'4.1 Comptes 2020 natures'!BA2</f>
        <v>36.420025839793283</v>
      </c>
      <c r="BB80" s="4">
        <f>'4.1 Comptes 2020 natures'!BB80/'4.1 Comptes 2020 natures'!BB2</f>
        <v>55.011724452554745</v>
      </c>
      <c r="BC80" s="4">
        <f>'4.1 Comptes 2020 natures'!BC80/'4.1 Comptes 2020 natures'!BC2</f>
        <v>8.7765957446808507</v>
      </c>
      <c r="BD80" s="4">
        <f>'4.1 Comptes 2020 natures'!BD80/'4.1 Comptes 2020 natures'!BD2</f>
        <v>7.5709822816288463</v>
      </c>
      <c r="BE80" s="4">
        <f>'4.1 Comptes 2020 natures'!BE80/'4.1 Comptes 2020 natures'!BE2</f>
        <v>10.940714285714286</v>
      </c>
      <c r="BF80" s="4">
        <f t="shared" si="48"/>
        <v>1602.4399707262498</v>
      </c>
      <c r="BG80" s="4">
        <f t="shared" si="49"/>
        <v>418.03174251406477</v>
      </c>
      <c r="BH80" s="4">
        <f t="shared" si="50"/>
        <v>758.89311261057719</v>
      </c>
      <c r="BI80" s="4">
        <f t="shared" si="51"/>
        <v>425.51511560160833</v>
      </c>
    </row>
    <row r="81" spans="2:61" x14ac:dyDescent="0.3">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3">
      <c r="B82" s="96">
        <v>41</v>
      </c>
      <c r="C82" s="96"/>
      <c r="D82" s="96" t="s">
        <v>142</v>
      </c>
      <c r="E82" s="91">
        <f>E83+E84+E85+E86</f>
        <v>0</v>
      </c>
      <c r="F82" s="91">
        <f t="shared" ref="F82:BI82" si="52">F83+F84+F85+F86</f>
        <v>42.698888888888895</v>
      </c>
      <c r="G82" s="91">
        <f t="shared" si="52"/>
        <v>0</v>
      </c>
      <c r="H82" s="91">
        <f t="shared" si="52"/>
        <v>0</v>
      </c>
      <c r="I82" s="91">
        <f t="shared" si="52"/>
        <v>0.17536491324703937</v>
      </c>
      <c r="J82" s="91">
        <f t="shared" si="52"/>
        <v>0</v>
      </c>
      <c r="K82" s="91">
        <f t="shared" si="52"/>
        <v>0</v>
      </c>
      <c r="L82" s="91">
        <f t="shared" si="52"/>
        <v>0</v>
      </c>
      <c r="M82" s="91">
        <f t="shared" si="52"/>
        <v>34.264186725018234</v>
      </c>
      <c r="N82" s="91">
        <f t="shared" si="52"/>
        <v>0</v>
      </c>
      <c r="O82" s="91">
        <f t="shared" si="52"/>
        <v>6.5771871075763917</v>
      </c>
      <c r="P82" s="91">
        <f t="shared" si="52"/>
        <v>20.331439393939394</v>
      </c>
      <c r="Q82" s="91">
        <f t="shared" si="52"/>
        <v>0</v>
      </c>
      <c r="R82" s="91">
        <f t="shared" si="52"/>
        <v>0</v>
      </c>
      <c r="S82" s="91">
        <f t="shared" si="52"/>
        <v>0</v>
      </c>
      <c r="T82" s="91">
        <f t="shared" si="52"/>
        <v>0</v>
      </c>
      <c r="U82" s="91">
        <f t="shared" si="52"/>
        <v>0</v>
      </c>
      <c r="V82" s="91">
        <f t="shared" si="52"/>
        <v>0</v>
      </c>
      <c r="W82" s="91">
        <f t="shared" si="52"/>
        <v>2.267398119122257</v>
      </c>
      <c r="X82" s="91">
        <f t="shared" si="52"/>
        <v>0.74691358024691357</v>
      </c>
      <c r="Y82" s="91">
        <f t="shared" si="52"/>
        <v>0</v>
      </c>
      <c r="Z82" s="91">
        <f t="shared" si="52"/>
        <v>160.88579842931938</v>
      </c>
      <c r="AA82" s="91">
        <f t="shared" si="52"/>
        <v>42.534375000000004</v>
      </c>
      <c r="AB82" s="91">
        <f t="shared" si="52"/>
        <v>1.9597315436241611</v>
      </c>
      <c r="AC82" s="91">
        <f t="shared" si="52"/>
        <v>0</v>
      </c>
      <c r="AD82" s="91">
        <f t="shared" si="52"/>
        <v>0</v>
      </c>
      <c r="AE82" s="91">
        <f t="shared" si="52"/>
        <v>0</v>
      </c>
      <c r="AF82" s="91">
        <f t="shared" si="52"/>
        <v>34.13673469387755</v>
      </c>
      <c r="AG82" s="91">
        <f t="shared" si="52"/>
        <v>1.567398119122257</v>
      </c>
      <c r="AH82" s="91">
        <f t="shared" si="52"/>
        <v>0.26386233269598469</v>
      </c>
      <c r="AI82" s="91">
        <f t="shared" si="52"/>
        <v>143.20594713656388</v>
      </c>
      <c r="AJ82" s="91">
        <f t="shared" si="52"/>
        <v>41.221374045801525</v>
      </c>
      <c r="AK82" s="91">
        <f t="shared" si="52"/>
        <v>40.08945646437995</v>
      </c>
      <c r="AL82" s="91">
        <f t="shared" si="52"/>
        <v>0</v>
      </c>
      <c r="AM82" s="91">
        <f t="shared" si="52"/>
        <v>0</v>
      </c>
      <c r="AN82" s="91">
        <f t="shared" si="52"/>
        <v>0</v>
      </c>
      <c r="AO82" s="91">
        <f t="shared" si="52"/>
        <v>0</v>
      </c>
      <c r="AP82" s="91">
        <f t="shared" si="52"/>
        <v>0</v>
      </c>
      <c r="AQ82" s="91">
        <f t="shared" si="52"/>
        <v>0</v>
      </c>
      <c r="AR82" s="91">
        <f t="shared" si="52"/>
        <v>15.656373713380839</v>
      </c>
      <c r="AS82" s="91">
        <f t="shared" si="52"/>
        <v>0.4756756756756757</v>
      </c>
      <c r="AT82" s="91">
        <f t="shared" si="52"/>
        <v>73.803939688715957</v>
      </c>
      <c r="AU82" s="91">
        <f t="shared" si="52"/>
        <v>0</v>
      </c>
      <c r="AV82" s="91">
        <f t="shared" si="52"/>
        <v>3.5416666666666665</v>
      </c>
      <c r="AW82" s="91">
        <f t="shared" si="52"/>
        <v>0</v>
      </c>
      <c r="AX82" s="91">
        <f t="shared" si="52"/>
        <v>44.585635359116019</v>
      </c>
      <c r="AY82" s="91">
        <f t="shared" si="52"/>
        <v>0</v>
      </c>
      <c r="AZ82" s="91">
        <f t="shared" si="52"/>
        <v>1.9398816568047337</v>
      </c>
      <c r="BA82" s="91">
        <f t="shared" si="52"/>
        <v>0</v>
      </c>
      <c r="BB82" s="91">
        <f t="shared" si="52"/>
        <v>76.999452554744522</v>
      </c>
      <c r="BC82" s="91">
        <f t="shared" si="52"/>
        <v>0</v>
      </c>
      <c r="BD82" s="91">
        <f t="shared" si="52"/>
        <v>47.501243394466897</v>
      </c>
      <c r="BE82" s="91">
        <f t="shared" si="52"/>
        <v>0</v>
      </c>
      <c r="BF82" s="91">
        <f t="shared" si="52"/>
        <v>837.42992520299515</v>
      </c>
      <c r="BG82" s="91">
        <f t="shared" si="52"/>
        <v>106.31446514779221</v>
      </c>
      <c r="BH82" s="91">
        <f t="shared" si="52"/>
        <v>426.52213488125165</v>
      </c>
      <c r="BI82" s="91">
        <f t="shared" si="52"/>
        <v>304.59332517395126</v>
      </c>
    </row>
    <row r="83" spans="2:61" x14ac:dyDescent="0.3">
      <c r="C83">
        <v>410</v>
      </c>
      <c r="D83" t="s">
        <v>143</v>
      </c>
      <c r="E83" s="4">
        <f>'4.1 Comptes 2020 natures'!E83/'4.1 Comptes 2020 natures'!E2</f>
        <v>0</v>
      </c>
      <c r="F83" s="4">
        <f>'4.1 Comptes 2020 natures'!F83/'4.1 Comptes 2020 natures'!F2</f>
        <v>0</v>
      </c>
      <c r="G83" s="4">
        <f>'4.1 Comptes 2020 natures'!G83/'4.1 Comptes 2020 natures'!G2</f>
        <v>0</v>
      </c>
      <c r="H83" s="4">
        <f>'4.1 Comptes 2020 natures'!H83/'4.1 Comptes 2020 natures'!H2</f>
        <v>0</v>
      </c>
      <c r="I83" s="4">
        <f>'4.1 Comptes 2020 natures'!I83/'4.1 Comptes 2020 natures'!I2</f>
        <v>0</v>
      </c>
      <c r="J83" s="4">
        <f>'4.1 Comptes 2020 natures'!J83/'4.1 Comptes 2020 natures'!J2</f>
        <v>0</v>
      </c>
      <c r="K83" s="4">
        <f>'4.1 Comptes 2020 natures'!K83/'4.1 Comptes 2020 natures'!K2</f>
        <v>0</v>
      </c>
      <c r="L83" s="4">
        <f>'4.1 Comptes 2020 natures'!L83/'4.1 Comptes 2020 natures'!L2</f>
        <v>0</v>
      </c>
      <c r="M83" s="4">
        <f>'4.1 Comptes 2020 natures'!M83/'4.1 Comptes 2020 natures'!M2</f>
        <v>0</v>
      </c>
      <c r="N83" s="4">
        <f>'4.1 Comptes 2020 natures'!N83/'4.1 Comptes 2020 natures'!N2</f>
        <v>0</v>
      </c>
      <c r="O83" s="4">
        <f>'4.1 Comptes 2020 natures'!O83/'4.1 Comptes 2020 natures'!O2</f>
        <v>0</v>
      </c>
      <c r="P83" s="4">
        <f>'4.1 Comptes 2020 natures'!P83/'4.1 Comptes 2020 natures'!P2</f>
        <v>0</v>
      </c>
      <c r="Q83" s="4">
        <f>'4.1 Comptes 2020 natures'!Q83/'4.1 Comptes 2020 natures'!Q2</f>
        <v>0</v>
      </c>
      <c r="R83" s="4">
        <f>'4.1 Comptes 2020 natures'!R83/'4.1 Comptes 2020 natures'!R2</f>
        <v>0</v>
      </c>
      <c r="S83" s="4">
        <f>'4.1 Comptes 2020 natures'!S83/'4.1 Comptes 2020 natures'!S2</f>
        <v>0</v>
      </c>
      <c r="T83" s="4">
        <f>'4.1 Comptes 2020 natures'!T83/'4.1 Comptes 2020 natures'!T2</f>
        <v>0</v>
      </c>
      <c r="U83" s="4">
        <f>'4.1 Comptes 2020 natures'!U83/'4.1 Comptes 2020 natures'!U2</f>
        <v>0</v>
      </c>
      <c r="V83" s="4">
        <f>'4.1 Comptes 2020 natures'!V83/'4.1 Comptes 2020 natures'!V2</f>
        <v>0</v>
      </c>
      <c r="W83" s="4">
        <f>'4.1 Comptes 2020 natures'!W83/'4.1 Comptes 2020 natures'!W2</f>
        <v>0</v>
      </c>
      <c r="X83" s="4">
        <f>'4.1 Comptes 2020 natures'!X83/'4.1 Comptes 2020 natures'!X2</f>
        <v>0</v>
      </c>
      <c r="Y83" s="4">
        <f>'4.1 Comptes 2020 natures'!Y83/'4.1 Comptes 2020 natures'!Y2</f>
        <v>0</v>
      </c>
      <c r="Z83" s="4">
        <f>'4.1 Comptes 2020 natures'!Z83/'4.1 Comptes 2020 natures'!Z2</f>
        <v>0</v>
      </c>
      <c r="AA83" s="4">
        <f>'4.1 Comptes 2020 natures'!AA83/'4.1 Comptes 2020 natures'!AA2</f>
        <v>0</v>
      </c>
      <c r="AB83" s="4">
        <f>'4.1 Comptes 2020 natures'!AB83/'4.1 Comptes 2020 natures'!AB2</f>
        <v>0</v>
      </c>
      <c r="AC83" s="4">
        <f>'4.1 Comptes 2020 natures'!AC83/'4.1 Comptes 2020 natures'!AC2</f>
        <v>0</v>
      </c>
      <c r="AD83" s="4">
        <f>'4.1 Comptes 2020 natures'!AD83/'4.1 Comptes 2020 natures'!AD2</f>
        <v>0</v>
      </c>
      <c r="AE83" s="4">
        <f>'4.1 Comptes 2020 natures'!AE83/'4.1 Comptes 2020 natures'!AE2</f>
        <v>0</v>
      </c>
      <c r="AF83" s="4">
        <f>'4.1 Comptes 2020 natures'!AF83/'4.1 Comptes 2020 natures'!AF2</f>
        <v>0</v>
      </c>
      <c r="AG83" s="4">
        <f>'4.1 Comptes 2020 natures'!AG83/'4.1 Comptes 2020 natures'!AG2</f>
        <v>0</v>
      </c>
      <c r="AH83" s="4">
        <f>'4.1 Comptes 2020 natures'!AH83/'4.1 Comptes 2020 natures'!AH2</f>
        <v>0</v>
      </c>
      <c r="AI83" s="4">
        <f>'4.1 Comptes 2020 natures'!AI83/'4.1 Comptes 2020 natures'!AI2</f>
        <v>0</v>
      </c>
      <c r="AJ83" s="4">
        <f>'4.1 Comptes 2020 natures'!AJ83/'4.1 Comptes 2020 natures'!AJ2</f>
        <v>0</v>
      </c>
      <c r="AK83" s="4">
        <f>'4.1 Comptes 2020 natures'!AK83/'4.1 Comptes 2020 natures'!AK2</f>
        <v>0</v>
      </c>
      <c r="AL83" s="4">
        <f>'4.1 Comptes 2020 natures'!AL83/'4.1 Comptes 2020 natures'!AL2</f>
        <v>0</v>
      </c>
      <c r="AM83" s="4">
        <f>'4.1 Comptes 2020 natures'!AM83/'4.1 Comptes 2020 natures'!AM2</f>
        <v>0</v>
      </c>
      <c r="AN83" s="4">
        <f>'4.1 Comptes 2020 natures'!AN83/'4.1 Comptes 2020 natures'!AN2</f>
        <v>0</v>
      </c>
      <c r="AO83" s="4">
        <f>'4.1 Comptes 2020 natures'!AO83/'4.1 Comptes 2020 natures'!AO2</f>
        <v>0</v>
      </c>
      <c r="AP83" s="4">
        <f>'4.1 Comptes 2020 natures'!AP83/'4.1 Comptes 2020 natures'!AP2</f>
        <v>0</v>
      </c>
      <c r="AQ83" s="4">
        <f>'4.1 Comptes 2020 natures'!AQ83/'4.1 Comptes 2020 natures'!AQ2</f>
        <v>0</v>
      </c>
      <c r="AR83" s="4">
        <f>'4.1 Comptes 2020 natures'!AR83/'4.1 Comptes 2020 natures'!AR2</f>
        <v>0</v>
      </c>
      <c r="AS83" s="4">
        <f>'4.1 Comptes 2020 natures'!AS83/'4.1 Comptes 2020 natures'!AS2</f>
        <v>0</v>
      </c>
      <c r="AT83" s="4">
        <f>'4.1 Comptes 2020 natures'!AT83/'4.1 Comptes 2020 natures'!AT2</f>
        <v>0</v>
      </c>
      <c r="AU83" s="4">
        <f>'4.1 Comptes 2020 natures'!AU83/'4.1 Comptes 2020 natures'!AU2</f>
        <v>0</v>
      </c>
      <c r="AV83" s="4">
        <f>'4.1 Comptes 2020 natures'!AV83/'4.1 Comptes 2020 natures'!AV2</f>
        <v>0</v>
      </c>
      <c r="AW83" s="4">
        <f>'4.1 Comptes 2020 natures'!AW83/'4.1 Comptes 2020 natures'!AW2</f>
        <v>0</v>
      </c>
      <c r="AX83" s="4">
        <f>'4.1 Comptes 2020 natures'!AX83/'4.1 Comptes 2020 natures'!AX2</f>
        <v>0</v>
      </c>
      <c r="AY83" s="4">
        <f>'4.1 Comptes 2020 natures'!AY83/'4.1 Comptes 2020 natures'!AY2</f>
        <v>0</v>
      </c>
      <c r="AZ83" s="4">
        <f>'4.1 Comptes 2020 natures'!AZ83/'4.1 Comptes 2020 natures'!AZ2</f>
        <v>0</v>
      </c>
      <c r="BA83" s="4">
        <f>'4.1 Comptes 2020 natures'!BA83/'4.1 Comptes 2020 natures'!BA2</f>
        <v>0</v>
      </c>
      <c r="BB83" s="4">
        <f>'4.1 Comptes 2020 natures'!BB83/'4.1 Comptes 2020 natures'!BB2</f>
        <v>0</v>
      </c>
      <c r="BC83" s="4">
        <f>'4.1 Comptes 2020 natures'!BC83/'4.1 Comptes 2020 natures'!BC2</f>
        <v>0</v>
      </c>
      <c r="BD83" s="4">
        <f>'4.1 Comptes 2020 natures'!BD83/'4.1 Comptes 2020 natures'!BD2</f>
        <v>0</v>
      </c>
      <c r="BE83" s="4">
        <f>'4.1 Comptes 2020 natures'!BE83/'4.1 Comptes 2020 natures'!BE2</f>
        <v>0</v>
      </c>
      <c r="BF83" s="4">
        <f t="shared" ref="BF83:BF86" si="53">SUM(E83:BE83)</f>
        <v>0</v>
      </c>
      <c r="BG83" s="4">
        <f t="shared" ref="BG83:BG86" si="54">SUM(E83:W83)</f>
        <v>0</v>
      </c>
      <c r="BH83" s="4">
        <f t="shared" ref="BH83:BH86" si="55">SUM(X83:AJ83)</f>
        <v>0</v>
      </c>
      <c r="BI83" s="4">
        <f t="shared" ref="BI83:BI86" si="56">SUM(AK83:BE83)</f>
        <v>0</v>
      </c>
    </row>
    <row r="84" spans="2:61" x14ac:dyDescent="0.3">
      <c r="C84">
        <v>411</v>
      </c>
      <c r="D84" t="s">
        <v>144</v>
      </c>
      <c r="E84" s="4">
        <f>'4.1 Comptes 2020 natures'!E84/'4.1 Comptes 2020 natures'!E2</f>
        <v>0</v>
      </c>
      <c r="F84" s="4">
        <f>'4.1 Comptes 2020 natures'!F84/'4.1 Comptes 2020 natures'!F2</f>
        <v>0</v>
      </c>
      <c r="G84" s="4">
        <f>'4.1 Comptes 2020 natures'!G84/'4.1 Comptes 2020 natures'!G2</f>
        <v>0</v>
      </c>
      <c r="H84" s="4">
        <f>'4.1 Comptes 2020 natures'!H84/'4.1 Comptes 2020 natures'!H2</f>
        <v>0</v>
      </c>
      <c r="I84" s="4">
        <f>'4.1 Comptes 2020 natures'!I84/'4.1 Comptes 2020 natures'!I2</f>
        <v>0</v>
      </c>
      <c r="J84" s="4">
        <f>'4.1 Comptes 2020 natures'!J84/'4.1 Comptes 2020 natures'!J2</f>
        <v>0</v>
      </c>
      <c r="K84" s="4">
        <f>'4.1 Comptes 2020 natures'!K84/'4.1 Comptes 2020 natures'!K2</f>
        <v>0</v>
      </c>
      <c r="L84" s="4">
        <f>'4.1 Comptes 2020 natures'!L84/'4.1 Comptes 2020 natures'!L2</f>
        <v>0</v>
      </c>
      <c r="M84" s="4">
        <f>'4.1 Comptes 2020 natures'!M84/'4.1 Comptes 2020 natures'!M2</f>
        <v>0</v>
      </c>
      <c r="N84" s="4">
        <f>'4.1 Comptes 2020 natures'!N84/'4.1 Comptes 2020 natures'!N2</f>
        <v>0</v>
      </c>
      <c r="O84" s="4">
        <f>'4.1 Comptes 2020 natures'!O84/'4.1 Comptes 2020 natures'!O2</f>
        <v>0</v>
      </c>
      <c r="P84" s="4">
        <f>'4.1 Comptes 2020 natures'!P84/'4.1 Comptes 2020 natures'!P2</f>
        <v>0</v>
      </c>
      <c r="Q84" s="4">
        <f>'4.1 Comptes 2020 natures'!Q84/'4.1 Comptes 2020 natures'!Q2</f>
        <v>0</v>
      </c>
      <c r="R84" s="4">
        <f>'4.1 Comptes 2020 natures'!R84/'4.1 Comptes 2020 natures'!R2</f>
        <v>0</v>
      </c>
      <c r="S84" s="4">
        <f>'4.1 Comptes 2020 natures'!S84/'4.1 Comptes 2020 natures'!S2</f>
        <v>0</v>
      </c>
      <c r="T84" s="4">
        <f>'4.1 Comptes 2020 natures'!T84/'4.1 Comptes 2020 natures'!T2</f>
        <v>0</v>
      </c>
      <c r="U84" s="4">
        <f>'4.1 Comptes 2020 natures'!U84/'4.1 Comptes 2020 natures'!U2</f>
        <v>0</v>
      </c>
      <c r="V84" s="4">
        <f>'4.1 Comptes 2020 natures'!V84/'4.1 Comptes 2020 natures'!V2</f>
        <v>0</v>
      </c>
      <c r="W84" s="4">
        <f>'4.1 Comptes 2020 natures'!W84/'4.1 Comptes 2020 natures'!W2</f>
        <v>0</v>
      </c>
      <c r="X84" s="4">
        <f>'4.1 Comptes 2020 natures'!X84/'4.1 Comptes 2020 natures'!X2</f>
        <v>0</v>
      </c>
      <c r="Y84" s="4">
        <f>'4.1 Comptes 2020 natures'!Y84/'4.1 Comptes 2020 natures'!Y2</f>
        <v>0</v>
      </c>
      <c r="Z84" s="4">
        <f>'4.1 Comptes 2020 natures'!Z84/'4.1 Comptes 2020 natures'!Z2</f>
        <v>0</v>
      </c>
      <c r="AA84" s="4">
        <f>'4.1 Comptes 2020 natures'!AA84/'4.1 Comptes 2020 natures'!AA2</f>
        <v>0</v>
      </c>
      <c r="AB84" s="4">
        <f>'4.1 Comptes 2020 natures'!AB84/'4.1 Comptes 2020 natures'!AB2</f>
        <v>0</v>
      </c>
      <c r="AC84" s="4">
        <f>'4.1 Comptes 2020 natures'!AC84/'4.1 Comptes 2020 natures'!AC2</f>
        <v>0</v>
      </c>
      <c r="AD84" s="4">
        <f>'4.1 Comptes 2020 natures'!AD84/'4.1 Comptes 2020 natures'!AD2</f>
        <v>0</v>
      </c>
      <c r="AE84" s="4">
        <f>'4.1 Comptes 2020 natures'!AE84/'4.1 Comptes 2020 natures'!AE2</f>
        <v>0</v>
      </c>
      <c r="AF84" s="4">
        <f>'4.1 Comptes 2020 natures'!AF84/'4.1 Comptes 2020 natures'!AF2</f>
        <v>0</v>
      </c>
      <c r="AG84" s="4">
        <f>'4.1 Comptes 2020 natures'!AG84/'4.1 Comptes 2020 natures'!AG2</f>
        <v>0</v>
      </c>
      <c r="AH84" s="4">
        <f>'4.1 Comptes 2020 natures'!AH84/'4.1 Comptes 2020 natures'!AH2</f>
        <v>0</v>
      </c>
      <c r="AI84" s="4">
        <f>'4.1 Comptes 2020 natures'!AI84/'4.1 Comptes 2020 natures'!AI2</f>
        <v>0</v>
      </c>
      <c r="AJ84" s="4">
        <f>'4.1 Comptes 2020 natures'!AJ84/'4.1 Comptes 2020 natures'!AJ2</f>
        <v>0</v>
      </c>
      <c r="AK84" s="4">
        <f>'4.1 Comptes 2020 natures'!AK84/'4.1 Comptes 2020 natures'!AK2</f>
        <v>0</v>
      </c>
      <c r="AL84" s="4">
        <f>'4.1 Comptes 2020 natures'!AL84/'4.1 Comptes 2020 natures'!AL2</f>
        <v>0</v>
      </c>
      <c r="AM84" s="4">
        <f>'4.1 Comptes 2020 natures'!AM84/'4.1 Comptes 2020 natures'!AM2</f>
        <v>0</v>
      </c>
      <c r="AN84" s="4">
        <f>'4.1 Comptes 2020 natures'!AN84/'4.1 Comptes 2020 natures'!AN2</f>
        <v>0</v>
      </c>
      <c r="AO84" s="4">
        <f>'4.1 Comptes 2020 natures'!AO84/'4.1 Comptes 2020 natures'!AO2</f>
        <v>0</v>
      </c>
      <c r="AP84" s="4">
        <f>'4.1 Comptes 2020 natures'!AP84/'4.1 Comptes 2020 natures'!AP2</f>
        <v>0</v>
      </c>
      <c r="AQ84" s="4">
        <f>'4.1 Comptes 2020 natures'!AQ84/'4.1 Comptes 2020 natures'!AQ2</f>
        <v>0</v>
      </c>
      <c r="AR84" s="4">
        <f>'4.1 Comptes 2020 natures'!AR84/'4.1 Comptes 2020 natures'!AR2</f>
        <v>0</v>
      </c>
      <c r="AS84" s="4">
        <f>'4.1 Comptes 2020 natures'!AS84/'4.1 Comptes 2020 natures'!AS2</f>
        <v>0</v>
      </c>
      <c r="AT84" s="4">
        <f>'4.1 Comptes 2020 natures'!AT84/'4.1 Comptes 2020 natures'!AT2</f>
        <v>0</v>
      </c>
      <c r="AU84" s="4">
        <f>'4.1 Comptes 2020 natures'!AU84/'4.1 Comptes 2020 natures'!AU2</f>
        <v>0</v>
      </c>
      <c r="AV84" s="4">
        <f>'4.1 Comptes 2020 natures'!AV84/'4.1 Comptes 2020 natures'!AV2</f>
        <v>0</v>
      </c>
      <c r="AW84" s="4">
        <f>'4.1 Comptes 2020 natures'!AW84/'4.1 Comptes 2020 natures'!AW2</f>
        <v>0</v>
      </c>
      <c r="AX84" s="4">
        <f>'4.1 Comptes 2020 natures'!AX84/'4.1 Comptes 2020 natures'!AX2</f>
        <v>0</v>
      </c>
      <c r="AY84" s="4">
        <f>'4.1 Comptes 2020 natures'!AY84/'4.1 Comptes 2020 natures'!AY2</f>
        <v>0</v>
      </c>
      <c r="AZ84" s="4">
        <f>'4.1 Comptes 2020 natures'!AZ84/'4.1 Comptes 2020 natures'!AZ2</f>
        <v>0</v>
      </c>
      <c r="BA84" s="4">
        <f>'4.1 Comptes 2020 natures'!BA84/'4.1 Comptes 2020 natures'!BA2</f>
        <v>0</v>
      </c>
      <c r="BB84" s="4">
        <f>'4.1 Comptes 2020 natures'!BB84/'4.1 Comptes 2020 natures'!BB2</f>
        <v>0</v>
      </c>
      <c r="BC84" s="4">
        <f>'4.1 Comptes 2020 natures'!BC84/'4.1 Comptes 2020 natures'!BC2</f>
        <v>0</v>
      </c>
      <c r="BD84" s="4">
        <f>'4.1 Comptes 2020 natures'!BD84/'4.1 Comptes 2020 natures'!BD2</f>
        <v>0</v>
      </c>
      <c r="BE84" s="4">
        <f>'4.1 Comptes 2020 natures'!BE84/'4.1 Comptes 2020 natures'!BE2</f>
        <v>0</v>
      </c>
      <c r="BF84" s="4">
        <f t="shared" si="53"/>
        <v>0</v>
      </c>
      <c r="BG84" s="4">
        <f t="shared" si="54"/>
        <v>0</v>
      </c>
      <c r="BH84" s="4">
        <f t="shared" si="55"/>
        <v>0</v>
      </c>
      <c r="BI84" s="4">
        <f t="shared" si="56"/>
        <v>0</v>
      </c>
    </row>
    <row r="85" spans="2:61" x14ac:dyDescent="0.3">
      <c r="C85">
        <v>412</v>
      </c>
      <c r="D85" t="s">
        <v>145</v>
      </c>
      <c r="E85" s="4">
        <f>'4.1 Comptes 2020 natures'!E85/'4.1 Comptes 2020 natures'!E2</f>
        <v>0</v>
      </c>
      <c r="F85" s="4">
        <f>'4.1 Comptes 2020 natures'!F85/'4.1 Comptes 2020 natures'!F2</f>
        <v>42.698888888888895</v>
      </c>
      <c r="G85" s="4">
        <f>'4.1 Comptes 2020 natures'!G85/'4.1 Comptes 2020 natures'!G2</f>
        <v>0</v>
      </c>
      <c r="H85" s="4">
        <f>'4.1 Comptes 2020 natures'!H85/'4.1 Comptes 2020 natures'!H2</f>
        <v>0</v>
      </c>
      <c r="I85" s="4">
        <f>'4.1 Comptes 2020 natures'!I85/'4.1 Comptes 2020 natures'!I2</f>
        <v>0.17536491324703937</v>
      </c>
      <c r="J85" s="4">
        <f>'4.1 Comptes 2020 natures'!J85/'4.1 Comptes 2020 natures'!J2</f>
        <v>0</v>
      </c>
      <c r="K85" s="4">
        <f>'4.1 Comptes 2020 natures'!K85/'4.1 Comptes 2020 natures'!K2</f>
        <v>0</v>
      </c>
      <c r="L85" s="4">
        <f>'4.1 Comptes 2020 natures'!L85/'4.1 Comptes 2020 natures'!L2</f>
        <v>0</v>
      </c>
      <c r="M85" s="4">
        <f>'4.1 Comptes 2020 natures'!M85/'4.1 Comptes 2020 natures'!M2</f>
        <v>34.264186725018234</v>
      </c>
      <c r="N85" s="4">
        <f>'4.1 Comptes 2020 natures'!N85/'4.1 Comptes 2020 natures'!N2</f>
        <v>0</v>
      </c>
      <c r="O85" s="4">
        <f>'4.1 Comptes 2020 natures'!O85/'4.1 Comptes 2020 natures'!O2</f>
        <v>6.5771871075763917</v>
      </c>
      <c r="P85" s="4">
        <f>'4.1 Comptes 2020 natures'!P85/'4.1 Comptes 2020 natures'!P2</f>
        <v>20.331439393939394</v>
      </c>
      <c r="Q85" s="4">
        <f>'4.1 Comptes 2020 natures'!Q85/'4.1 Comptes 2020 natures'!Q2</f>
        <v>0</v>
      </c>
      <c r="R85" s="4">
        <f>'4.1 Comptes 2020 natures'!R85/'4.1 Comptes 2020 natures'!R2</f>
        <v>0</v>
      </c>
      <c r="S85" s="4">
        <f>'4.1 Comptes 2020 natures'!S85/'4.1 Comptes 2020 natures'!S2</f>
        <v>0</v>
      </c>
      <c r="T85" s="4">
        <f>'4.1 Comptes 2020 natures'!T85/'4.1 Comptes 2020 natures'!T2</f>
        <v>0</v>
      </c>
      <c r="U85" s="4">
        <f>'4.1 Comptes 2020 natures'!U85/'4.1 Comptes 2020 natures'!U2</f>
        <v>0</v>
      </c>
      <c r="V85" s="4">
        <f>'4.1 Comptes 2020 natures'!V85/'4.1 Comptes 2020 natures'!V2</f>
        <v>0</v>
      </c>
      <c r="W85" s="4">
        <f>'4.1 Comptes 2020 natures'!W85/'4.1 Comptes 2020 natures'!W2</f>
        <v>2.267398119122257</v>
      </c>
      <c r="X85" s="4">
        <f>'4.1 Comptes 2020 natures'!X85/'4.1 Comptes 2020 natures'!X2</f>
        <v>0.74691358024691357</v>
      </c>
      <c r="Y85" s="4">
        <f>'4.1 Comptes 2020 natures'!Y85/'4.1 Comptes 2020 natures'!Y2</f>
        <v>0</v>
      </c>
      <c r="Z85" s="4">
        <f>'4.1 Comptes 2020 natures'!Z85/'4.1 Comptes 2020 natures'!Z2</f>
        <v>160.88579842931938</v>
      </c>
      <c r="AA85" s="4">
        <f>'4.1 Comptes 2020 natures'!AA85/'4.1 Comptes 2020 natures'!AA2</f>
        <v>42.534375000000004</v>
      </c>
      <c r="AB85" s="4">
        <f>'4.1 Comptes 2020 natures'!AB85/'4.1 Comptes 2020 natures'!AB2</f>
        <v>1.9597315436241611</v>
      </c>
      <c r="AC85" s="4">
        <f>'4.1 Comptes 2020 natures'!AC85/'4.1 Comptes 2020 natures'!AC2</f>
        <v>0</v>
      </c>
      <c r="AD85" s="4">
        <f>'4.1 Comptes 2020 natures'!AD85/'4.1 Comptes 2020 natures'!AD2</f>
        <v>0</v>
      </c>
      <c r="AE85" s="4">
        <f>'4.1 Comptes 2020 natures'!AE85/'4.1 Comptes 2020 natures'!AE2</f>
        <v>0</v>
      </c>
      <c r="AF85" s="4">
        <f>'4.1 Comptes 2020 natures'!AF85/'4.1 Comptes 2020 natures'!AF2</f>
        <v>34.13673469387755</v>
      </c>
      <c r="AG85" s="4">
        <f>'4.1 Comptes 2020 natures'!AG85/'4.1 Comptes 2020 natures'!AG2</f>
        <v>1.567398119122257</v>
      </c>
      <c r="AH85" s="4">
        <f>'4.1 Comptes 2020 natures'!AH85/'4.1 Comptes 2020 natures'!AH2</f>
        <v>0.26386233269598469</v>
      </c>
      <c r="AI85" s="4">
        <f>'4.1 Comptes 2020 natures'!AI85/'4.1 Comptes 2020 natures'!AI2</f>
        <v>143.20594713656388</v>
      </c>
      <c r="AJ85" s="4">
        <f>'4.1 Comptes 2020 natures'!AJ85/'4.1 Comptes 2020 natures'!AJ2</f>
        <v>41.221374045801525</v>
      </c>
      <c r="AK85" s="4">
        <f>'4.1 Comptes 2020 natures'!AK85/'4.1 Comptes 2020 natures'!AK2</f>
        <v>40.08945646437995</v>
      </c>
      <c r="AL85" s="4">
        <f>'4.1 Comptes 2020 natures'!AL85/'4.1 Comptes 2020 natures'!AL2</f>
        <v>0</v>
      </c>
      <c r="AM85" s="4">
        <f>'4.1 Comptes 2020 natures'!AM85/'4.1 Comptes 2020 natures'!AM2</f>
        <v>0</v>
      </c>
      <c r="AN85" s="4">
        <f>'4.1 Comptes 2020 natures'!AN85/'4.1 Comptes 2020 natures'!AN2</f>
        <v>0</v>
      </c>
      <c r="AO85" s="4">
        <f>'4.1 Comptes 2020 natures'!AO85/'4.1 Comptes 2020 natures'!AO2</f>
        <v>0</v>
      </c>
      <c r="AP85" s="4">
        <f>'4.1 Comptes 2020 natures'!AP85/'4.1 Comptes 2020 natures'!AP2</f>
        <v>0</v>
      </c>
      <c r="AQ85" s="4">
        <f>'4.1 Comptes 2020 natures'!AQ85/'4.1 Comptes 2020 natures'!AQ2</f>
        <v>0</v>
      </c>
      <c r="AR85" s="4">
        <f>'4.1 Comptes 2020 natures'!AR85/'4.1 Comptes 2020 natures'!AR2</f>
        <v>15.656373713380839</v>
      </c>
      <c r="AS85" s="4">
        <f>'4.1 Comptes 2020 natures'!AS85/'4.1 Comptes 2020 natures'!AS2</f>
        <v>0.4756756756756757</v>
      </c>
      <c r="AT85" s="4">
        <f>'4.1 Comptes 2020 natures'!AT85/'4.1 Comptes 2020 natures'!AT2</f>
        <v>73.803939688715957</v>
      </c>
      <c r="AU85" s="4">
        <f>'4.1 Comptes 2020 natures'!AU85/'4.1 Comptes 2020 natures'!AU2</f>
        <v>0</v>
      </c>
      <c r="AV85" s="4">
        <f>'4.1 Comptes 2020 natures'!AV85/'4.1 Comptes 2020 natures'!AV2</f>
        <v>3.5416666666666665</v>
      </c>
      <c r="AW85" s="4">
        <f>'4.1 Comptes 2020 natures'!AW85/'4.1 Comptes 2020 natures'!AW2</f>
        <v>0</v>
      </c>
      <c r="AX85" s="4">
        <f>'4.1 Comptes 2020 natures'!AX85/'4.1 Comptes 2020 natures'!AX2</f>
        <v>44.585635359116019</v>
      </c>
      <c r="AY85" s="4">
        <f>'4.1 Comptes 2020 natures'!AY85/'4.1 Comptes 2020 natures'!AY2</f>
        <v>0</v>
      </c>
      <c r="AZ85" s="4">
        <f>'4.1 Comptes 2020 natures'!AZ85/'4.1 Comptes 2020 natures'!AZ2</f>
        <v>1.9398816568047337</v>
      </c>
      <c r="BA85" s="4">
        <f>'4.1 Comptes 2020 natures'!BA85/'4.1 Comptes 2020 natures'!BA2</f>
        <v>0</v>
      </c>
      <c r="BB85" s="4">
        <f>'4.1 Comptes 2020 natures'!BB85/'4.1 Comptes 2020 natures'!BB2</f>
        <v>76.999452554744522</v>
      </c>
      <c r="BC85" s="4">
        <f>'4.1 Comptes 2020 natures'!BC85/'4.1 Comptes 2020 natures'!BC2</f>
        <v>0</v>
      </c>
      <c r="BD85" s="4">
        <f>'4.1 Comptes 2020 natures'!BD85/'4.1 Comptes 2020 natures'!BD2</f>
        <v>47.501243394466897</v>
      </c>
      <c r="BE85" s="4">
        <f>'4.1 Comptes 2020 natures'!BE85/'4.1 Comptes 2020 natures'!BE2</f>
        <v>0</v>
      </c>
      <c r="BF85" s="4">
        <f t="shared" si="53"/>
        <v>837.42992520299515</v>
      </c>
      <c r="BG85" s="4">
        <f t="shared" si="54"/>
        <v>106.31446514779221</v>
      </c>
      <c r="BH85" s="4">
        <f t="shared" si="55"/>
        <v>426.52213488125165</v>
      </c>
      <c r="BI85" s="4">
        <f t="shared" si="56"/>
        <v>304.59332517395126</v>
      </c>
    </row>
    <row r="86" spans="2:61" x14ac:dyDescent="0.3">
      <c r="C86">
        <v>413</v>
      </c>
      <c r="D86" t="s">
        <v>146</v>
      </c>
      <c r="E86" s="4">
        <f>'4.1 Comptes 2020 natures'!E86/'4.1 Comptes 2020 natures'!E2</f>
        <v>0</v>
      </c>
      <c r="F86" s="4">
        <f>'4.1 Comptes 2020 natures'!F86/'4.1 Comptes 2020 natures'!F2</f>
        <v>0</v>
      </c>
      <c r="G86" s="4">
        <f>'4.1 Comptes 2020 natures'!G86/'4.1 Comptes 2020 natures'!G2</f>
        <v>0</v>
      </c>
      <c r="H86" s="4">
        <f>'4.1 Comptes 2020 natures'!H86/'4.1 Comptes 2020 natures'!H2</f>
        <v>0</v>
      </c>
      <c r="I86" s="4">
        <f>'4.1 Comptes 2020 natures'!I86/'4.1 Comptes 2020 natures'!I2</f>
        <v>0</v>
      </c>
      <c r="J86" s="4">
        <f>'4.1 Comptes 2020 natures'!J86/'4.1 Comptes 2020 natures'!J2</f>
        <v>0</v>
      </c>
      <c r="K86" s="4">
        <f>'4.1 Comptes 2020 natures'!K86/'4.1 Comptes 2020 natures'!K2</f>
        <v>0</v>
      </c>
      <c r="L86" s="4">
        <f>'4.1 Comptes 2020 natures'!L86/'4.1 Comptes 2020 natures'!L2</f>
        <v>0</v>
      </c>
      <c r="M86" s="4">
        <f>'4.1 Comptes 2020 natures'!M86/'4.1 Comptes 2020 natures'!M2</f>
        <v>0</v>
      </c>
      <c r="N86" s="4">
        <f>'4.1 Comptes 2020 natures'!N86/'4.1 Comptes 2020 natures'!N2</f>
        <v>0</v>
      </c>
      <c r="O86" s="4">
        <f>'4.1 Comptes 2020 natures'!O86/'4.1 Comptes 2020 natures'!O2</f>
        <v>0</v>
      </c>
      <c r="P86" s="4">
        <f>'4.1 Comptes 2020 natures'!P86/'4.1 Comptes 2020 natures'!P2</f>
        <v>0</v>
      </c>
      <c r="Q86" s="4">
        <f>'4.1 Comptes 2020 natures'!Q86/'4.1 Comptes 2020 natures'!Q2</f>
        <v>0</v>
      </c>
      <c r="R86" s="4">
        <f>'4.1 Comptes 2020 natures'!R86/'4.1 Comptes 2020 natures'!R2</f>
        <v>0</v>
      </c>
      <c r="S86" s="4">
        <f>'4.1 Comptes 2020 natures'!S86/'4.1 Comptes 2020 natures'!S2</f>
        <v>0</v>
      </c>
      <c r="T86" s="4">
        <f>'4.1 Comptes 2020 natures'!T86/'4.1 Comptes 2020 natures'!T2</f>
        <v>0</v>
      </c>
      <c r="U86" s="4">
        <f>'4.1 Comptes 2020 natures'!U86/'4.1 Comptes 2020 natures'!U2</f>
        <v>0</v>
      </c>
      <c r="V86" s="4">
        <f>'4.1 Comptes 2020 natures'!V86/'4.1 Comptes 2020 natures'!V2</f>
        <v>0</v>
      </c>
      <c r="W86" s="4">
        <f>'4.1 Comptes 2020 natures'!W86/'4.1 Comptes 2020 natures'!W2</f>
        <v>0</v>
      </c>
      <c r="X86" s="4">
        <f>'4.1 Comptes 2020 natures'!X86/'4.1 Comptes 2020 natures'!X2</f>
        <v>0</v>
      </c>
      <c r="Y86" s="4">
        <f>'4.1 Comptes 2020 natures'!Y86/'4.1 Comptes 2020 natures'!Y2</f>
        <v>0</v>
      </c>
      <c r="Z86" s="4">
        <f>'4.1 Comptes 2020 natures'!Z86/'4.1 Comptes 2020 natures'!Z2</f>
        <v>0</v>
      </c>
      <c r="AA86" s="4">
        <f>'4.1 Comptes 2020 natures'!AA86/'4.1 Comptes 2020 natures'!AA2</f>
        <v>0</v>
      </c>
      <c r="AB86" s="4">
        <f>'4.1 Comptes 2020 natures'!AB86/'4.1 Comptes 2020 natures'!AB2</f>
        <v>0</v>
      </c>
      <c r="AC86" s="4">
        <f>'4.1 Comptes 2020 natures'!AC86/'4.1 Comptes 2020 natures'!AC2</f>
        <v>0</v>
      </c>
      <c r="AD86" s="4">
        <f>'4.1 Comptes 2020 natures'!AD86/'4.1 Comptes 2020 natures'!AD2</f>
        <v>0</v>
      </c>
      <c r="AE86" s="4">
        <f>'4.1 Comptes 2020 natures'!AE86/'4.1 Comptes 2020 natures'!AE2</f>
        <v>0</v>
      </c>
      <c r="AF86" s="4">
        <f>'4.1 Comptes 2020 natures'!AF86/'4.1 Comptes 2020 natures'!AF2</f>
        <v>0</v>
      </c>
      <c r="AG86" s="4">
        <f>'4.1 Comptes 2020 natures'!AG86/'4.1 Comptes 2020 natures'!AG2</f>
        <v>0</v>
      </c>
      <c r="AH86" s="4">
        <f>'4.1 Comptes 2020 natures'!AH86/'4.1 Comptes 2020 natures'!AH2</f>
        <v>0</v>
      </c>
      <c r="AI86" s="4">
        <f>'4.1 Comptes 2020 natures'!AI86/'4.1 Comptes 2020 natures'!AI2</f>
        <v>0</v>
      </c>
      <c r="AJ86" s="4">
        <f>'4.1 Comptes 2020 natures'!AJ86/'4.1 Comptes 2020 natures'!AJ2</f>
        <v>0</v>
      </c>
      <c r="AK86" s="4">
        <f>'4.1 Comptes 2020 natures'!AK86/'4.1 Comptes 2020 natures'!AK2</f>
        <v>0</v>
      </c>
      <c r="AL86" s="4">
        <f>'4.1 Comptes 2020 natures'!AL86/'4.1 Comptes 2020 natures'!AL2</f>
        <v>0</v>
      </c>
      <c r="AM86" s="4">
        <f>'4.1 Comptes 2020 natures'!AM86/'4.1 Comptes 2020 natures'!AM2</f>
        <v>0</v>
      </c>
      <c r="AN86" s="4">
        <f>'4.1 Comptes 2020 natures'!AN86/'4.1 Comptes 2020 natures'!AN2</f>
        <v>0</v>
      </c>
      <c r="AO86" s="4">
        <f>'4.1 Comptes 2020 natures'!AO86/'4.1 Comptes 2020 natures'!AO2</f>
        <v>0</v>
      </c>
      <c r="AP86" s="4">
        <f>'4.1 Comptes 2020 natures'!AP86/'4.1 Comptes 2020 natures'!AP2</f>
        <v>0</v>
      </c>
      <c r="AQ86" s="4">
        <f>'4.1 Comptes 2020 natures'!AQ86/'4.1 Comptes 2020 natures'!AQ2</f>
        <v>0</v>
      </c>
      <c r="AR86" s="4">
        <f>'4.1 Comptes 2020 natures'!AR86/'4.1 Comptes 2020 natures'!AR2</f>
        <v>0</v>
      </c>
      <c r="AS86" s="4">
        <f>'4.1 Comptes 2020 natures'!AS86/'4.1 Comptes 2020 natures'!AS2</f>
        <v>0</v>
      </c>
      <c r="AT86" s="4">
        <f>'4.1 Comptes 2020 natures'!AT86/'4.1 Comptes 2020 natures'!AT2</f>
        <v>0</v>
      </c>
      <c r="AU86" s="4">
        <f>'4.1 Comptes 2020 natures'!AU86/'4.1 Comptes 2020 natures'!AU2</f>
        <v>0</v>
      </c>
      <c r="AV86" s="4">
        <f>'4.1 Comptes 2020 natures'!AV86/'4.1 Comptes 2020 natures'!AV2</f>
        <v>0</v>
      </c>
      <c r="AW86" s="4">
        <f>'4.1 Comptes 2020 natures'!AW86/'4.1 Comptes 2020 natures'!AW2</f>
        <v>0</v>
      </c>
      <c r="AX86" s="4">
        <f>'4.1 Comptes 2020 natures'!AX86/'4.1 Comptes 2020 natures'!AX2</f>
        <v>0</v>
      </c>
      <c r="AY86" s="4">
        <f>'4.1 Comptes 2020 natures'!AY86/'4.1 Comptes 2020 natures'!AY2</f>
        <v>0</v>
      </c>
      <c r="AZ86" s="4">
        <f>'4.1 Comptes 2020 natures'!AZ86/'4.1 Comptes 2020 natures'!AZ2</f>
        <v>0</v>
      </c>
      <c r="BA86" s="4">
        <f>'4.1 Comptes 2020 natures'!BA86/'4.1 Comptes 2020 natures'!BA2</f>
        <v>0</v>
      </c>
      <c r="BB86" s="4">
        <f>'4.1 Comptes 2020 natures'!BB86/'4.1 Comptes 2020 natures'!BB2</f>
        <v>0</v>
      </c>
      <c r="BC86" s="4">
        <f>'4.1 Comptes 2020 natures'!BC86/'4.1 Comptes 2020 natures'!BC2</f>
        <v>0</v>
      </c>
      <c r="BD86" s="4">
        <f>'4.1 Comptes 2020 natures'!BD86/'4.1 Comptes 2020 natures'!BD2</f>
        <v>0</v>
      </c>
      <c r="BE86" s="4">
        <f>'4.1 Comptes 2020 natures'!BE86/'4.1 Comptes 2020 natures'!BE2</f>
        <v>0</v>
      </c>
      <c r="BF86" s="4">
        <f t="shared" si="53"/>
        <v>0</v>
      </c>
      <c r="BG86" s="4">
        <f t="shared" si="54"/>
        <v>0</v>
      </c>
      <c r="BH86" s="4">
        <f t="shared" si="55"/>
        <v>0</v>
      </c>
      <c r="BI86" s="4">
        <f t="shared" si="56"/>
        <v>0</v>
      </c>
    </row>
    <row r="87" spans="2:61" x14ac:dyDescent="0.3">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3">
      <c r="B88" s="96">
        <v>42</v>
      </c>
      <c r="C88" s="96"/>
      <c r="D88" s="96" t="s">
        <v>147</v>
      </c>
      <c r="E88" s="91">
        <f>E89+E90+E91+E92+E93+E94+E95+E96+E97</f>
        <v>697.63892741061761</v>
      </c>
      <c r="F88" s="91">
        <f t="shared" ref="F88:BI88" si="57">F89+F90+F91+F92+F93+F94+F95+F96+F97</f>
        <v>778.33425925925928</v>
      </c>
      <c r="G88" s="91">
        <f t="shared" si="57"/>
        <v>370.43371134020617</v>
      </c>
      <c r="H88" s="91">
        <f t="shared" si="57"/>
        <v>436.15650224215244</v>
      </c>
      <c r="I88" s="91">
        <f t="shared" si="57"/>
        <v>886.59341503717985</v>
      </c>
      <c r="J88" s="91">
        <f t="shared" si="57"/>
        <v>794.80830365227894</v>
      </c>
      <c r="K88" s="91">
        <f t="shared" si="57"/>
        <v>752.54182299546142</v>
      </c>
      <c r="L88" s="91">
        <f t="shared" si="57"/>
        <v>2164.3569044222536</v>
      </c>
      <c r="M88" s="91">
        <f t="shared" si="57"/>
        <v>1548.4680379285196</v>
      </c>
      <c r="N88" s="91">
        <f t="shared" si="57"/>
        <v>356.28432203389832</v>
      </c>
      <c r="O88" s="91">
        <f t="shared" si="57"/>
        <v>567.75025254639309</v>
      </c>
      <c r="P88" s="91">
        <f t="shared" si="57"/>
        <v>393.12200757575761</v>
      </c>
      <c r="Q88" s="91">
        <f t="shared" si="57"/>
        <v>443.3328703703703</v>
      </c>
      <c r="R88" s="91">
        <f t="shared" si="57"/>
        <v>615.93320481927708</v>
      </c>
      <c r="S88" s="91">
        <f t="shared" si="57"/>
        <v>944.11060171919769</v>
      </c>
      <c r="T88" s="91">
        <f t="shared" si="57"/>
        <v>1085.3612663755459</v>
      </c>
      <c r="U88" s="91">
        <f t="shared" si="57"/>
        <v>796.34356862745108</v>
      </c>
      <c r="V88" s="91">
        <f t="shared" si="57"/>
        <v>574.54332568807342</v>
      </c>
      <c r="W88" s="91">
        <f t="shared" si="57"/>
        <v>491.71292476489026</v>
      </c>
      <c r="X88" s="91">
        <f t="shared" si="57"/>
        <v>1193.3402777777776</v>
      </c>
      <c r="Y88" s="91">
        <f t="shared" si="57"/>
        <v>820.32479935794538</v>
      </c>
      <c r="Z88" s="91">
        <f t="shared" si="57"/>
        <v>1161.4481217277487</v>
      </c>
      <c r="AA88" s="91">
        <f t="shared" si="57"/>
        <v>791.22500000000002</v>
      </c>
      <c r="AB88" s="91">
        <f t="shared" si="57"/>
        <v>1246.663422818792</v>
      </c>
      <c r="AC88" s="91">
        <f t="shared" si="57"/>
        <v>1235.3891472868218</v>
      </c>
      <c r="AD88" s="91">
        <f t="shared" si="57"/>
        <v>1013.7308941877793</v>
      </c>
      <c r="AE88" s="91">
        <f t="shared" si="57"/>
        <v>950.24071678321673</v>
      </c>
      <c r="AF88" s="91">
        <f t="shared" si="57"/>
        <v>1428.7236530612245</v>
      </c>
      <c r="AG88" s="91">
        <f t="shared" si="57"/>
        <v>759.90489028213165</v>
      </c>
      <c r="AH88" s="91">
        <f t="shared" si="57"/>
        <v>883.1009216061185</v>
      </c>
      <c r="AI88" s="91">
        <f t="shared" si="57"/>
        <v>1215.5528634361235</v>
      </c>
      <c r="AJ88" s="91">
        <f t="shared" si="57"/>
        <v>957.92519083969455</v>
      </c>
      <c r="AK88" s="91">
        <f t="shared" si="57"/>
        <v>657.97604749340371</v>
      </c>
      <c r="AL88" s="91">
        <f t="shared" si="57"/>
        <v>918.70844052863436</v>
      </c>
      <c r="AM88" s="91">
        <f t="shared" si="57"/>
        <v>501.49858984689757</v>
      </c>
      <c r="AN88" s="91">
        <f t="shared" si="57"/>
        <v>1077.2889075630253</v>
      </c>
      <c r="AO88" s="91">
        <f t="shared" si="57"/>
        <v>934.08061924686194</v>
      </c>
      <c r="AP88" s="91">
        <f t="shared" si="57"/>
        <v>1189.9475867269985</v>
      </c>
      <c r="AQ88" s="91">
        <f t="shared" si="57"/>
        <v>580.09914728682179</v>
      </c>
      <c r="AR88" s="91">
        <f t="shared" si="57"/>
        <v>674.70728424386368</v>
      </c>
      <c r="AS88" s="91">
        <f t="shared" si="57"/>
        <v>823.47968918918923</v>
      </c>
      <c r="AT88" s="91">
        <f t="shared" si="57"/>
        <v>655.29800583657595</v>
      </c>
      <c r="AU88" s="91">
        <f t="shared" si="57"/>
        <v>952.29378980891715</v>
      </c>
      <c r="AV88" s="91">
        <f t="shared" si="57"/>
        <v>518.39712500000007</v>
      </c>
      <c r="AW88" s="91">
        <f t="shared" si="57"/>
        <v>636.42504635761588</v>
      </c>
      <c r="AX88" s="91">
        <f t="shared" si="57"/>
        <v>851.04906077348073</v>
      </c>
      <c r="AY88" s="91">
        <f t="shared" si="57"/>
        <v>668.04495677233433</v>
      </c>
      <c r="AZ88" s="91">
        <f t="shared" si="57"/>
        <v>509.34714201183425</v>
      </c>
      <c r="BA88" s="91">
        <f t="shared" si="57"/>
        <v>831.44186046511641</v>
      </c>
      <c r="BB88" s="91">
        <f t="shared" si="57"/>
        <v>849.16958941605844</v>
      </c>
      <c r="BC88" s="91">
        <f t="shared" si="57"/>
        <v>766.2170212765958</v>
      </c>
      <c r="BD88" s="91">
        <f t="shared" si="57"/>
        <v>868.81089058128703</v>
      </c>
      <c r="BE88" s="91">
        <f t="shared" si="57"/>
        <v>839.27767857142851</v>
      </c>
      <c r="BF88" s="91">
        <f t="shared" si="57"/>
        <v>44658.9546069711</v>
      </c>
      <c r="BG88" s="91">
        <f t="shared" si="57"/>
        <v>14697.826228808783</v>
      </c>
      <c r="BH88" s="91">
        <f t="shared" si="57"/>
        <v>13657.569899165373</v>
      </c>
      <c r="BI88" s="91">
        <f t="shared" si="57"/>
        <v>16303.558478996942</v>
      </c>
    </row>
    <row r="89" spans="2:61" x14ac:dyDescent="0.3">
      <c r="C89">
        <v>420</v>
      </c>
      <c r="D89" t="s">
        <v>148</v>
      </c>
      <c r="E89" s="4">
        <f>'4.1 Comptes 2020 natures'!E89/'4.1 Comptes 2020 natures'!E2</f>
        <v>39.122156013001081</v>
      </c>
      <c r="F89" s="4">
        <f>'4.1 Comptes 2020 natures'!F89/'4.1 Comptes 2020 natures'!F2</f>
        <v>30.598703703703702</v>
      </c>
      <c r="G89" s="4">
        <f>'4.1 Comptes 2020 natures'!G89/'4.1 Comptes 2020 natures'!G2</f>
        <v>44.229587628865978</v>
      </c>
      <c r="H89" s="4">
        <f>'4.1 Comptes 2020 natures'!H89/'4.1 Comptes 2020 natures'!H2</f>
        <v>34.22152466367713</v>
      </c>
      <c r="I89" s="4">
        <f>'4.1 Comptes 2020 natures'!I89/'4.1 Comptes 2020 natures'!I2</f>
        <v>43.53862572294134</v>
      </c>
      <c r="J89" s="4">
        <f>'4.1 Comptes 2020 natures'!J89/'4.1 Comptes 2020 natures'!J2</f>
        <v>46.680193178388173</v>
      </c>
      <c r="K89" s="4">
        <f>'4.1 Comptes 2020 natures'!K89/'4.1 Comptes 2020 natures'!K2</f>
        <v>51.726720877458398</v>
      </c>
      <c r="L89" s="4">
        <f>'4.1 Comptes 2020 natures'!L89/'4.1 Comptes 2020 natures'!L2</f>
        <v>42.719965921699163</v>
      </c>
      <c r="M89" s="4">
        <f>'4.1 Comptes 2020 natures'!M89/'4.1 Comptes 2020 natures'!M2</f>
        <v>40.977716994894237</v>
      </c>
      <c r="N89" s="4">
        <f>'4.1 Comptes 2020 natures'!N89/'4.1 Comptes 2020 natures'!N2</f>
        <v>10.128813559322035</v>
      </c>
      <c r="O89" s="4">
        <f>'4.1 Comptes 2020 natures'!O89/'4.1 Comptes 2020 natures'!O2</f>
        <v>39.748827961490157</v>
      </c>
      <c r="P89" s="4">
        <f>'4.1 Comptes 2020 natures'!P89/'4.1 Comptes 2020 natures'!P2</f>
        <v>36.051988636363639</v>
      </c>
      <c r="Q89" s="4">
        <f>'4.1 Comptes 2020 natures'!Q89/'4.1 Comptes 2020 natures'!Q2</f>
        <v>21.781944444444441</v>
      </c>
      <c r="R89" s="4">
        <f>'4.1 Comptes 2020 natures'!R89/'4.1 Comptes 2020 natures'!R2</f>
        <v>40.843614457831322</v>
      </c>
      <c r="S89" s="4">
        <f>'4.1 Comptes 2020 natures'!S89/'4.1 Comptes 2020 natures'!S2</f>
        <v>29.676504297994271</v>
      </c>
      <c r="T89" s="4">
        <f>'4.1 Comptes 2020 natures'!T89/'4.1 Comptes 2020 natures'!T2</f>
        <v>51.546870451237261</v>
      </c>
      <c r="U89" s="4">
        <f>'4.1 Comptes 2020 natures'!U89/'4.1 Comptes 2020 natures'!U2</f>
        <v>48.341372549019603</v>
      </c>
      <c r="V89" s="4">
        <f>'4.1 Comptes 2020 natures'!V89/'4.1 Comptes 2020 natures'!V2</f>
        <v>45.323967889908253</v>
      </c>
      <c r="W89" s="4">
        <f>'4.1 Comptes 2020 natures'!W89/'4.1 Comptes 2020 natures'!W2</f>
        <v>35.517429467084639</v>
      </c>
      <c r="X89" s="4">
        <f>'4.1 Comptes 2020 natures'!X89/'4.1 Comptes 2020 natures'!X2</f>
        <v>22.287962962962965</v>
      </c>
      <c r="Y89" s="4">
        <f>'4.1 Comptes 2020 natures'!Y89/'4.1 Comptes 2020 natures'!Y2</f>
        <v>45.219060995184591</v>
      </c>
      <c r="Z89" s="4">
        <f>'4.1 Comptes 2020 natures'!Z89/'4.1 Comptes 2020 natures'!Z2</f>
        <v>41.394928010471205</v>
      </c>
      <c r="AA89" s="4">
        <f>'4.1 Comptes 2020 natures'!AA89/'4.1 Comptes 2020 natures'!AA2</f>
        <v>18.401562500000001</v>
      </c>
      <c r="AB89" s="4">
        <f>'4.1 Comptes 2020 natures'!AB89/'4.1 Comptes 2020 natures'!AB2</f>
        <v>21.989261744966445</v>
      </c>
      <c r="AC89" s="4">
        <f>'4.1 Comptes 2020 natures'!AC89/'4.1 Comptes 2020 natures'!AC2</f>
        <v>30.941472868217051</v>
      </c>
      <c r="AD89" s="4">
        <f>'4.1 Comptes 2020 natures'!AD89/'4.1 Comptes 2020 natures'!AD2</f>
        <v>63.84754098360655</v>
      </c>
      <c r="AE89" s="4">
        <f>'4.1 Comptes 2020 natures'!AE89/'4.1 Comptes 2020 natures'!AE2</f>
        <v>43.106031468531469</v>
      </c>
      <c r="AF89" s="4">
        <f>'4.1 Comptes 2020 natures'!AF89/'4.1 Comptes 2020 natures'!AF2</f>
        <v>24.516632653061222</v>
      </c>
      <c r="AG89" s="4">
        <f>'4.1 Comptes 2020 natures'!AG89/'4.1 Comptes 2020 natures'!AG2</f>
        <v>47.397413793103446</v>
      </c>
      <c r="AH89" s="4">
        <f>'4.1 Comptes 2020 natures'!AH89/'4.1 Comptes 2020 natures'!AH2</f>
        <v>43.031319311663481</v>
      </c>
      <c r="AI89" s="4">
        <f>'4.1 Comptes 2020 natures'!AI89/'4.1 Comptes 2020 natures'!AI2</f>
        <v>27.468061674008812</v>
      </c>
      <c r="AJ89" s="4">
        <f>'4.1 Comptes 2020 natures'!AJ89/'4.1 Comptes 2020 natures'!AJ2</f>
        <v>23.097328244274809</v>
      </c>
      <c r="AK89" s="4">
        <f>'4.1 Comptes 2020 natures'!AK89/'4.1 Comptes 2020 natures'!AK2</f>
        <v>38.374010554089708</v>
      </c>
      <c r="AL89" s="4">
        <f>'4.1 Comptes 2020 natures'!AL89/'4.1 Comptes 2020 natures'!AL2</f>
        <v>21.031189427312775</v>
      </c>
      <c r="AM89" s="4">
        <f>'4.1 Comptes 2020 natures'!AM89/'4.1 Comptes 2020 natures'!AM2</f>
        <v>20.317929089443997</v>
      </c>
      <c r="AN89" s="4">
        <f>'4.1 Comptes 2020 natures'!AN89/'4.1 Comptes 2020 natures'!AN2</f>
        <v>30.786974789915966</v>
      </c>
      <c r="AO89" s="4">
        <f>'4.1 Comptes 2020 natures'!AO89/'4.1 Comptes 2020 natures'!AO2</f>
        <v>29.813556485355647</v>
      </c>
      <c r="AP89" s="4">
        <f>'4.1 Comptes 2020 natures'!AP89/'4.1 Comptes 2020 natures'!AP2</f>
        <v>21.743514328808448</v>
      </c>
      <c r="AQ89" s="4">
        <f>'4.1 Comptes 2020 natures'!AQ89/'4.1 Comptes 2020 natures'!AQ2</f>
        <v>28.899302325581395</v>
      </c>
      <c r="AR89" s="4">
        <f>'4.1 Comptes 2020 natures'!AR89/'4.1 Comptes 2020 natures'!AR2</f>
        <v>25.626801266825019</v>
      </c>
      <c r="AS89" s="4">
        <f>'4.1 Comptes 2020 natures'!AS89/'4.1 Comptes 2020 natures'!AS2</f>
        <v>40.88648648648649</v>
      </c>
      <c r="AT89" s="4">
        <f>'4.1 Comptes 2020 natures'!AT89/'4.1 Comptes 2020 natures'!AT2</f>
        <v>42.427529182879375</v>
      </c>
      <c r="AU89" s="4">
        <f>'4.1 Comptes 2020 natures'!AU89/'4.1 Comptes 2020 natures'!AU2</f>
        <v>28.684554140127389</v>
      </c>
      <c r="AV89" s="4">
        <f>'4.1 Comptes 2020 natures'!AV89/'4.1 Comptes 2020 natures'!AV2</f>
        <v>0</v>
      </c>
      <c r="AW89" s="4">
        <f>'4.1 Comptes 2020 natures'!AW89/'4.1 Comptes 2020 natures'!AW2</f>
        <v>26.828278145695361</v>
      </c>
      <c r="AX89" s="4">
        <f>'4.1 Comptes 2020 natures'!AX89/'4.1 Comptes 2020 natures'!AX2</f>
        <v>31.533425414364643</v>
      </c>
      <c r="AY89" s="4">
        <f>'4.1 Comptes 2020 natures'!AY89/'4.1 Comptes 2020 natures'!AY2</f>
        <v>22.14135446685879</v>
      </c>
      <c r="AZ89" s="4">
        <f>'4.1 Comptes 2020 natures'!AZ89/'4.1 Comptes 2020 natures'!AZ2</f>
        <v>32.954881656804737</v>
      </c>
      <c r="BA89" s="4">
        <f>'4.1 Comptes 2020 natures'!BA89/'4.1 Comptes 2020 natures'!BA2</f>
        <v>20.619379844961241</v>
      </c>
      <c r="BB89" s="4">
        <f>'4.1 Comptes 2020 natures'!BB89/'4.1 Comptes 2020 natures'!BB2</f>
        <v>24.781979927007299</v>
      </c>
      <c r="BC89" s="4">
        <f>'4.1 Comptes 2020 natures'!BC89/'4.1 Comptes 2020 natures'!BC2</f>
        <v>27.146542553191491</v>
      </c>
      <c r="BD89" s="4">
        <f>'4.1 Comptes 2020 natures'!BD89/'4.1 Comptes 2020 natures'!BD2</f>
        <v>35.648375815977616</v>
      </c>
      <c r="BE89" s="4">
        <f>'4.1 Comptes 2020 natures'!BE89/'4.1 Comptes 2020 natures'!BE2</f>
        <v>23.477678571428573</v>
      </c>
      <c r="BF89" s="4">
        <f t="shared" ref="BF89:BF97" si="58">SUM(E89:BE89)</f>
        <v>1759.198850102493</v>
      </c>
      <c r="BG89" s="4">
        <f t="shared" ref="BG89:BG97" si="59">SUM(E89:W89)</f>
        <v>732.7765284193249</v>
      </c>
      <c r="BH89" s="4">
        <f t="shared" ref="BH89:BH97" si="60">SUM(X89:AJ89)</f>
        <v>452.69857721005206</v>
      </c>
      <c r="BI89" s="4">
        <f t="shared" ref="BI89:BI97" si="61">SUM(AK89:BE89)</f>
        <v>573.72374447311597</v>
      </c>
    </row>
    <row r="90" spans="2:61" x14ac:dyDescent="0.3">
      <c r="C90">
        <v>421</v>
      </c>
      <c r="D90" t="s">
        <v>149</v>
      </c>
      <c r="E90" s="4">
        <f>'4.1 Comptes 2020 natures'!E90/'4.1 Comptes 2020 natures'!E2</f>
        <v>12.885969664138678</v>
      </c>
      <c r="F90" s="4">
        <f>'4.1 Comptes 2020 natures'!F90/'4.1 Comptes 2020 natures'!F2</f>
        <v>17.31574074074074</v>
      </c>
      <c r="G90" s="4">
        <f>'4.1 Comptes 2020 natures'!G90/'4.1 Comptes 2020 natures'!G2</f>
        <v>6.0319587628865978</v>
      </c>
      <c r="H90" s="4">
        <f>'4.1 Comptes 2020 natures'!H90/'4.1 Comptes 2020 natures'!H2</f>
        <v>16.100448430493273</v>
      </c>
      <c r="I90" s="4">
        <f>'4.1 Comptes 2020 natures'!I90/'4.1 Comptes 2020 natures'!I2</f>
        <v>22.469391352244561</v>
      </c>
      <c r="J90" s="4">
        <f>'4.1 Comptes 2020 natures'!J90/'4.1 Comptes 2020 natures'!J2</f>
        <v>10.619091457893148</v>
      </c>
      <c r="K90" s="4">
        <f>'4.1 Comptes 2020 natures'!K90/'4.1 Comptes 2020 natures'!K2</f>
        <v>12.322193645990923</v>
      </c>
      <c r="L90" s="4">
        <f>'4.1 Comptes 2020 natures'!L90/'4.1 Comptes 2020 natures'!L2</f>
        <v>83.971368679663968</v>
      </c>
      <c r="M90" s="4">
        <f>'4.1 Comptes 2020 natures'!M90/'4.1 Comptes 2020 natures'!M2</f>
        <v>10.182166301969366</v>
      </c>
      <c r="N90" s="4">
        <f>'4.1 Comptes 2020 natures'!N90/'4.1 Comptes 2020 natures'!N2</f>
        <v>-1.4067796610169492</v>
      </c>
      <c r="O90" s="4">
        <f>'4.1 Comptes 2020 natures'!O90/'4.1 Comptes 2020 natures'!O2</f>
        <v>22.194300265103948</v>
      </c>
      <c r="P90" s="4">
        <f>'4.1 Comptes 2020 natures'!P90/'4.1 Comptes 2020 natures'!P2</f>
        <v>24.578787878787878</v>
      </c>
      <c r="Q90" s="4">
        <f>'4.1 Comptes 2020 natures'!Q90/'4.1 Comptes 2020 natures'!Q2</f>
        <v>37.966666666666661</v>
      </c>
      <c r="R90" s="4">
        <f>'4.1 Comptes 2020 natures'!R90/'4.1 Comptes 2020 natures'!R2</f>
        <v>65.90542168674699</v>
      </c>
      <c r="S90" s="4">
        <f>'4.1 Comptes 2020 natures'!S90/'4.1 Comptes 2020 natures'!S2</f>
        <v>19.097134670487105</v>
      </c>
      <c r="T90" s="4">
        <f>'4.1 Comptes 2020 natures'!T90/'4.1 Comptes 2020 natures'!T2</f>
        <v>8.7642649199417768</v>
      </c>
      <c r="U90" s="4">
        <f>'4.1 Comptes 2020 natures'!U90/'4.1 Comptes 2020 natures'!U2</f>
        <v>10.156862745098039</v>
      </c>
      <c r="V90" s="4">
        <f>'4.1 Comptes 2020 natures'!V90/'4.1 Comptes 2020 natures'!V2</f>
        <v>18.668004587155963</v>
      </c>
      <c r="W90" s="4">
        <f>'4.1 Comptes 2020 natures'!W90/'4.1 Comptes 2020 natures'!W2</f>
        <v>12.823573667711598</v>
      </c>
      <c r="X90" s="4">
        <f>'4.1 Comptes 2020 natures'!X90/'4.1 Comptes 2020 natures'!X2</f>
        <v>12.392746913580247</v>
      </c>
      <c r="Y90" s="4">
        <f>'4.1 Comptes 2020 natures'!Y90/'4.1 Comptes 2020 natures'!Y2</f>
        <v>11.092696629213483</v>
      </c>
      <c r="Z90" s="4">
        <f>'4.1 Comptes 2020 natures'!Z90/'4.1 Comptes 2020 natures'!Z2</f>
        <v>8.6862107329842928</v>
      </c>
      <c r="AA90" s="4">
        <f>'4.1 Comptes 2020 natures'!AA90/'4.1 Comptes 2020 natures'!AA2</f>
        <v>0</v>
      </c>
      <c r="AB90" s="4">
        <f>'4.1 Comptes 2020 natures'!AB90/'4.1 Comptes 2020 natures'!AB2</f>
        <v>7.0469798657718119</v>
      </c>
      <c r="AC90" s="4">
        <f>'4.1 Comptes 2020 natures'!AC90/'4.1 Comptes 2020 natures'!AC2</f>
        <v>138.37209302325581</v>
      </c>
      <c r="AD90" s="4">
        <f>'4.1 Comptes 2020 natures'!AD90/'4.1 Comptes 2020 natures'!AD2</f>
        <v>95.878092399403869</v>
      </c>
      <c r="AE90" s="4">
        <f>'4.1 Comptes 2020 natures'!AE90/'4.1 Comptes 2020 natures'!AE2</f>
        <v>13.31958041958042</v>
      </c>
      <c r="AF90" s="4">
        <f>'4.1 Comptes 2020 natures'!AF90/'4.1 Comptes 2020 natures'!AF2</f>
        <v>19.474489795918366</v>
      </c>
      <c r="AG90" s="4">
        <f>'4.1 Comptes 2020 natures'!AG90/'4.1 Comptes 2020 natures'!AG2</f>
        <v>11.539106583072099</v>
      </c>
      <c r="AH90" s="4">
        <f>'4.1 Comptes 2020 natures'!AH90/'4.1 Comptes 2020 natures'!AH2</f>
        <v>8.9213193116634795</v>
      </c>
      <c r="AI90" s="4">
        <f>'4.1 Comptes 2020 natures'!AI90/'4.1 Comptes 2020 natures'!AI2</f>
        <v>5.6389867841409691</v>
      </c>
      <c r="AJ90" s="4">
        <f>'4.1 Comptes 2020 natures'!AJ90/'4.1 Comptes 2020 natures'!AJ2</f>
        <v>9.479007633587786</v>
      </c>
      <c r="AK90" s="4">
        <f>'4.1 Comptes 2020 natures'!AK90/'4.1 Comptes 2020 natures'!AK2</f>
        <v>29.809736147757253</v>
      </c>
      <c r="AL90" s="4">
        <f>'4.1 Comptes 2020 natures'!AL90/'4.1 Comptes 2020 natures'!AL2</f>
        <v>8.9758590308370039</v>
      </c>
      <c r="AM90" s="4">
        <f>'4.1 Comptes 2020 natures'!AM90/'4.1 Comptes 2020 natures'!AM2</f>
        <v>8.409548751007252</v>
      </c>
      <c r="AN90" s="4">
        <f>'4.1 Comptes 2020 natures'!AN90/'4.1 Comptes 2020 natures'!AN2</f>
        <v>27.968067226890756</v>
      </c>
      <c r="AO90" s="4">
        <f>'4.1 Comptes 2020 natures'!AO90/'4.1 Comptes 2020 natures'!AO2</f>
        <v>13.793941422594141</v>
      </c>
      <c r="AP90" s="4">
        <f>'4.1 Comptes 2020 natures'!AP90/'4.1 Comptes 2020 natures'!AP2</f>
        <v>12.078205128205129</v>
      </c>
      <c r="AQ90" s="4">
        <f>'4.1 Comptes 2020 natures'!AQ90/'4.1 Comptes 2020 natures'!AQ2</f>
        <v>10.783875968992248</v>
      </c>
      <c r="AR90" s="4">
        <f>'4.1 Comptes 2020 natures'!AR90/'4.1 Comptes 2020 natures'!AR2</f>
        <v>15.363341250989707</v>
      </c>
      <c r="AS90" s="4">
        <f>'4.1 Comptes 2020 natures'!AS90/'4.1 Comptes 2020 natures'!AS2</f>
        <v>4.8410135135135137</v>
      </c>
      <c r="AT90" s="4">
        <f>'4.1 Comptes 2020 natures'!AT90/'4.1 Comptes 2020 natures'!AT2</f>
        <v>8.8069066147859925</v>
      </c>
      <c r="AU90" s="4">
        <f>'4.1 Comptes 2020 natures'!AU90/'4.1 Comptes 2020 natures'!AU2</f>
        <v>12.947770700636942</v>
      </c>
      <c r="AV90" s="4">
        <f>'4.1 Comptes 2020 natures'!AV90/'4.1 Comptes 2020 natures'!AV2</f>
        <v>14.892979166666667</v>
      </c>
      <c r="AW90" s="4">
        <f>'4.1 Comptes 2020 natures'!AW90/'4.1 Comptes 2020 natures'!AW2</f>
        <v>16.380609271523181</v>
      </c>
      <c r="AX90" s="4">
        <f>'4.1 Comptes 2020 natures'!AX90/'4.1 Comptes 2020 natures'!AX2</f>
        <v>28.048618784530387</v>
      </c>
      <c r="AY90" s="4">
        <f>'4.1 Comptes 2020 natures'!AY90/'4.1 Comptes 2020 natures'!AY2</f>
        <v>2.8854466858789625</v>
      </c>
      <c r="AZ90" s="4">
        <f>'4.1 Comptes 2020 natures'!AZ90/'4.1 Comptes 2020 natures'!AZ2</f>
        <v>13.835071005917159</v>
      </c>
      <c r="BA90" s="4">
        <f>'4.1 Comptes 2020 natures'!BA90/'4.1 Comptes 2020 natures'!BA2</f>
        <v>22.289534883720929</v>
      </c>
      <c r="BB90" s="4">
        <f>'4.1 Comptes 2020 natures'!BB90/'4.1 Comptes 2020 natures'!BB2</f>
        <v>14.605757299270072</v>
      </c>
      <c r="BC90" s="4">
        <f>'4.1 Comptes 2020 natures'!BC90/'4.1 Comptes 2020 natures'!BC2</f>
        <v>-8.5236702127659569</v>
      </c>
      <c r="BD90" s="4">
        <f>'4.1 Comptes 2020 natures'!BD90/'4.1 Comptes 2020 natures'!BD2</f>
        <v>52.809239975132115</v>
      </c>
      <c r="BE90" s="4">
        <f>'4.1 Comptes 2020 natures'!BE90/'4.1 Comptes 2020 natures'!BE2</f>
        <v>30.378035714285716</v>
      </c>
      <c r="BF90" s="4">
        <f t="shared" si="58"/>
        <v>1093.8677648852461</v>
      </c>
      <c r="BG90" s="4">
        <f t="shared" si="59"/>
        <v>410.64656646270424</v>
      </c>
      <c r="BH90" s="4">
        <f t="shared" si="60"/>
        <v>341.84131009217265</v>
      </c>
      <c r="BI90" s="4">
        <f t="shared" si="61"/>
        <v>341.37988833036917</v>
      </c>
    </row>
    <row r="91" spans="2:61" x14ac:dyDescent="0.3">
      <c r="C91">
        <v>422</v>
      </c>
      <c r="D91" t="s">
        <v>150</v>
      </c>
      <c r="E91" s="4">
        <f>'4.1 Comptes 2020 natures'!E91/'4.1 Comptes 2020 natures'!E2</f>
        <v>0</v>
      </c>
      <c r="F91" s="4">
        <f>'4.1 Comptes 2020 natures'!F91/'4.1 Comptes 2020 natures'!F2</f>
        <v>0</v>
      </c>
      <c r="G91" s="4">
        <f>'4.1 Comptes 2020 natures'!G91/'4.1 Comptes 2020 natures'!G2</f>
        <v>0</v>
      </c>
      <c r="H91" s="4">
        <f>'4.1 Comptes 2020 natures'!H91/'4.1 Comptes 2020 natures'!H2</f>
        <v>0</v>
      </c>
      <c r="I91" s="4">
        <f>'4.1 Comptes 2020 natures'!I91/'4.1 Comptes 2020 natures'!I2</f>
        <v>0</v>
      </c>
      <c r="J91" s="4">
        <f>'4.1 Comptes 2020 natures'!J91/'4.1 Comptes 2020 natures'!J2</f>
        <v>0</v>
      </c>
      <c r="K91" s="4">
        <f>'4.1 Comptes 2020 natures'!K91/'4.1 Comptes 2020 natures'!K2</f>
        <v>0</v>
      </c>
      <c r="L91" s="4">
        <f>'4.1 Comptes 2020 natures'!L91/'4.1 Comptes 2020 natures'!L2</f>
        <v>0</v>
      </c>
      <c r="M91" s="4">
        <f>'4.1 Comptes 2020 natures'!M91/'4.1 Comptes 2020 natures'!M2</f>
        <v>0</v>
      </c>
      <c r="N91" s="4">
        <f>'4.1 Comptes 2020 natures'!N91/'4.1 Comptes 2020 natures'!N2</f>
        <v>0</v>
      </c>
      <c r="O91" s="4">
        <f>'4.1 Comptes 2020 natures'!O91/'4.1 Comptes 2020 natures'!O2</f>
        <v>0</v>
      </c>
      <c r="P91" s="4">
        <f>'4.1 Comptes 2020 natures'!P91/'4.1 Comptes 2020 natures'!P2</f>
        <v>0</v>
      </c>
      <c r="Q91" s="4">
        <f>'4.1 Comptes 2020 natures'!Q91/'4.1 Comptes 2020 natures'!Q2</f>
        <v>0</v>
      </c>
      <c r="R91" s="4">
        <f>'4.1 Comptes 2020 natures'!R91/'4.1 Comptes 2020 natures'!R2</f>
        <v>0</v>
      </c>
      <c r="S91" s="4">
        <f>'4.1 Comptes 2020 natures'!S91/'4.1 Comptes 2020 natures'!S2</f>
        <v>0</v>
      </c>
      <c r="T91" s="4">
        <f>'4.1 Comptes 2020 natures'!T91/'4.1 Comptes 2020 natures'!T2</f>
        <v>0</v>
      </c>
      <c r="U91" s="4">
        <f>'4.1 Comptes 2020 natures'!U91/'4.1 Comptes 2020 natures'!U2</f>
        <v>0</v>
      </c>
      <c r="V91" s="4">
        <f>'4.1 Comptes 2020 natures'!V91/'4.1 Comptes 2020 natures'!V2</f>
        <v>0</v>
      </c>
      <c r="W91" s="4">
        <f>'4.1 Comptes 2020 natures'!W91/'4.1 Comptes 2020 natures'!W2</f>
        <v>0</v>
      </c>
      <c r="X91" s="4">
        <f>'4.1 Comptes 2020 natures'!X91/'4.1 Comptes 2020 natures'!X2</f>
        <v>0</v>
      </c>
      <c r="Y91" s="4">
        <f>'4.1 Comptes 2020 natures'!Y91/'4.1 Comptes 2020 natures'!Y2</f>
        <v>0</v>
      </c>
      <c r="Z91" s="4">
        <f>'4.1 Comptes 2020 natures'!Z91/'4.1 Comptes 2020 natures'!Z2</f>
        <v>0</v>
      </c>
      <c r="AA91" s="4">
        <f>'4.1 Comptes 2020 natures'!AA91/'4.1 Comptes 2020 natures'!AA2</f>
        <v>0</v>
      </c>
      <c r="AB91" s="4">
        <f>'4.1 Comptes 2020 natures'!AB91/'4.1 Comptes 2020 natures'!AB2</f>
        <v>0</v>
      </c>
      <c r="AC91" s="4">
        <f>'4.1 Comptes 2020 natures'!AC91/'4.1 Comptes 2020 natures'!AC2</f>
        <v>0</v>
      </c>
      <c r="AD91" s="4">
        <f>'4.1 Comptes 2020 natures'!AD91/'4.1 Comptes 2020 natures'!AD2</f>
        <v>0</v>
      </c>
      <c r="AE91" s="4">
        <f>'4.1 Comptes 2020 natures'!AE91/'4.1 Comptes 2020 natures'!AE2</f>
        <v>0</v>
      </c>
      <c r="AF91" s="4">
        <f>'4.1 Comptes 2020 natures'!AF91/'4.1 Comptes 2020 natures'!AF2</f>
        <v>0</v>
      </c>
      <c r="AG91" s="4">
        <f>'4.1 Comptes 2020 natures'!AG91/'4.1 Comptes 2020 natures'!AG2</f>
        <v>0</v>
      </c>
      <c r="AH91" s="4">
        <f>'4.1 Comptes 2020 natures'!AH91/'4.1 Comptes 2020 natures'!AH2</f>
        <v>0</v>
      </c>
      <c r="AI91" s="4">
        <f>'4.1 Comptes 2020 natures'!AI91/'4.1 Comptes 2020 natures'!AI2</f>
        <v>0</v>
      </c>
      <c r="AJ91" s="4">
        <f>'4.1 Comptes 2020 natures'!AJ91/'4.1 Comptes 2020 natures'!AJ2</f>
        <v>0</v>
      </c>
      <c r="AK91" s="4">
        <f>'4.1 Comptes 2020 natures'!AK91/'4.1 Comptes 2020 natures'!AK2</f>
        <v>0</v>
      </c>
      <c r="AL91" s="4">
        <f>'4.1 Comptes 2020 natures'!AL91/'4.1 Comptes 2020 natures'!AL2</f>
        <v>0</v>
      </c>
      <c r="AM91" s="4">
        <f>'4.1 Comptes 2020 natures'!AM91/'4.1 Comptes 2020 natures'!AM2</f>
        <v>0</v>
      </c>
      <c r="AN91" s="4">
        <f>'4.1 Comptes 2020 natures'!AN91/'4.1 Comptes 2020 natures'!AN2</f>
        <v>0</v>
      </c>
      <c r="AO91" s="4">
        <f>'4.1 Comptes 2020 natures'!AO91/'4.1 Comptes 2020 natures'!AO2</f>
        <v>0</v>
      </c>
      <c r="AP91" s="4">
        <f>'4.1 Comptes 2020 natures'!AP91/'4.1 Comptes 2020 natures'!AP2</f>
        <v>0</v>
      </c>
      <c r="AQ91" s="4">
        <f>'4.1 Comptes 2020 natures'!AQ91/'4.1 Comptes 2020 natures'!AQ2</f>
        <v>0</v>
      </c>
      <c r="AR91" s="4">
        <f>'4.1 Comptes 2020 natures'!AR91/'4.1 Comptes 2020 natures'!AR2</f>
        <v>0</v>
      </c>
      <c r="AS91" s="4">
        <f>'4.1 Comptes 2020 natures'!AS91/'4.1 Comptes 2020 natures'!AS2</f>
        <v>0</v>
      </c>
      <c r="AT91" s="4">
        <f>'4.1 Comptes 2020 natures'!AT91/'4.1 Comptes 2020 natures'!AT2</f>
        <v>0</v>
      </c>
      <c r="AU91" s="4">
        <f>'4.1 Comptes 2020 natures'!AU91/'4.1 Comptes 2020 natures'!AU2</f>
        <v>0</v>
      </c>
      <c r="AV91" s="4">
        <f>'4.1 Comptes 2020 natures'!AV91/'4.1 Comptes 2020 natures'!AV2</f>
        <v>0</v>
      </c>
      <c r="AW91" s="4">
        <f>'4.1 Comptes 2020 natures'!AW91/'4.1 Comptes 2020 natures'!AW2</f>
        <v>0</v>
      </c>
      <c r="AX91" s="4">
        <f>'4.1 Comptes 2020 natures'!AX91/'4.1 Comptes 2020 natures'!AX2</f>
        <v>0</v>
      </c>
      <c r="AY91" s="4">
        <f>'4.1 Comptes 2020 natures'!AY91/'4.1 Comptes 2020 natures'!AY2</f>
        <v>0</v>
      </c>
      <c r="AZ91" s="4">
        <f>'4.1 Comptes 2020 natures'!AZ91/'4.1 Comptes 2020 natures'!AZ2</f>
        <v>0</v>
      </c>
      <c r="BA91" s="4">
        <f>'4.1 Comptes 2020 natures'!BA91/'4.1 Comptes 2020 natures'!BA2</f>
        <v>0</v>
      </c>
      <c r="BB91" s="4">
        <f>'4.1 Comptes 2020 natures'!BB91/'4.1 Comptes 2020 natures'!BB2</f>
        <v>0</v>
      </c>
      <c r="BC91" s="4">
        <f>'4.1 Comptes 2020 natures'!BC91/'4.1 Comptes 2020 natures'!BC2</f>
        <v>0</v>
      </c>
      <c r="BD91" s="4">
        <f>'4.1 Comptes 2020 natures'!BD91/'4.1 Comptes 2020 natures'!BD2</f>
        <v>0</v>
      </c>
      <c r="BE91" s="4">
        <f>'4.1 Comptes 2020 natures'!BE91/'4.1 Comptes 2020 natures'!BE2</f>
        <v>0</v>
      </c>
      <c r="BF91" s="4">
        <f t="shared" si="58"/>
        <v>0</v>
      </c>
      <c r="BG91" s="4">
        <f t="shared" si="59"/>
        <v>0</v>
      </c>
      <c r="BH91" s="4">
        <f t="shared" si="60"/>
        <v>0</v>
      </c>
      <c r="BI91" s="4">
        <f t="shared" si="61"/>
        <v>0</v>
      </c>
    </row>
    <row r="92" spans="2:61" x14ac:dyDescent="0.3">
      <c r="C92">
        <v>423</v>
      </c>
      <c r="D92" t="s">
        <v>151</v>
      </c>
      <c r="E92" s="4">
        <f>'4.1 Comptes 2020 natures'!E92/'4.1 Comptes 2020 natures'!E2</f>
        <v>4.4203683640303355</v>
      </c>
      <c r="F92" s="4">
        <f>'4.1 Comptes 2020 natures'!F92/'4.1 Comptes 2020 natures'!F2</f>
        <v>0</v>
      </c>
      <c r="G92" s="4">
        <f>'4.1 Comptes 2020 natures'!G92/'4.1 Comptes 2020 natures'!G2</f>
        <v>0</v>
      </c>
      <c r="H92" s="4">
        <f>'4.1 Comptes 2020 natures'!H92/'4.1 Comptes 2020 natures'!H2</f>
        <v>0</v>
      </c>
      <c r="I92" s="4">
        <f>'4.1 Comptes 2020 natures'!I92/'4.1 Comptes 2020 natures'!I2</f>
        <v>2.7581933351693748</v>
      </c>
      <c r="J92" s="4">
        <f>'4.1 Comptes 2020 natures'!J92/'4.1 Comptes 2020 natures'!J2</f>
        <v>0</v>
      </c>
      <c r="K92" s="4">
        <f>'4.1 Comptes 2020 natures'!K92/'4.1 Comptes 2020 natures'!K2</f>
        <v>0</v>
      </c>
      <c r="L92" s="4">
        <f>'4.1 Comptes 2020 natures'!L92/'4.1 Comptes 2020 natures'!L2</f>
        <v>2.9678950705341576</v>
      </c>
      <c r="M92" s="4">
        <f>'4.1 Comptes 2020 natures'!M92/'4.1 Comptes 2020 natures'!M2</f>
        <v>0</v>
      </c>
      <c r="N92" s="4">
        <f>'4.1 Comptes 2020 natures'!N92/'4.1 Comptes 2020 natures'!N2</f>
        <v>0</v>
      </c>
      <c r="O92" s="4">
        <f>'4.1 Comptes 2020 natures'!O92/'4.1 Comptes 2020 natures'!O2</f>
        <v>0</v>
      </c>
      <c r="P92" s="4">
        <f>'4.1 Comptes 2020 natures'!P92/'4.1 Comptes 2020 natures'!P2</f>
        <v>0</v>
      </c>
      <c r="Q92" s="4">
        <f>'4.1 Comptes 2020 natures'!Q92/'4.1 Comptes 2020 natures'!Q2</f>
        <v>0</v>
      </c>
      <c r="R92" s="4">
        <f>'4.1 Comptes 2020 natures'!R92/'4.1 Comptes 2020 natures'!R2</f>
        <v>0</v>
      </c>
      <c r="S92" s="4">
        <f>'4.1 Comptes 2020 natures'!S92/'4.1 Comptes 2020 natures'!S2</f>
        <v>0</v>
      </c>
      <c r="T92" s="4">
        <f>'4.1 Comptes 2020 natures'!T92/'4.1 Comptes 2020 natures'!T2</f>
        <v>0</v>
      </c>
      <c r="U92" s="4">
        <f>'4.1 Comptes 2020 natures'!U92/'4.1 Comptes 2020 natures'!U2</f>
        <v>0</v>
      </c>
      <c r="V92" s="4">
        <f>'4.1 Comptes 2020 natures'!V92/'4.1 Comptes 2020 natures'!V2</f>
        <v>18.119266055045873</v>
      </c>
      <c r="W92" s="4">
        <f>'4.1 Comptes 2020 natures'!W92/'4.1 Comptes 2020 natures'!W2</f>
        <v>2.8213166144200628</v>
      </c>
      <c r="X92" s="4">
        <f>'4.1 Comptes 2020 natures'!X92/'4.1 Comptes 2020 natures'!X2</f>
        <v>113.24984567901234</v>
      </c>
      <c r="Y92" s="4">
        <f>'4.1 Comptes 2020 natures'!Y92/'4.1 Comptes 2020 natures'!Y2</f>
        <v>0</v>
      </c>
      <c r="Z92" s="4">
        <f>'4.1 Comptes 2020 natures'!Z92/'4.1 Comptes 2020 natures'!Z2</f>
        <v>223.3306609947644</v>
      </c>
      <c r="AA92" s="4">
        <f>'4.1 Comptes 2020 natures'!AA92/'4.1 Comptes 2020 natures'!AA2</f>
        <v>0</v>
      </c>
      <c r="AB92" s="4">
        <f>'4.1 Comptes 2020 natures'!AB92/'4.1 Comptes 2020 natures'!AB2</f>
        <v>0</v>
      </c>
      <c r="AC92" s="4">
        <f>'4.1 Comptes 2020 natures'!AC92/'4.1 Comptes 2020 natures'!AC2</f>
        <v>0</v>
      </c>
      <c r="AD92" s="4">
        <f>'4.1 Comptes 2020 natures'!AD92/'4.1 Comptes 2020 natures'!AD2</f>
        <v>0</v>
      </c>
      <c r="AE92" s="4">
        <f>'4.1 Comptes 2020 natures'!AE92/'4.1 Comptes 2020 natures'!AE2</f>
        <v>0</v>
      </c>
      <c r="AF92" s="4">
        <f>'4.1 Comptes 2020 natures'!AF92/'4.1 Comptes 2020 natures'!AF2</f>
        <v>0</v>
      </c>
      <c r="AG92" s="4">
        <f>'4.1 Comptes 2020 natures'!AG92/'4.1 Comptes 2020 natures'!AG2</f>
        <v>0</v>
      </c>
      <c r="AH92" s="4">
        <f>'4.1 Comptes 2020 natures'!AH92/'4.1 Comptes 2020 natures'!AH2</f>
        <v>26.034894837476099</v>
      </c>
      <c r="AI92" s="4">
        <f>'4.1 Comptes 2020 natures'!AI92/'4.1 Comptes 2020 natures'!AI2</f>
        <v>0</v>
      </c>
      <c r="AJ92" s="4">
        <f>'4.1 Comptes 2020 natures'!AJ92/'4.1 Comptes 2020 natures'!AJ2</f>
        <v>0</v>
      </c>
      <c r="AK92" s="4">
        <f>'4.1 Comptes 2020 natures'!AK92/'4.1 Comptes 2020 natures'!AK2</f>
        <v>0</v>
      </c>
      <c r="AL92" s="4">
        <f>'4.1 Comptes 2020 natures'!AL92/'4.1 Comptes 2020 natures'!AL2</f>
        <v>0</v>
      </c>
      <c r="AM92" s="4">
        <f>'4.1 Comptes 2020 natures'!AM92/'4.1 Comptes 2020 natures'!AM2</f>
        <v>4.3034246575342463</v>
      </c>
      <c r="AN92" s="4">
        <f>'4.1 Comptes 2020 natures'!AN92/'4.1 Comptes 2020 natures'!AN2</f>
        <v>0</v>
      </c>
      <c r="AO92" s="4">
        <f>'4.1 Comptes 2020 natures'!AO92/'4.1 Comptes 2020 natures'!AO2</f>
        <v>0</v>
      </c>
      <c r="AP92" s="4">
        <f>'4.1 Comptes 2020 natures'!AP92/'4.1 Comptes 2020 natures'!AP2</f>
        <v>0</v>
      </c>
      <c r="AQ92" s="4">
        <f>'4.1 Comptes 2020 natures'!AQ92/'4.1 Comptes 2020 natures'!AQ2</f>
        <v>0</v>
      </c>
      <c r="AR92" s="4">
        <f>'4.1 Comptes 2020 natures'!AR92/'4.1 Comptes 2020 natures'!AR2</f>
        <v>2.8487727632620743</v>
      </c>
      <c r="AS92" s="4">
        <f>'4.1 Comptes 2020 natures'!AS92/'4.1 Comptes 2020 natures'!AS2</f>
        <v>79.714324324324323</v>
      </c>
      <c r="AT92" s="4">
        <f>'4.1 Comptes 2020 natures'!AT92/'4.1 Comptes 2020 natures'!AT2</f>
        <v>0</v>
      </c>
      <c r="AU92" s="4">
        <f>'4.1 Comptes 2020 natures'!AU92/'4.1 Comptes 2020 natures'!AU2</f>
        <v>0</v>
      </c>
      <c r="AV92" s="4">
        <f>'4.1 Comptes 2020 natures'!AV92/'4.1 Comptes 2020 natures'!AV2</f>
        <v>0</v>
      </c>
      <c r="AW92" s="4">
        <f>'4.1 Comptes 2020 natures'!AW92/'4.1 Comptes 2020 natures'!AW2</f>
        <v>0</v>
      </c>
      <c r="AX92" s="4">
        <f>'4.1 Comptes 2020 natures'!AX92/'4.1 Comptes 2020 natures'!AX2</f>
        <v>0</v>
      </c>
      <c r="AY92" s="4">
        <f>'4.1 Comptes 2020 natures'!AY92/'4.1 Comptes 2020 natures'!AY2</f>
        <v>0</v>
      </c>
      <c r="AZ92" s="4">
        <f>'4.1 Comptes 2020 natures'!AZ92/'4.1 Comptes 2020 natures'!AZ2</f>
        <v>0</v>
      </c>
      <c r="BA92" s="4">
        <f>'4.1 Comptes 2020 natures'!BA92/'4.1 Comptes 2020 natures'!BA2</f>
        <v>18.250904392764859</v>
      </c>
      <c r="BB92" s="4">
        <f>'4.1 Comptes 2020 natures'!BB92/'4.1 Comptes 2020 natures'!BB2</f>
        <v>10.890465328467155</v>
      </c>
      <c r="BC92" s="4">
        <f>'4.1 Comptes 2020 natures'!BC92/'4.1 Comptes 2020 natures'!BC2</f>
        <v>0</v>
      </c>
      <c r="BD92" s="4">
        <f>'4.1 Comptes 2020 natures'!BD92/'4.1 Comptes 2020 natures'!BD2</f>
        <v>12.278520360584395</v>
      </c>
      <c r="BE92" s="4">
        <f>'4.1 Comptes 2020 natures'!BE92/'4.1 Comptes 2020 natures'!BE2</f>
        <v>0</v>
      </c>
      <c r="BF92" s="4">
        <f t="shared" si="58"/>
        <v>521.98885277738964</v>
      </c>
      <c r="BG92" s="4">
        <f t="shared" si="59"/>
        <v>31.087039439199803</v>
      </c>
      <c r="BH92" s="4">
        <f t="shared" si="60"/>
        <v>362.61540151125286</v>
      </c>
      <c r="BI92" s="4">
        <f t="shared" si="61"/>
        <v>128.28641182693707</v>
      </c>
    </row>
    <row r="93" spans="2:61" x14ac:dyDescent="0.3">
      <c r="C93">
        <v>424</v>
      </c>
      <c r="D93" t="s">
        <v>152</v>
      </c>
      <c r="E93" s="4">
        <f>'4.1 Comptes 2020 natures'!E93/'4.1 Comptes 2020 natures'!E2</f>
        <v>589.57237269772486</v>
      </c>
      <c r="F93" s="4">
        <f>'4.1 Comptes 2020 natures'!F93/'4.1 Comptes 2020 natures'!F2</f>
        <v>690.1185185185185</v>
      </c>
      <c r="G93" s="4">
        <f>'4.1 Comptes 2020 natures'!G93/'4.1 Comptes 2020 natures'!G2</f>
        <v>293.81278350515464</v>
      </c>
      <c r="H93" s="4">
        <f>'4.1 Comptes 2020 natures'!H93/'4.1 Comptes 2020 natures'!H2</f>
        <v>303.5190582959641</v>
      </c>
      <c r="I93" s="4">
        <f>'4.1 Comptes 2020 natures'!I93/'4.1 Comptes 2020 natures'!I2</f>
        <v>783.4735968052878</v>
      </c>
      <c r="J93" s="4">
        <f>'4.1 Comptes 2020 natures'!J93/'4.1 Comptes 2020 natures'!J2</f>
        <v>718.34944159372174</v>
      </c>
      <c r="K93" s="4">
        <f>'4.1 Comptes 2020 natures'!K93/'4.1 Comptes 2020 natures'!K2</f>
        <v>541.44138804841145</v>
      </c>
      <c r="L93" s="4">
        <f>'4.1 Comptes 2020 natures'!L93/'4.1 Comptes 2020 natures'!L2</f>
        <v>1970.3416595339988</v>
      </c>
      <c r="M93" s="4">
        <f>'4.1 Comptes 2020 natures'!M93/'4.1 Comptes 2020 natures'!M2</f>
        <v>1419.6198395331876</v>
      </c>
      <c r="N93" s="4">
        <f>'4.1 Comptes 2020 natures'!N93/'4.1 Comptes 2020 natures'!N2</f>
        <v>347.56228813559323</v>
      </c>
      <c r="O93" s="4">
        <f>'4.1 Comptes 2020 natures'!O93/'4.1 Comptes 2020 natures'!O2</f>
        <v>468.79240267894517</v>
      </c>
      <c r="P93" s="4">
        <f>'4.1 Comptes 2020 natures'!P93/'4.1 Comptes 2020 natures'!P2</f>
        <v>246.58579545454546</v>
      </c>
      <c r="Q93" s="4">
        <f>'4.1 Comptes 2020 natures'!Q93/'4.1 Comptes 2020 natures'!Q2</f>
        <v>358.03796296296292</v>
      </c>
      <c r="R93" s="4">
        <f>'4.1 Comptes 2020 natures'!R93/'4.1 Comptes 2020 natures'!R2</f>
        <v>366.15674698795181</v>
      </c>
      <c r="S93" s="4">
        <f>'4.1 Comptes 2020 natures'!S93/'4.1 Comptes 2020 natures'!S2</f>
        <v>761.14097421203439</v>
      </c>
      <c r="T93" s="4">
        <f>'4.1 Comptes 2020 natures'!T93/'4.1 Comptes 2020 natures'!T2</f>
        <v>836.99403202328972</v>
      </c>
      <c r="U93" s="4">
        <f>'4.1 Comptes 2020 natures'!U93/'4.1 Comptes 2020 natures'!U2</f>
        <v>605.51</v>
      </c>
      <c r="V93" s="4">
        <f>'4.1 Comptes 2020 natures'!V93/'4.1 Comptes 2020 natures'!V2</f>
        <v>368.35298165137613</v>
      </c>
      <c r="W93" s="4">
        <f>'4.1 Comptes 2020 natures'!W93/'4.1 Comptes 2020 natures'!W2</f>
        <v>420.77733542319748</v>
      </c>
      <c r="X93" s="4">
        <f>'4.1 Comptes 2020 natures'!X93/'4.1 Comptes 2020 natures'!X2</f>
        <v>754.01496913580252</v>
      </c>
      <c r="Y93" s="4">
        <f>'4.1 Comptes 2020 natures'!Y93/'4.1 Comptes 2020 natures'!Y2</f>
        <v>693.13832263242375</v>
      </c>
      <c r="Z93" s="4">
        <f>'4.1 Comptes 2020 natures'!Z93/'4.1 Comptes 2020 natures'!Z2</f>
        <v>767.2534358638743</v>
      </c>
      <c r="AA93" s="4">
        <f>'4.1 Comptes 2020 natures'!AA93/'4.1 Comptes 2020 natures'!AA2</f>
        <v>680.8359375</v>
      </c>
      <c r="AB93" s="4">
        <f>'4.1 Comptes 2020 natures'!AB93/'4.1 Comptes 2020 natures'!AB2</f>
        <v>677.95637583892619</v>
      </c>
      <c r="AC93" s="4">
        <f>'4.1 Comptes 2020 natures'!AC93/'4.1 Comptes 2020 natures'!AC2</f>
        <v>776.58139534883719</v>
      </c>
      <c r="AD93" s="4">
        <f>'4.1 Comptes 2020 natures'!AD93/'4.1 Comptes 2020 natures'!AD2</f>
        <v>684.28181818181815</v>
      </c>
      <c r="AE93" s="4">
        <f>'4.1 Comptes 2020 natures'!AE93/'4.1 Comptes 2020 natures'!AE2</f>
        <v>724.27272727272725</v>
      </c>
      <c r="AF93" s="4">
        <f>'4.1 Comptes 2020 natures'!AF93/'4.1 Comptes 2020 natures'!AF2</f>
        <v>789.33306122448982</v>
      </c>
      <c r="AG93" s="4">
        <f>'4.1 Comptes 2020 natures'!AG93/'4.1 Comptes 2020 natures'!AG2</f>
        <v>615.73419540229884</v>
      </c>
      <c r="AH93" s="4">
        <f>'4.1 Comptes 2020 natures'!AH93/'4.1 Comptes 2020 natures'!AH2</f>
        <v>707.45753346080301</v>
      </c>
      <c r="AI93" s="4">
        <f>'4.1 Comptes 2020 natures'!AI93/'4.1 Comptes 2020 natures'!AI2</f>
        <v>785.4508810572687</v>
      </c>
      <c r="AJ93" s="4">
        <f>'4.1 Comptes 2020 natures'!AJ93/'4.1 Comptes 2020 natures'!AJ2</f>
        <v>800.09427480916031</v>
      </c>
      <c r="AK93" s="4">
        <f>'4.1 Comptes 2020 natures'!AK93/'4.1 Comptes 2020 natures'!AK2</f>
        <v>489.79973614775724</v>
      </c>
      <c r="AL93" s="4">
        <f>'4.1 Comptes 2020 natures'!AL93/'4.1 Comptes 2020 natures'!AL2</f>
        <v>553.56383259911888</v>
      </c>
      <c r="AM93" s="4">
        <f>'4.1 Comptes 2020 natures'!AM93/'4.1 Comptes 2020 natures'!AM2</f>
        <v>461.34141821112001</v>
      </c>
      <c r="AN93" s="4">
        <f>'4.1 Comptes 2020 natures'!AN93/'4.1 Comptes 2020 natures'!AN2</f>
        <v>595.54789915966387</v>
      </c>
      <c r="AO93" s="4">
        <f>'4.1 Comptes 2020 natures'!AO93/'4.1 Comptes 2020 natures'!AO2</f>
        <v>842.69784937238501</v>
      </c>
      <c r="AP93" s="4">
        <f>'4.1 Comptes 2020 natures'!AP93/'4.1 Comptes 2020 natures'!AP2</f>
        <v>792.41644042232269</v>
      </c>
      <c r="AQ93" s="4">
        <f>'4.1 Comptes 2020 natures'!AQ93/'4.1 Comptes 2020 natures'!AQ2</f>
        <v>481.59488372093023</v>
      </c>
      <c r="AR93" s="4">
        <f>'4.1 Comptes 2020 natures'!AR93/'4.1 Comptes 2020 natures'!AR2</f>
        <v>596.97224861441009</v>
      </c>
      <c r="AS93" s="4">
        <f>'4.1 Comptes 2020 natures'!AS93/'4.1 Comptes 2020 natures'!AS2</f>
        <v>481.13124324324326</v>
      </c>
      <c r="AT93" s="4">
        <f>'4.1 Comptes 2020 natures'!AT93/'4.1 Comptes 2020 natures'!AT2</f>
        <v>592.11395914396894</v>
      </c>
      <c r="AU93" s="4">
        <f>'4.1 Comptes 2020 natures'!AU93/'4.1 Comptes 2020 natures'!AU2</f>
        <v>679.86767515923566</v>
      </c>
      <c r="AV93" s="4">
        <f>'4.1 Comptes 2020 natures'!AV93/'4.1 Comptes 2020 natures'!AV2</f>
        <v>494.23970833333334</v>
      </c>
      <c r="AW93" s="4">
        <f>'4.1 Comptes 2020 natures'!AW93/'4.1 Comptes 2020 natures'!AW2</f>
        <v>498.67768211920531</v>
      </c>
      <c r="AX93" s="4">
        <f>'4.1 Comptes 2020 natures'!AX93/'4.1 Comptes 2020 natures'!AX2</f>
        <v>537.83563535911605</v>
      </c>
      <c r="AY93" s="4">
        <f>'4.1 Comptes 2020 natures'!AY93/'4.1 Comptes 2020 natures'!AY2</f>
        <v>639.49654178674348</v>
      </c>
      <c r="AZ93" s="4">
        <f>'4.1 Comptes 2020 natures'!AZ93/'4.1 Comptes 2020 natures'!AZ2</f>
        <v>421.04695266272188</v>
      </c>
      <c r="BA93" s="4">
        <f>'4.1 Comptes 2020 natures'!BA93/'4.1 Comptes 2020 natures'!BA2</f>
        <v>730.75103359173136</v>
      </c>
      <c r="BB93" s="4">
        <f>'4.1 Comptes 2020 natures'!BB93/'4.1 Comptes 2020 natures'!BB2</f>
        <v>756.63814781021904</v>
      </c>
      <c r="BC93" s="4">
        <f>'4.1 Comptes 2020 natures'!BC93/'4.1 Comptes 2020 natures'!BC2</f>
        <v>485.55851063829789</v>
      </c>
      <c r="BD93" s="4">
        <f>'4.1 Comptes 2020 natures'!BD93/'4.1 Comptes 2020 natures'!BD2</f>
        <v>666.25639415604599</v>
      </c>
      <c r="BE93" s="4">
        <f>'4.1 Comptes 2020 natures'!BE93/'4.1 Comptes 2020 natures'!BE2</f>
        <v>445.96241071428574</v>
      </c>
      <c r="BF93" s="4">
        <f t="shared" si="58"/>
        <v>33790.07430875615</v>
      </c>
      <c r="BG93" s="4">
        <f t="shared" si="59"/>
        <v>12090.159178061866</v>
      </c>
      <c r="BH93" s="4">
        <f t="shared" si="60"/>
        <v>9456.4049277284284</v>
      </c>
      <c r="BI93" s="4">
        <f t="shared" si="61"/>
        <v>12243.510202965857</v>
      </c>
    </row>
    <row r="94" spans="2:61" x14ac:dyDescent="0.3">
      <c r="C94">
        <v>425</v>
      </c>
      <c r="D94" t="s">
        <v>153</v>
      </c>
      <c r="E94" s="4">
        <f>'4.1 Comptes 2020 natures'!E94/'4.1 Comptes 2020 natures'!E2</f>
        <v>8.0440411700975076</v>
      </c>
      <c r="F94" s="4">
        <f>'4.1 Comptes 2020 natures'!F94/'4.1 Comptes 2020 natures'!F2</f>
        <v>7.0253703703703696</v>
      </c>
      <c r="G94" s="4">
        <f>'4.1 Comptes 2020 natures'!G94/'4.1 Comptes 2020 natures'!G2</f>
        <v>0</v>
      </c>
      <c r="H94" s="4">
        <f>'4.1 Comptes 2020 natures'!H94/'4.1 Comptes 2020 natures'!H2</f>
        <v>0</v>
      </c>
      <c r="I94" s="4">
        <f>'4.1 Comptes 2020 natures'!I94/'4.1 Comptes 2020 natures'!I2</f>
        <v>13.592095841366016</v>
      </c>
      <c r="J94" s="4">
        <f>'4.1 Comptes 2020 natures'!J94/'4.1 Comptes 2020 natures'!J2</f>
        <v>9.0719287654693623</v>
      </c>
      <c r="K94" s="4">
        <f>'4.1 Comptes 2020 natures'!K94/'4.1 Comptes 2020 natures'!K2</f>
        <v>5.0709531013615736</v>
      </c>
      <c r="L94" s="4">
        <f>'4.1 Comptes 2020 natures'!L94/'4.1 Comptes 2020 natures'!L2</f>
        <v>16.929896972578856</v>
      </c>
      <c r="M94" s="4">
        <f>'4.1 Comptes 2020 natures'!M94/'4.1 Comptes 2020 natures'!M2</f>
        <v>39.410211524434722</v>
      </c>
      <c r="N94" s="4">
        <f>'4.1 Comptes 2020 natures'!N94/'4.1 Comptes 2020 natures'!N2</f>
        <v>0</v>
      </c>
      <c r="O94" s="4">
        <f>'4.1 Comptes 2020 natures'!O94/'4.1 Comptes 2020 natures'!O2</f>
        <v>10.793824473280312</v>
      </c>
      <c r="P94" s="4">
        <f>'4.1 Comptes 2020 natures'!P94/'4.1 Comptes 2020 natures'!P2</f>
        <v>39.416704545454543</v>
      </c>
      <c r="Q94" s="4">
        <f>'4.1 Comptes 2020 natures'!Q94/'4.1 Comptes 2020 natures'!Q2</f>
        <v>4.5083333333333329</v>
      </c>
      <c r="R94" s="4">
        <f>'4.1 Comptes 2020 natures'!R94/'4.1 Comptes 2020 natures'!R2</f>
        <v>5.8976626506024097</v>
      </c>
      <c r="S94" s="4">
        <f>'4.1 Comptes 2020 natures'!S94/'4.1 Comptes 2020 natures'!S2</f>
        <v>0.49183381088825218</v>
      </c>
      <c r="T94" s="4">
        <f>'4.1 Comptes 2020 natures'!T94/'4.1 Comptes 2020 natures'!T2</f>
        <v>0.4366812227074236</v>
      </c>
      <c r="U94" s="4">
        <f>'4.1 Comptes 2020 natures'!U94/'4.1 Comptes 2020 natures'!U2</f>
        <v>7.3168627450980388</v>
      </c>
      <c r="V94" s="4">
        <f>'4.1 Comptes 2020 natures'!V94/'4.1 Comptes 2020 natures'!V2</f>
        <v>21.309380733944952</v>
      </c>
      <c r="W94" s="4">
        <f>'4.1 Comptes 2020 natures'!W94/'4.1 Comptes 2020 natures'!W2</f>
        <v>8.6208275862068966</v>
      </c>
      <c r="X94" s="4">
        <f>'4.1 Comptes 2020 natures'!X94/'4.1 Comptes 2020 natures'!X2</f>
        <v>258.26358024691353</v>
      </c>
      <c r="Y94" s="4">
        <f>'4.1 Comptes 2020 natures'!Y94/'4.1 Comptes 2020 natures'!Y2</f>
        <v>6.9244783306581059</v>
      </c>
      <c r="Z94" s="4">
        <f>'4.1 Comptes 2020 natures'!Z94/'4.1 Comptes 2020 natures'!Z2</f>
        <v>56.057428010471206</v>
      </c>
      <c r="AA94" s="4">
        <f>'4.1 Comptes 2020 natures'!AA94/'4.1 Comptes 2020 natures'!AA2</f>
        <v>0</v>
      </c>
      <c r="AB94" s="4">
        <f>'4.1 Comptes 2020 natures'!AB94/'4.1 Comptes 2020 natures'!AB2</f>
        <v>500.00033557046982</v>
      </c>
      <c r="AC94" s="4">
        <f>'4.1 Comptes 2020 natures'!AC94/'4.1 Comptes 2020 natures'!AC2</f>
        <v>184.15513565891473</v>
      </c>
      <c r="AD94" s="4">
        <f>'4.1 Comptes 2020 natures'!AD94/'4.1 Comptes 2020 natures'!AD2</f>
        <v>112.96450074515647</v>
      </c>
      <c r="AE94" s="4">
        <f>'4.1 Comptes 2020 natures'!AE94/'4.1 Comptes 2020 natures'!AE2</f>
        <v>123.42323426573427</v>
      </c>
      <c r="AF94" s="4">
        <f>'4.1 Comptes 2020 natures'!AF94/'4.1 Comptes 2020 natures'!AF2</f>
        <v>560.31630612244896</v>
      </c>
      <c r="AG94" s="4">
        <f>'4.1 Comptes 2020 natures'!AG94/'4.1 Comptes 2020 natures'!AG2</f>
        <v>77.628270637408576</v>
      </c>
      <c r="AH94" s="4">
        <f>'4.1 Comptes 2020 natures'!AH94/'4.1 Comptes 2020 natures'!AH2</f>
        <v>66.612944550669212</v>
      </c>
      <c r="AI94" s="4">
        <f>'4.1 Comptes 2020 natures'!AI94/'4.1 Comptes 2020 natures'!AI2</f>
        <v>213.38458149779737</v>
      </c>
      <c r="AJ94" s="4">
        <f>'4.1 Comptes 2020 natures'!AJ94/'4.1 Comptes 2020 natures'!AJ2</f>
        <v>12.824427480916031</v>
      </c>
      <c r="AK94" s="4">
        <f>'4.1 Comptes 2020 natures'!AK94/'4.1 Comptes 2020 natures'!AK2</f>
        <v>82.074358839050134</v>
      </c>
      <c r="AL94" s="4">
        <f>'4.1 Comptes 2020 natures'!AL94/'4.1 Comptes 2020 natures'!AL2</f>
        <v>293.27766519823791</v>
      </c>
      <c r="AM94" s="4">
        <f>'4.1 Comptes 2020 natures'!AM94/'4.1 Comptes 2020 natures'!AM2</f>
        <v>0.59222401289282844</v>
      </c>
      <c r="AN94" s="4">
        <f>'4.1 Comptes 2020 natures'!AN94/'4.1 Comptes 2020 natures'!AN2</f>
        <v>387.86705882352942</v>
      </c>
      <c r="AO94" s="4">
        <f>'4.1 Comptes 2020 natures'!AO94/'4.1 Comptes 2020 natures'!AO2</f>
        <v>1.2584100418410042</v>
      </c>
      <c r="AP94" s="4">
        <f>'4.1 Comptes 2020 natures'!AP94/'4.1 Comptes 2020 natures'!AP2</f>
        <v>271.28604826546001</v>
      </c>
      <c r="AQ94" s="4">
        <f>'4.1 Comptes 2020 natures'!AQ94/'4.1 Comptes 2020 natures'!AQ2</f>
        <v>9.949689922480621</v>
      </c>
      <c r="AR94" s="4">
        <f>'4.1 Comptes 2020 natures'!AR94/'4.1 Comptes 2020 natures'!AR2</f>
        <v>6.9301662707838476</v>
      </c>
      <c r="AS94" s="4">
        <f>'4.1 Comptes 2020 natures'!AS94/'4.1 Comptes 2020 natures'!AS2</f>
        <v>197.49581081081081</v>
      </c>
      <c r="AT94" s="4">
        <f>'4.1 Comptes 2020 natures'!AT94/'4.1 Comptes 2020 natures'!AT2</f>
        <v>8.0395428015564203</v>
      </c>
      <c r="AU94" s="4">
        <f>'4.1 Comptes 2020 natures'!AU94/'4.1 Comptes 2020 natures'!AU2</f>
        <v>155.19203821656052</v>
      </c>
      <c r="AV94" s="4">
        <f>'4.1 Comptes 2020 natures'!AV94/'4.1 Comptes 2020 natures'!AV2</f>
        <v>6.7995625000000004</v>
      </c>
      <c r="AW94" s="4">
        <f>'4.1 Comptes 2020 natures'!AW94/'4.1 Comptes 2020 natures'!AW2</f>
        <v>90.357284768211926</v>
      </c>
      <c r="AX94" s="4">
        <f>'4.1 Comptes 2020 natures'!AX94/'4.1 Comptes 2020 natures'!AX2</f>
        <v>226.81408839779004</v>
      </c>
      <c r="AY94" s="4">
        <f>'4.1 Comptes 2020 natures'!AY94/'4.1 Comptes 2020 natures'!AY2</f>
        <v>1.7982708933717579</v>
      </c>
      <c r="AZ94" s="4">
        <f>'4.1 Comptes 2020 natures'!AZ94/'4.1 Comptes 2020 natures'!AZ2</f>
        <v>6.13621301775148</v>
      </c>
      <c r="BA94" s="4">
        <f>'4.1 Comptes 2020 natures'!BA94/'4.1 Comptes 2020 natures'!BA2</f>
        <v>3.2054263565891472</v>
      </c>
      <c r="BB94" s="4">
        <f>'4.1 Comptes 2020 natures'!BB94/'4.1 Comptes 2020 natures'!BB2</f>
        <v>7.7580291970802913</v>
      </c>
      <c r="BC94" s="4">
        <f>'4.1 Comptes 2020 natures'!BC94/'4.1 Comptes 2020 natures'!BC2</f>
        <v>259.41143617021277</v>
      </c>
      <c r="BD94" s="4">
        <f>'4.1 Comptes 2020 natures'!BD94/'4.1 Comptes 2020 natures'!BD2</f>
        <v>17.210360584395399</v>
      </c>
      <c r="BE94" s="4">
        <f>'4.1 Comptes 2020 natures'!BE94/'4.1 Comptes 2020 natures'!BE2</f>
        <v>272.60098214285711</v>
      </c>
      <c r="BF94" s="4">
        <f t="shared" si="58"/>
        <v>4676.5464991962153</v>
      </c>
      <c r="BG94" s="4">
        <f t="shared" si="59"/>
        <v>197.93660884719452</v>
      </c>
      <c r="BH94" s="4">
        <f t="shared" si="60"/>
        <v>2172.5552231175589</v>
      </c>
      <c r="BI94" s="4">
        <f t="shared" si="61"/>
        <v>2306.054667231464</v>
      </c>
    </row>
    <row r="95" spans="2:61" x14ac:dyDescent="0.3">
      <c r="C95">
        <v>426</v>
      </c>
      <c r="D95" t="s">
        <v>154</v>
      </c>
      <c r="E95" s="4">
        <f>'4.1 Comptes 2020 natures'!E95/'4.1 Comptes 2020 natures'!E2</f>
        <v>43.35566630552546</v>
      </c>
      <c r="F95" s="4">
        <f>'4.1 Comptes 2020 natures'!F95/'4.1 Comptes 2020 natures'!F2</f>
        <v>33.275925925925925</v>
      </c>
      <c r="G95" s="4">
        <f>'4.1 Comptes 2020 natures'!G95/'4.1 Comptes 2020 natures'!G2</f>
        <v>26.15319587628866</v>
      </c>
      <c r="H95" s="4">
        <f>'4.1 Comptes 2020 natures'!H95/'4.1 Comptes 2020 natures'!H2</f>
        <v>82.315470852017924</v>
      </c>
      <c r="I95" s="4">
        <f>'4.1 Comptes 2020 natures'!I95/'4.1 Comptes 2020 natures'!I2</f>
        <v>19.918768934177912</v>
      </c>
      <c r="J95" s="4">
        <f>'4.1 Comptes 2020 natures'!J95/'4.1 Comptes 2020 natures'!J2</f>
        <v>9.7254391789918504</v>
      </c>
      <c r="K95" s="4">
        <f>'4.1 Comptes 2020 natures'!K95/'4.1 Comptes 2020 natures'!K2</f>
        <v>141.82928139183056</v>
      </c>
      <c r="L95" s="4">
        <f>'4.1 Comptes 2020 natures'!L95/'4.1 Comptes 2020 natures'!L2</f>
        <v>37.488877793628149</v>
      </c>
      <c r="M95" s="4">
        <f>'4.1 Comptes 2020 natures'!M95/'4.1 Comptes 2020 natures'!M2</f>
        <v>38.278103574033551</v>
      </c>
      <c r="N95" s="4">
        <f>'4.1 Comptes 2020 natures'!N95/'4.1 Comptes 2020 natures'!N2</f>
        <v>0</v>
      </c>
      <c r="O95" s="4">
        <f>'4.1 Comptes 2020 natures'!O95/'4.1 Comptes 2020 natures'!O2</f>
        <v>24.282498953537047</v>
      </c>
      <c r="P95" s="4">
        <f>'4.1 Comptes 2020 natures'!P95/'4.1 Comptes 2020 natures'!P2</f>
        <v>46.488731060606057</v>
      </c>
      <c r="Q95" s="4">
        <f>'4.1 Comptes 2020 natures'!Q95/'4.1 Comptes 2020 natures'!Q2</f>
        <v>21.037962962962961</v>
      </c>
      <c r="R95" s="4">
        <f>'4.1 Comptes 2020 natures'!R95/'4.1 Comptes 2020 natures'!R2</f>
        <v>137.12975903614458</v>
      </c>
      <c r="S95" s="4">
        <f>'4.1 Comptes 2020 natures'!S95/'4.1 Comptes 2020 natures'!S2</f>
        <v>133.70415472779371</v>
      </c>
      <c r="T95" s="4">
        <f>'4.1 Comptes 2020 natures'!T95/'4.1 Comptes 2020 natures'!T2</f>
        <v>187.41563318777293</v>
      </c>
      <c r="U95" s="4">
        <f>'4.1 Comptes 2020 natures'!U95/'4.1 Comptes 2020 natures'!U2</f>
        <v>119.29945098039217</v>
      </c>
      <c r="V95" s="4">
        <f>'4.1 Comptes 2020 natures'!V95/'4.1 Comptes 2020 natures'!V2</f>
        <v>101.16422018348624</v>
      </c>
      <c r="W95" s="4">
        <f>'4.1 Comptes 2020 natures'!W95/'4.1 Comptes 2020 natures'!W2</f>
        <v>11.152442006269593</v>
      </c>
      <c r="X95" s="4">
        <f>'4.1 Comptes 2020 natures'!X95/'4.1 Comptes 2020 natures'!X2</f>
        <v>30.874228395061728</v>
      </c>
      <c r="Y95" s="4">
        <f>'4.1 Comptes 2020 natures'!Y95/'4.1 Comptes 2020 natures'!Y2</f>
        <v>63.789727126805779</v>
      </c>
      <c r="Z95" s="4">
        <f>'4.1 Comptes 2020 natures'!Z95/'4.1 Comptes 2020 natures'!Z2</f>
        <v>12.015379581151832</v>
      </c>
      <c r="AA95" s="4">
        <f>'4.1 Comptes 2020 natures'!AA95/'4.1 Comptes 2020 natures'!AA2</f>
        <v>69.637500000000003</v>
      </c>
      <c r="AB95" s="4">
        <f>'4.1 Comptes 2020 natures'!AB95/'4.1 Comptes 2020 natures'!AB2</f>
        <v>34.763087248322144</v>
      </c>
      <c r="AC95" s="4">
        <f>'4.1 Comptes 2020 natures'!AC95/'4.1 Comptes 2020 natures'!AC2</f>
        <v>105.3390503875969</v>
      </c>
      <c r="AD95" s="4">
        <f>'4.1 Comptes 2020 natures'!AD95/'4.1 Comptes 2020 natures'!AD2</f>
        <v>55.179210134128169</v>
      </c>
      <c r="AE95" s="4">
        <f>'4.1 Comptes 2020 natures'!AE95/'4.1 Comptes 2020 natures'!AE2</f>
        <v>46.119143356643356</v>
      </c>
      <c r="AF95" s="4">
        <f>'4.1 Comptes 2020 natures'!AF95/'4.1 Comptes 2020 natures'!AF2</f>
        <v>35.083163265306119</v>
      </c>
      <c r="AG95" s="4">
        <f>'4.1 Comptes 2020 natures'!AG95/'4.1 Comptes 2020 natures'!AG2</f>
        <v>7.4491640543364683</v>
      </c>
      <c r="AH95" s="4">
        <f>'4.1 Comptes 2020 natures'!AH95/'4.1 Comptes 2020 natures'!AH2</f>
        <v>26.998933078393883</v>
      </c>
      <c r="AI95" s="4">
        <f>'4.1 Comptes 2020 natures'!AI95/'4.1 Comptes 2020 natures'!AI2</f>
        <v>161.62907488986787</v>
      </c>
      <c r="AJ95" s="4">
        <f>'4.1 Comptes 2020 natures'!AJ95/'4.1 Comptes 2020 natures'!AJ2</f>
        <v>73.899618320610685</v>
      </c>
      <c r="AK95" s="4">
        <f>'4.1 Comptes 2020 natures'!AK95/'4.1 Comptes 2020 natures'!AK2</f>
        <v>17.918205804749341</v>
      </c>
      <c r="AL95" s="4">
        <f>'4.1 Comptes 2020 natures'!AL95/'4.1 Comptes 2020 natures'!AL2</f>
        <v>41.859894273127757</v>
      </c>
      <c r="AM95" s="4">
        <f>'4.1 Comptes 2020 natures'!AM95/'4.1 Comptes 2020 natures'!AM2</f>
        <v>6.5340451248992748</v>
      </c>
      <c r="AN95" s="4">
        <f>'4.1 Comptes 2020 natures'!AN95/'4.1 Comptes 2020 natures'!AN2</f>
        <v>35.118907563025211</v>
      </c>
      <c r="AO95" s="4">
        <f>'4.1 Comptes 2020 natures'!AO95/'4.1 Comptes 2020 natures'!AO2</f>
        <v>39.467112970711291</v>
      </c>
      <c r="AP95" s="4">
        <f>'4.1 Comptes 2020 natures'!AP95/'4.1 Comptes 2020 natures'!AP2</f>
        <v>92.423378582202105</v>
      </c>
      <c r="AQ95" s="4">
        <f>'4.1 Comptes 2020 natures'!AQ95/'4.1 Comptes 2020 natures'!AQ2</f>
        <v>48.871395348837211</v>
      </c>
      <c r="AR95" s="4">
        <f>'4.1 Comptes 2020 natures'!AR95/'4.1 Comptes 2020 natures'!AR2</f>
        <v>26.821852731591449</v>
      </c>
      <c r="AS95" s="4">
        <f>'4.1 Comptes 2020 natures'!AS95/'4.1 Comptes 2020 natures'!AS2</f>
        <v>19.410810810810812</v>
      </c>
      <c r="AT95" s="4">
        <f>'4.1 Comptes 2020 natures'!AT95/'4.1 Comptes 2020 natures'!AT2</f>
        <v>3.9100680933852141</v>
      </c>
      <c r="AU95" s="4">
        <f>'4.1 Comptes 2020 natures'!AU95/'4.1 Comptes 2020 natures'!AU2</f>
        <v>75.601751592356692</v>
      </c>
      <c r="AV95" s="4">
        <f>'4.1 Comptes 2020 natures'!AV95/'4.1 Comptes 2020 natures'!AV2</f>
        <v>2.0582083333333334</v>
      </c>
      <c r="AW95" s="4">
        <f>'4.1 Comptes 2020 natures'!AW95/'4.1 Comptes 2020 natures'!AW2</f>
        <v>1.7970860927152317</v>
      </c>
      <c r="AX95" s="4">
        <f>'4.1 Comptes 2020 natures'!AX95/'4.1 Comptes 2020 natures'!AX2</f>
        <v>26.817292817679558</v>
      </c>
      <c r="AY95" s="4">
        <f>'4.1 Comptes 2020 natures'!AY95/'4.1 Comptes 2020 natures'!AY2</f>
        <v>1.723342939481268</v>
      </c>
      <c r="AZ95" s="4">
        <f>'4.1 Comptes 2020 natures'!AZ95/'4.1 Comptes 2020 natures'!AZ2</f>
        <v>34.847159763313606</v>
      </c>
      <c r="BA95" s="4">
        <f>'4.1 Comptes 2020 natures'!BA95/'4.1 Comptes 2020 natures'!BA2</f>
        <v>36.325581395348834</v>
      </c>
      <c r="BB95" s="4">
        <f>'4.1 Comptes 2020 natures'!BB95/'4.1 Comptes 2020 natures'!BB2</f>
        <v>34.495209854014597</v>
      </c>
      <c r="BC95" s="4">
        <f>'4.1 Comptes 2020 natures'!BC95/'4.1 Comptes 2020 natures'!BC2</f>
        <v>2.6242021276595744</v>
      </c>
      <c r="BD95" s="4">
        <f>'4.1 Comptes 2020 natures'!BD95/'4.1 Comptes 2020 natures'!BD2</f>
        <v>68.149521293130249</v>
      </c>
      <c r="BE95" s="4">
        <f>'4.1 Comptes 2020 natures'!BE95/'4.1 Comptes 2020 natures'!BE2</f>
        <v>66.858571428571437</v>
      </c>
      <c r="BF95" s="4">
        <f t="shared" si="58"/>
        <v>2620.426461710555</v>
      </c>
      <c r="BG95" s="4">
        <f t="shared" si="59"/>
        <v>1214.0155829313853</v>
      </c>
      <c r="BH95" s="4">
        <f t="shared" si="60"/>
        <v>722.77727983822479</v>
      </c>
      <c r="BI95" s="4">
        <f t="shared" si="61"/>
        <v>683.63359894094401</v>
      </c>
    </row>
    <row r="96" spans="2:61" x14ac:dyDescent="0.3">
      <c r="C96">
        <v>427</v>
      </c>
      <c r="D96" t="s">
        <v>155</v>
      </c>
      <c r="E96" s="4">
        <f>'4.1 Comptes 2020 natures'!E96/'4.1 Comptes 2020 natures'!E2</f>
        <v>0.23835319609967498</v>
      </c>
      <c r="F96" s="4">
        <f>'4.1 Comptes 2020 natures'!F96/'4.1 Comptes 2020 natures'!F2</f>
        <v>0</v>
      </c>
      <c r="G96" s="4">
        <f>'4.1 Comptes 2020 natures'!G96/'4.1 Comptes 2020 natures'!G2</f>
        <v>0.20618556701030927</v>
      </c>
      <c r="H96" s="4">
        <f>'4.1 Comptes 2020 natures'!H96/'4.1 Comptes 2020 natures'!H2</f>
        <v>0</v>
      </c>
      <c r="I96" s="4">
        <f>'4.1 Comptes 2020 natures'!I96/'4.1 Comptes 2020 natures'!I2</f>
        <v>0.84274304599283945</v>
      </c>
      <c r="J96" s="4">
        <f>'4.1 Comptes 2020 natures'!J96/'4.1 Comptes 2020 natures'!J2</f>
        <v>0.3622094778146695</v>
      </c>
      <c r="K96" s="4">
        <f>'4.1 Comptes 2020 natures'!K96/'4.1 Comptes 2020 natures'!K2</f>
        <v>0.15128593040847202</v>
      </c>
      <c r="L96" s="4">
        <f>'4.1 Comptes 2020 natures'!L96/'4.1 Comptes 2020 natures'!L2</f>
        <v>9.9372404501505791</v>
      </c>
      <c r="M96" s="4">
        <f>'4.1 Comptes 2020 natures'!M96/'4.1 Comptes 2020 natures'!M2</f>
        <v>0</v>
      </c>
      <c r="N96" s="4">
        <f>'4.1 Comptes 2020 natures'!N96/'4.1 Comptes 2020 natures'!N2</f>
        <v>0</v>
      </c>
      <c r="O96" s="4">
        <f>'4.1 Comptes 2020 natures'!O96/'4.1 Comptes 2020 natures'!O2</f>
        <v>1.7369750244174689</v>
      </c>
      <c r="P96" s="4">
        <f>'4.1 Comptes 2020 natures'!P96/'4.1 Comptes 2020 natures'!P2</f>
        <v>0</v>
      </c>
      <c r="Q96" s="4">
        <f>'4.1 Comptes 2020 natures'!Q96/'4.1 Comptes 2020 natures'!Q2</f>
        <v>0</v>
      </c>
      <c r="R96" s="4">
        <f>'4.1 Comptes 2020 natures'!R96/'4.1 Comptes 2020 natures'!R2</f>
        <v>0</v>
      </c>
      <c r="S96" s="4">
        <f>'4.1 Comptes 2020 natures'!S96/'4.1 Comptes 2020 natures'!S2</f>
        <v>0</v>
      </c>
      <c r="T96" s="4">
        <f>'4.1 Comptes 2020 natures'!T96/'4.1 Comptes 2020 natures'!T2</f>
        <v>0</v>
      </c>
      <c r="U96" s="4">
        <f>'4.1 Comptes 2020 natures'!U96/'4.1 Comptes 2020 natures'!U2</f>
        <v>0</v>
      </c>
      <c r="V96" s="4">
        <f>'4.1 Comptes 2020 natures'!V96/'4.1 Comptes 2020 natures'!V2</f>
        <v>1.6055045871559632</v>
      </c>
      <c r="W96" s="4">
        <f>'4.1 Comptes 2020 natures'!W96/'4.1 Comptes 2020 natures'!W2</f>
        <v>0</v>
      </c>
      <c r="X96" s="4">
        <f>'4.1 Comptes 2020 natures'!X96/'4.1 Comptes 2020 natures'!X2</f>
        <v>0</v>
      </c>
      <c r="Y96" s="4">
        <f>'4.1 Comptes 2020 natures'!Y96/'4.1 Comptes 2020 natures'!Y2</f>
        <v>0.16051364365971107</v>
      </c>
      <c r="Z96" s="4">
        <f>'4.1 Comptes 2020 natures'!Z96/'4.1 Comptes 2020 natures'!Z2</f>
        <v>0</v>
      </c>
      <c r="AA96" s="4">
        <f>'4.1 Comptes 2020 natures'!AA96/'4.1 Comptes 2020 natures'!AA2</f>
        <v>0</v>
      </c>
      <c r="AB96" s="4">
        <f>'4.1 Comptes 2020 natures'!AB96/'4.1 Comptes 2020 natures'!AB2</f>
        <v>0</v>
      </c>
      <c r="AC96" s="4">
        <f>'4.1 Comptes 2020 natures'!AC96/'4.1 Comptes 2020 natures'!AC2</f>
        <v>0</v>
      </c>
      <c r="AD96" s="4">
        <f>'4.1 Comptes 2020 natures'!AD96/'4.1 Comptes 2020 natures'!AD2</f>
        <v>0</v>
      </c>
      <c r="AE96" s="4">
        <f>'4.1 Comptes 2020 natures'!AE96/'4.1 Comptes 2020 natures'!AE2</f>
        <v>0</v>
      </c>
      <c r="AF96" s="4">
        <f>'4.1 Comptes 2020 natures'!AF96/'4.1 Comptes 2020 natures'!AF2</f>
        <v>0</v>
      </c>
      <c r="AG96" s="4">
        <f>'4.1 Comptes 2020 natures'!AG96/'4.1 Comptes 2020 natures'!AG2</f>
        <v>0.15673981191222572</v>
      </c>
      <c r="AH96" s="4">
        <f>'4.1 Comptes 2020 natures'!AH96/'4.1 Comptes 2020 natures'!AH2</f>
        <v>4.0439770554493304</v>
      </c>
      <c r="AI96" s="4">
        <f>'4.1 Comptes 2020 natures'!AI96/'4.1 Comptes 2020 natures'!AI2</f>
        <v>0</v>
      </c>
      <c r="AJ96" s="4">
        <f>'4.1 Comptes 2020 natures'!AJ96/'4.1 Comptes 2020 natures'!AJ2</f>
        <v>0</v>
      </c>
      <c r="AK96" s="4">
        <f>'4.1 Comptes 2020 natures'!AK96/'4.1 Comptes 2020 natures'!AK2</f>
        <v>0</v>
      </c>
      <c r="AL96" s="4">
        <f>'4.1 Comptes 2020 natures'!AL96/'4.1 Comptes 2020 natures'!AL2</f>
        <v>0</v>
      </c>
      <c r="AM96" s="4">
        <f>'4.1 Comptes 2020 natures'!AM96/'4.1 Comptes 2020 natures'!AM2</f>
        <v>0</v>
      </c>
      <c r="AN96" s="4">
        <f>'4.1 Comptes 2020 natures'!AN96/'4.1 Comptes 2020 natures'!AN2</f>
        <v>0</v>
      </c>
      <c r="AO96" s="4">
        <f>'4.1 Comptes 2020 natures'!AO96/'4.1 Comptes 2020 natures'!AO2</f>
        <v>0.20920502092050208</v>
      </c>
      <c r="AP96" s="4">
        <f>'4.1 Comptes 2020 natures'!AP96/'4.1 Comptes 2020 natures'!AP2</f>
        <v>0</v>
      </c>
      <c r="AQ96" s="4">
        <f>'4.1 Comptes 2020 natures'!AQ96/'4.1 Comptes 2020 natures'!AQ2</f>
        <v>0</v>
      </c>
      <c r="AR96" s="4">
        <f>'4.1 Comptes 2020 natures'!AR96/'4.1 Comptes 2020 natures'!AR2</f>
        <v>0.14410134600158353</v>
      </c>
      <c r="AS96" s="4">
        <f>'4.1 Comptes 2020 natures'!AS96/'4.1 Comptes 2020 natures'!AS2</f>
        <v>0</v>
      </c>
      <c r="AT96" s="4">
        <f>'4.1 Comptes 2020 natures'!AT96/'4.1 Comptes 2020 natures'!AT2</f>
        <v>0</v>
      </c>
      <c r="AU96" s="4">
        <f>'4.1 Comptes 2020 natures'!AU96/'4.1 Comptes 2020 natures'!AU2</f>
        <v>0</v>
      </c>
      <c r="AV96" s="4">
        <f>'4.1 Comptes 2020 natures'!AV96/'4.1 Comptes 2020 natures'!AV2</f>
        <v>0.40666666666666668</v>
      </c>
      <c r="AW96" s="4">
        <f>'4.1 Comptes 2020 natures'!AW96/'4.1 Comptes 2020 natures'!AW2</f>
        <v>2.3841059602649008</v>
      </c>
      <c r="AX96" s="4">
        <f>'4.1 Comptes 2020 natures'!AX96/'4.1 Comptes 2020 natures'!AX2</f>
        <v>0</v>
      </c>
      <c r="AY96" s="4">
        <f>'4.1 Comptes 2020 natures'!AY96/'4.1 Comptes 2020 natures'!AY2</f>
        <v>0</v>
      </c>
      <c r="AZ96" s="4">
        <f>'4.1 Comptes 2020 natures'!AZ96/'4.1 Comptes 2020 natures'!AZ2</f>
        <v>0.5268639053254438</v>
      </c>
      <c r="BA96" s="4">
        <f>'4.1 Comptes 2020 natures'!BA96/'4.1 Comptes 2020 natures'!BA2</f>
        <v>0</v>
      </c>
      <c r="BB96" s="4">
        <f>'4.1 Comptes 2020 natures'!BB96/'4.1 Comptes 2020 natures'!BB2</f>
        <v>0</v>
      </c>
      <c r="BC96" s="4">
        <f>'4.1 Comptes 2020 natures'!BC96/'4.1 Comptes 2020 natures'!BC2</f>
        <v>0</v>
      </c>
      <c r="BD96" s="4">
        <f>'4.1 Comptes 2020 natures'!BD96/'4.1 Comptes 2020 natures'!BD2</f>
        <v>16.458478396021139</v>
      </c>
      <c r="BE96" s="4">
        <f>'4.1 Comptes 2020 natures'!BE96/'4.1 Comptes 2020 natures'!BE2</f>
        <v>0</v>
      </c>
      <c r="BF96" s="4">
        <f t="shared" si="58"/>
        <v>39.571149085271479</v>
      </c>
      <c r="BG96" s="4">
        <f t="shared" si="59"/>
        <v>15.080497279049975</v>
      </c>
      <c r="BH96" s="4">
        <f t="shared" si="60"/>
        <v>4.361230511021267</v>
      </c>
      <c r="BI96" s="4">
        <f t="shared" si="61"/>
        <v>20.129421295200235</v>
      </c>
    </row>
    <row r="97" spans="2:61" x14ac:dyDescent="0.3">
      <c r="C97">
        <v>429</v>
      </c>
      <c r="D97" t="s">
        <v>156</v>
      </c>
      <c r="E97" s="4">
        <f>'4.1 Comptes 2020 natures'!E97/'4.1 Comptes 2020 natures'!E2</f>
        <v>0</v>
      </c>
      <c r="F97" s="4">
        <f>'4.1 Comptes 2020 natures'!F97/'4.1 Comptes 2020 natures'!F2</f>
        <v>0</v>
      </c>
      <c r="G97" s="4">
        <f>'4.1 Comptes 2020 natures'!G97/'4.1 Comptes 2020 natures'!G2</f>
        <v>0</v>
      </c>
      <c r="H97" s="4">
        <f>'4.1 Comptes 2020 natures'!H97/'4.1 Comptes 2020 natures'!H2</f>
        <v>0</v>
      </c>
      <c r="I97" s="4">
        <f>'4.1 Comptes 2020 natures'!I97/'4.1 Comptes 2020 natures'!I2</f>
        <v>0</v>
      </c>
      <c r="J97" s="4">
        <f>'4.1 Comptes 2020 natures'!J97/'4.1 Comptes 2020 natures'!J2</f>
        <v>0</v>
      </c>
      <c r="K97" s="4">
        <f>'4.1 Comptes 2020 natures'!K97/'4.1 Comptes 2020 natures'!K2</f>
        <v>0</v>
      </c>
      <c r="L97" s="4">
        <f>'4.1 Comptes 2020 natures'!L97/'4.1 Comptes 2020 natures'!L2</f>
        <v>0</v>
      </c>
      <c r="M97" s="4">
        <f>'4.1 Comptes 2020 natures'!M97/'4.1 Comptes 2020 natures'!M2</f>
        <v>0</v>
      </c>
      <c r="N97" s="4">
        <f>'4.1 Comptes 2020 natures'!N97/'4.1 Comptes 2020 natures'!N2</f>
        <v>0</v>
      </c>
      <c r="O97" s="4">
        <f>'4.1 Comptes 2020 natures'!O97/'4.1 Comptes 2020 natures'!O2</f>
        <v>0.20142318961908748</v>
      </c>
      <c r="P97" s="4">
        <f>'4.1 Comptes 2020 natures'!P97/'4.1 Comptes 2020 natures'!P2</f>
        <v>0</v>
      </c>
      <c r="Q97" s="4">
        <f>'4.1 Comptes 2020 natures'!Q97/'4.1 Comptes 2020 natures'!Q2</f>
        <v>0</v>
      </c>
      <c r="R97" s="4">
        <f>'4.1 Comptes 2020 natures'!R97/'4.1 Comptes 2020 natures'!R2</f>
        <v>0</v>
      </c>
      <c r="S97" s="4">
        <f>'4.1 Comptes 2020 natures'!S97/'4.1 Comptes 2020 natures'!S2</f>
        <v>0</v>
      </c>
      <c r="T97" s="4">
        <f>'4.1 Comptes 2020 natures'!T97/'4.1 Comptes 2020 natures'!T2</f>
        <v>0.20378457059679767</v>
      </c>
      <c r="U97" s="4">
        <f>'4.1 Comptes 2020 natures'!U97/'4.1 Comptes 2020 natures'!U2</f>
        <v>5.719019607843137</v>
      </c>
      <c r="V97" s="4">
        <f>'4.1 Comptes 2020 natures'!V97/'4.1 Comptes 2020 natures'!V2</f>
        <v>0</v>
      </c>
      <c r="W97" s="4">
        <f>'4.1 Comptes 2020 natures'!W97/'4.1 Comptes 2020 natures'!W2</f>
        <v>0</v>
      </c>
      <c r="X97" s="4">
        <f>'4.1 Comptes 2020 natures'!X97/'4.1 Comptes 2020 natures'!X2</f>
        <v>2.2569444444444446</v>
      </c>
      <c r="Y97" s="4">
        <f>'4.1 Comptes 2020 natures'!Y97/'4.1 Comptes 2020 natures'!Y2</f>
        <v>0</v>
      </c>
      <c r="Z97" s="4">
        <f>'4.1 Comptes 2020 natures'!Z97/'4.1 Comptes 2020 natures'!Z2</f>
        <v>52.71007853403141</v>
      </c>
      <c r="AA97" s="4">
        <f>'4.1 Comptes 2020 natures'!AA97/'4.1 Comptes 2020 natures'!AA2</f>
        <v>22.349999999999998</v>
      </c>
      <c r="AB97" s="4">
        <f>'4.1 Comptes 2020 natures'!AB97/'4.1 Comptes 2020 natures'!AB2</f>
        <v>4.907382550335571</v>
      </c>
      <c r="AC97" s="4">
        <f>'4.1 Comptes 2020 natures'!AC97/'4.1 Comptes 2020 natures'!AC2</f>
        <v>0</v>
      </c>
      <c r="AD97" s="4">
        <f>'4.1 Comptes 2020 natures'!AD97/'4.1 Comptes 2020 natures'!AD2</f>
        <v>1.57973174366617</v>
      </c>
      <c r="AE97" s="4">
        <f>'4.1 Comptes 2020 natures'!AE97/'4.1 Comptes 2020 natures'!AE2</f>
        <v>0</v>
      </c>
      <c r="AF97" s="4">
        <f>'4.1 Comptes 2020 natures'!AF97/'4.1 Comptes 2020 natures'!AF2</f>
        <v>0</v>
      </c>
      <c r="AG97" s="4">
        <f>'4.1 Comptes 2020 natures'!AG97/'4.1 Comptes 2020 natures'!AG2</f>
        <v>0</v>
      </c>
      <c r="AH97" s="4">
        <f>'4.1 Comptes 2020 natures'!AH97/'4.1 Comptes 2020 natures'!AH2</f>
        <v>0</v>
      </c>
      <c r="AI97" s="4">
        <f>'4.1 Comptes 2020 natures'!AI97/'4.1 Comptes 2020 natures'!AI2</f>
        <v>21.981277533039648</v>
      </c>
      <c r="AJ97" s="4">
        <f>'4.1 Comptes 2020 natures'!AJ97/'4.1 Comptes 2020 natures'!AJ2</f>
        <v>38.530534351145036</v>
      </c>
      <c r="AK97" s="4">
        <f>'4.1 Comptes 2020 natures'!AK97/'4.1 Comptes 2020 natures'!AK2</f>
        <v>0</v>
      </c>
      <c r="AL97" s="4">
        <f>'4.1 Comptes 2020 natures'!AL97/'4.1 Comptes 2020 natures'!AL2</f>
        <v>0</v>
      </c>
      <c r="AM97" s="4">
        <f>'4.1 Comptes 2020 natures'!AM97/'4.1 Comptes 2020 natures'!AM2</f>
        <v>0</v>
      </c>
      <c r="AN97" s="4">
        <f>'4.1 Comptes 2020 natures'!AN97/'4.1 Comptes 2020 natures'!AN2</f>
        <v>0</v>
      </c>
      <c r="AO97" s="4">
        <f>'4.1 Comptes 2020 natures'!AO97/'4.1 Comptes 2020 natures'!AO2</f>
        <v>6.8405439330543931</v>
      </c>
      <c r="AP97" s="4">
        <f>'4.1 Comptes 2020 natures'!AP97/'4.1 Comptes 2020 natures'!AP2</f>
        <v>0</v>
      </c>
      <c r="AQ97" s="4">
        <f>'4.1 Comptes 2020 natures'!AQ97/'4.1 Comptes 2020 natures'!AQ2</f>
        <v>0</v>
      </c>
      <c r="AR97" s="4">
        <f>'4.1 Comptes 2020 natures'!AR97/'4.1 Comptes 2020 natures'!AR2</f>
        <v>0</v>
      </c>
      <c r="AS97" s="4">
        <f>'4.1 Comptes 2020 natures'!AS97/'4.1 Comptes 2020 natures'!AS2</f>
        <v>0</v>
      </c>
      <c r="AT97" s="4">
        <f>'4.1 Comptes 2020 natures'!AT97/'4.1 Comptes 2020 natures'!AT2</f>
        <v>0</v>
      </c>
      <c r="AU97" s="4">
        <f>'4.1 Comptes 2020 natures'!AU97/'4.1 Comptes 2020 natures'!AU2</f>
        <v>0</v>
      </c>
      <c r="AV97" s="4">
        <f>'4.1 Comptes 2020 natures'!AV97/'4.1 Comptes 2020 natures'!AV2</f>
        <v>0</v>
      </c>
      <c r="AW97" s="4">
        <f>'4.1 Comptes 2020 natures'!AW97/'4.1 Comptes 2020 natures'!AW2</f>
        <v>0</v>
      </c>
      <c r="AX97" s="4">
        <f>'4.1 Comptes 2020 natures'!AX97/'4.1 Comptes 2020 natures'!AX2</f>
        <v>0</v>
      </c>
      <c r="AY97" s="4">
        <f>'4.1 Comptes 2020 natures'!AY97/'4.1 Comptes 2020 natures'!AY2</f>
        <v>0</v>
      </c>
      <c r="AZ97" s="4">
        <f>'4.1 Comptes 2020 natures'!AZ97/'4.1 Comptes 2020 natures'!AZ2</f>
        <v>0</v>
      </c>
      <c r="BA97" s="4">
        <f>'4.1 Comptes 2020 natures'!BA97/'4.1 Comptes 2020 natures'!BA2</f>
        <v>0</v>
      </c>
      <c r="BB97" s="4">
        <f>'4.1 Comptes 2020 natures'!BB97/'4.1 Comptes 2020 natures'!BB2</f>
        <v>0</v>
      </c>
      <c r="BC97" s="4">
        <f>'4.1 Comptes 2020 natures'!BC97/'4.1 Comptes 2020 natures'!BC2</f>
        <v>0</v>
      </c>
      <c r="BD97" s="4">
        <f>'4.1 Comptes 2020 natures'!BD97/'4.1 Comptes 2020 natures'!BD2</f>
        <v>0</v>
      </c>
      <c r="BE97" s="4">
        <f>'4.1 Comptes 2020 natures'!BE97/'4.1 Comptes 2020 natures'!BE2</f>
        <v>0</v>
      </c>
      <c r="BF97" s="4">
        <f t="shared" si="58"/>
        <v>157.28072045777569</v>
      </c>
      <c r="BG97" s="4">
        <f t="shared" si="59"/>
        <v>6.1242273680590218</v>
      </c>
      <c r="BH97" s="4">
        <f t="shared" si="60"/>
        <v>144.31594915666227</v>
      </c>
      <c r="BI97" s="4">
        <f t="shared" si="61"/>
        <v>6.8405439330543931</v>
      </c>
    </row>
    <row r="98" spans="2:61" x14ac:dyDescent="0.3">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3">
      <c r="B99" s="96">
        <v>43</v>
      </c>
      <c r="C99" s="96"/>
      <c r="D99" s="96" t="s">
        <v>157</v>
      </c>
      <c r="E99" s="91">
        <f>E100+E101+E102+E103</f>
        <v>0</v>
      </c>
      <c r="F99" s="91">
        <f t="shared" ref="F99:BI99" si="62">F100+F101+F102+F103</f>
        <v>11.771481481481482</v>
      </c>
      <c r="G99" s="91">
        <f t="shared" si="62"/>
        <v>0.63505154639175254</v>
      </c>
      <c r="H99" s="91">
        <f t="shared" si="62"/>
        <v>0</v>
      </c>
      <c r="I99" s="91">
        <f t="shared" si="62"/>
        <v>0</v>
      </c>
      <c r="J99" s="91">
        <f t="shared" si="62"/>
        <v>0</v>
      </c>
      <c r="K99" s="91">
        <f t="shared" si="62"/>
        <v>4.5385779122541603E-2</v>
      </c>
      <c r="L99" s="91">
        <f t="shared" si="62"/>
        <v>120.00290378823901</v>
      </c>
      <c r="M99" s="91">
        <f t="shared" si="62"/>
        <v>2.961269146608315</v>
      </c>
      <c r="N99" s="91">
        <f t="shared" si="62"/>
        <v>152.8156779661017</v>
      </c>
      <c r="O99" s="91">
        <f t="shared" si="62"/>
        <v>0</v>
      </c>
      <c r="P99" s="91">
        <f t="shared" si="62"/>
        <v>0</v>
      </c>
      <c r="Q99" s="91">
        <f t="shared" si="62"/>
        <v>0</v>
      </c>
      <c r="R99" s="91">
        <f t="shared" si="62"/>
        <v>0</v>
      </c>
      <c r="S99" s="91">
        <f t="shared" si="62"/>
        <v>0</v>
      </c>
      <c r="T99" s="91">
        <f t="shared" si="62"/>
        <v>2.5147016011644832</v>
      </c>
      <c r="U99" s="91">
        <f t="shared" si="62"/>
        <v>0.42352941176470588</v>
      </c>
      <c r="V99" s="91">
        <f t="shared" si="62"/>
        <v>2.3581422018348621</v>
      </c>
      <c r="W99" s="91">
        <f t="shared" si="62"/>
        <v>0.96222570532915364</v>
      </c>
      <c r="X99" s="91">
        <f t="shared" si="62"/>
        <v>0.54012345679012341</v>
      </c>
      <c r="Y99" s="91">
        <f t="shared" si="62"/>
        <v>9.6308186195826651E-2</v>
      </c>
      <c r="Z99" s="91">
        <f t="shared" si="62"/>
        <v>0</v>
      </c>
      <c r="AA99" s="91">
        <f t="shared" si="62"/>
        <v>0</v>
      </c>
      <c r="AB99" s="91">
        <f t="shared" si="62"/>
        <v>5.9728187919463087</v>
      </c>
      <c r="AC99" s="91">
        <f t="shared" si="62"/>
        <v>0</v>
      </c>
      <c r="AD99" s="91">
        <f t="shared" si="62"/>
        <v>3.8435171385991058</v>
      </c>
      <c r="AE99" s="91">
        <f t="shared" si="62"/>
        <v>14.053234265734265</v>
      </c>
      <c r="AF99" s="91">
        <f t="shared" si="62"/>
        <v>0</v>
      </c>
      <c r="AG99" s="91">
        <f t="shared" si="62"/>
        <v>6.7387147335423192</v>
      </c>
      <c r="AH99" s="91">
        <f t="shared" si="62"/>
        <v>15.748642447418737</v>
      </c>
      <c r="AI99" s="91">
        <f t="shared" si="62"/>
        <v>5.0759911894273131</v>
      </c>
      <c r="AJ99" s="91">
        <f t="shared" si="62"/>
        <v>40.297328244274809</v>
      </c>
      <c r="AK99" s="91">
        <f t="shared" si="62"/>
        <v>46.209625329815303</v>
      </c>
      <c r="AL99" s="91">
        <f t="shared" si="62"/>
        <v>27.547400881057268</v>
      </c>
      <c r="AM99" s="91">
        <f t="shared" si="62"/>
        <v>0</v>
      </c>
      <c r="AN99" s="91">
        <f t="shared" si="62"/>
        <v>0</v>
      </c>
      <c r="AO99" s="91">
        <f t="shared" si="62"/>
        <v>0</v>
      </c>
      <c r="AP99" s="91">
        <f t="shared" si="62"/>
        <v>0</v>
      </c>
      <c r="AQ99" s="91">
        <f t="shared" si="62"/>
        <v>0</v>
      </c>
      <c r="AR99" s="91">
        <f t="shared" si="62"/>
        <v>0.43467933491686461</v>
      </c>
      <c r="AS99" s="91">
        <f t="shared" si="62"/>
        <v>0.14704054054054055</v>
      </c>
      <c r="AT99" s="91">
        <f t="shared" si="62"/>
        <v>2.0573929961089492</v>
      </c>
      <c r="AU99" s="91">
        <f t="shared" si="62"/>
        <v>0</v>
      </c>
      <c r="AV99" s="91">
        <f t="shared" si="62"/>
        <v>0</v>
      </c>
      <c r="AW99" s="91">
        <f t="shared" si="62"/>
        <v>2.1192052980132452</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465.37239146241899</v>
      </c>
      <c r="BG99" s="91">
        <f t="shared" si="62"/>
        <v>294.49036862803803</v>
      </c>
      <c r="BH99" s="91">
        <f t="shared" si="62"/>
        <v>92.366678453928813</v>
      </c>
      <c r="BI99" s="91">
        <f t="shared" si="62"/>
        <v>78.515344380452163</v>
      </c>
    </row>
    <row r="100" spans="2:61" x14ac:dyDescent="0.3">
      <c r="C100">
        <v>430</v>
      </c>
      <c r="D100" t="s">
        <v>158</v>
      </c>
      <c r="E100" s="4">
        <f>'4.1 Comptes 2020 natures'!E100/'4.1 Comptes 2020 natures'!E2</f>
        <v>0</v>
      </c>
      <c r="F100" s="4">
        <f>'4.1 Comptes 2020 natures'!F100/'4.1 Comptes 2020 natures'!F2</f>
        <v>11.771481481481482</v>
      </c>
      <c r="G100" s="4">
        <f>'4.1 Comptes 2020 natures'!G100/'4.1 Comptes 2020 natures'!G2</f>
        <v>0</v>
      </c>
      <c r="H100" s="4">
        <f>'4.1 Comptes 2020 natures'!H100/'4.1 Comptes 2020 natures'!H2</f>
        <v>0</v>
      </c>
      <c r="I100" s="4">
        <f>'4.1 Comptes 2020 natures'!I100/'4.1 Comptes 2020 natures'!I2</f>
        <v>0</v>
      </c>
      <c r="J100" s="4">
        <f>'4.1 Comptes 2020 natures'!J100/'4.1 Comptes 2020 natures'!J2</f>
        <v>0</v>
      </c>
      <c r="K100" s="4">
        <f>'4.1 Comptes 2020 natures'!K100/'4.1 Comptes 2020 natures'!K2</f>
        <v>4.5385779122541603E-2</v>
      </c>
      <c r="L100" s="4">
        <f>'4.1 Comptes 2020 natures'!L100/'4.1 Comptes 2020 natures'!L2</f>
        <v>120.00290378823901</v>
      </c>
      <c r="M100" s="4">
        <f>'4.1 Comptes 2020 natures'!M100/'4.1 Comptes 2020 natures'!M2</f>
        <v>2.961269146608315</v>
      </c>
      <c r="N100" s="4">
        <f>'4.1 Comptes 2020 natures'!N100/'4.1 Comptes 2020 natures'!N2</f>
        <v>0</v>
      </c>
      <c r="O100" s="4">
        <f>'4.1 Comptes 2020 natures'!O100/'4.1 Comptes 2020 natures'!O2</f>
        <v>0</v>
      </c>
      <c r="P100" s="4">
        <f>'4.1 Comptes 2020 natures'!P100/'4.1 Comptes 2020 natures'!P2</f>
        <v>0</v>
      </c>
      <c r="Q100" s="4">
        <f>'4.1 Comptes 2020 natures'!Q100/'4.1 Comptes 2020 natures'!Q2</f>
        <v>0</v>
      </c>
      <c r="R100" s="4">
        <f>'4.1 Comptes 2020 natures'!R100/'4.1 Comptes 2020 natures'!R2</f>
        <v>0</v>
      </c>
      <c r="S100" s="4">
        <f>'4.1 Comptes 2020 natures'!S100/'4.1 Comptes 2020 natures'!S2</f>
        <v>0</v>
      </c>
      <c r="T100" s="4">
        <f>'4.1 Comptes 2020 natures'!T100/'4.1 Comptes 2020 natures'!T2</f>
        <v>0</v>
      </c>
      <c r="U100" s="4">
        <f>'4.1 Comptes 2020 natures'!U100/'4.1 Comptes 2020 natures'!U2</f>
        <v>0</v>
      </c>
      <c r="V100" s="4">
        <f>'4.1 Comptes 2020 natures'!V100/'4.1 Comptes 2020 natures'!V2</f>
        <v>0</v>
      </c>
      <c r="W100" s="4">
        <f>'4.1 Comptes 2020 natures'!W100/'4.1 Comptes 2020 natures'!W2</f>
        <v>0.96222570532915364</v>
      </c>
      <c r="X100" s="4">
        <f>'4.1 Comptes 2020 natures'!X100/'4.1 Comptes 2020 natures'!X2</f>
        <v>0</v>
      </c>
      <c r="Y100" s="4">
        <f>'4.1 Comptes 2020 natures'!Y100/'4.1 Comptes 2020 natures'!Y2</f>
        <v>9.6308186195826651E-2</v>
      </c>
      <c r="Z100" s="4">
        <f>'4.1 Comptes 2020 natures'!Z100/'4.1 Comptes 2020 natures'!Z2</f>
        <v>0</v>
      </c>
      <c r="AA100" s="4">
        <f>'4.1 Comptes 2020 natures'!AA100/'4.1 Comptes 2020 natures'!AA2</f>
        <v>0</v>
      </c>
      <c r="AB100" s="4">
        <f>'4.1 Comptes 2020 natures'!AB100/'4.1 Comptes 2020 natures'!AB2</f>
        <v>4.7597315436241612</v>
      </c>
      <c r="AC100" s="4">
        <f>'4.1 Comptes 2020 natures'!AC100/'4.1 Comptes 2020 natures'!AC2</f>
        <v>0</v>
      </c>
      <c r="AD100" s="4">
        <f>'4.1 Comptes 2020 natures'!AD100/'4.1 Comptes 2020 natures'!AD2</f>
        <v>3.8435171385991058</v>
      </c>
      <c r="AE100" s="4">
        <f>'4.1 Comptes 2020 natures'!AE100/'4.1 Comptes 2020 natures'!AE2</f>
        <v>0</v>
      </c>
      <c r="AF100" s="4">
        <f>'4.1 Comptes 2020 natures'!AF100/'4.1 Comptes 2020 natures'!AF2</f>
        <v>0</v>
      </c>
      <c r="AG100" s="4">
        <f>'4.1 Comptes 2020 natures'!AG100/'4.1 Comptes 2020 natures'!AG2</f>
        <v>0</v>
      </c>
      <c r="AH100" s="4">
        <f>'4.1 Comptes 2020 natures'!AH100/'4.1 Comptes 2020 natures'!AH2</f>
        <v>15.748642447418737</v>
      </c>
      <c r="AI100" s="4">
        <f>'4.1 Comptes 2020 natures'!AI100/'4.1 Comptes 2020 natures'!AI2</f>
        <v>0</v>
      </c>
      <c r="AJ100" s="4">
        <f>'4.1 Comptes 2020 natures'!AJ100/'4.1 Comptes 2020 natures'!AJ2</f>
        <v>0</v>
      </c>
      <c r="AK100" s="4">
        <f>'4.1 Comptes 2020 natures'!AK100/'4.1 Comptes 2020 natures'!AK2</f>
        <v>46.209625329815303</v>
      </c>
      <c r="AL100" s="4">
        <f>'4.1 Comptes 2020 natures'!AL100/'4.1 Comptes 2020 natures'!AL2</f>
        <v>27.547400881057268</v>
      </c>
      <c r="AM100" s="4">
        <f>'4.1 Comptes 2020 natures'!AM100/'4.1 Comptes 2020 natures'!AM2</f>
        <v>0</v>
      </c>
      <c r="AN100" s="4">
        <f>'4.1 Comptes 2020 natures'!AN100/'4.1 Comptes 2020 natures'!AN2</f>
        <v>0</v>
      </c>
      <c r="AO100" s="4">
        <f>'4.1 Comptes 2020 natures'!AO100/'4.1 Comptes 2020 natures'!AO2</f>
        <v>0</v>
      </c>
      <c r="AP100" s="4">
        <f>'4.1 Comptes 2020 natures'!AP100/'4.1 Comptes 2020 natures'!AP2</f>
        <v>0</v>
      </c>
      <c r="AQ100" s="4">
        <f>'4.1 Comptes 2020 natures'!AQ100/'4.1 Comptes 2020 natures'!AQ2</f>
        <v>0</v>
      </c>
      <c r="AR100" s="4">
        <f>'4.1 Comptes 2020 natures'!AR100/'4.1 Comptes 2020 natures'!AR2</f>
        <v>0.43467933491686461</v>
      </c>
      <c r="AS100" s="4">
        <f>'4.1 Comptes 2020 natures'!AS100/'4.1 Comptes 2020 natures'!AS2</f>
        <v>0.14704054054054055</v>
      </c>
      <c r="AT100" s="4">
        <f>'4.1 Comptes 2020 natures'!AT100/'4.1 Comptes 2020 natures'!AT2</f>
        <v>2.0573929961089492</v>
      </c>
      <c r="AU100" s="4">
        <f>'4.1 Comptes 2020 natures'!AU100/'4.1 Comptes 2020 natures'!AU2</f>
        <v>0</v>
      </c>
      <c r="AV100" s="4">
        <f>'4.1 Comptes 2020 natures'!AV100/'4.1 Comptes 2020 natures'!AV2</f>
        <v>0</v>
      </c>
      <c r="AW100" s="4">
        <f>'4.1 Comptes 2020 natures'!AW100/'4.1 Comptes 2020 natures'!AW2</f>
        <v>0</v>
      </c>
      <c r="AX100" s="4">
        <f>'4.1 Comptes 2020 natures'!AX100/'4.1 Comptes 2020 natures'!AX2</f>
        <v>0</v>
      </c>
      <c r="AY100" s="4">
        <f>'4.1 Comptes 2020 natures'!AY100/'4.1 Comptes 2020 natures'!AY2</f>
        <v>0</v>
      </c>
      <c r="AZ100" s="4">
        <f>'4.1 Comptes 2020 natures'!AZ100/'4.1 Comptes 2020 natures'!AZ2</f>
        <v>0</v>
      </c>
      <c r="BA100" s="4">
        <f>'4.1 Comptes 2020 natures'!BA100/'4.1 Comptes 2020 natures'!BA2</f>
        <v>0</v>
      </c>
      <c r="BB100" s="4">
        <f>'4.1 Comptes 2020 natures'!BB100/'4.1 Comptes 2020 natures'!BB2</f>
        <v>0</v>
      </c>
      <c r="BC100" s="4">
        <f>'4.1 Comptes 2020 natures'!BC100/'4.1 Comptes 2020 natures'!BC2</f>
        <v>0</v>
      </c>
      <c r="BD100" s="4">
        <f>'4.1 Comptes 2020 natures'!BD100/'4.1 Comptes 2020 natures'!BD2</f>
        <v>0</v>
      </c>
      <c r="BE100" s="4">
        <f>'4.1 Comptes 2020 natures'!BE100/'4.1 Comptes 2020 natures'!BE2</f>
        <v>0</v>
      </c>
      <c r="BF100" s="4">
        <f t="shared" ref="BF100:BF103" si="63">SUM(E100:BE100)</f>
        <v>236.58760429905723</v>
      </c>
      <c r="BG100" s="4">
        <f t="shared" ref="BG100:BG103" si="64">SUM(E100:W100)</f>
        <v>135.7432659007805</v>
      </c>
      <c r="BH100" s="4">
        <f t="shared" ref="BH100:BH103" si="65">SUM(X100:AJ100)</f>
        <v>24.448199315837833</v>
      </c>
      <c r="BI100" s="4">
        <f t="shared" ref="BI100:BI103" si="66">SUM(AK100:BE100)</f>
        <v>76.396139082438921</v>
      </c>
    </row>
    <row r="101" spans="2:61" x14ac:dyDescent="0.3">
      <c r="C101">
        <v>431</v>
      </c>
      <c r="D101" t="s">
        <v>159</v>
      </c>
      <c r="E101" s="4">
        <f>'4.1 Comptes 2020 natures'!E101/'4.1 Comptes 2020 natures'!E2</f>
        <v>0</v>
      </c>
      <c r="F101" s="4">
        <f>'4.1 Comptes 2020 natures'!F101/'4.1 Comptes 2020 natures'!F2</f>
        <v>0</v>
      </c>
      <c r="G101" s="4">
        <f>'4.1 Comptes 2020 natures'!G101/'4.1 Comptes 2020 natures'!G2</f>
        <v>0</v>
      </c>
      <c r="H101" s="4">
        <f>'4.1 Comptes 2020 natures'!H101/'4.1 Comptes 2020 natures'!H2</f>
        <v>0</v>
      </c>
      <c r="I101" s="4">
        <f>'4.1 Comptes 2020 natures'!I101/'4.1 Comptes 2020 natures'!I2</f>
        <v>0</v>
      </c>
      <c r="J101" s="4">
        <f>'4.1 Comptes 2020 natures'!J101/'4.1 Comptes 2020 natures'!J2</f>
        <v>0</v>
      </c>
      <c r="K101" s="4">
        <f>'4.1 Comptes 2020 natures'!K101/'4.1 Comptes 2020 natures'!K2</f>
        <v>0</v>
      </c>
      <c r="L101" s="4">
        <f>'4.1 Comptes 2020 natures'!L101/'4.1 Comptes 2020 natures'!L2</f>
        <v>0</v>
      </c>
      <c r="M101" s="4">
        <f>'4.1 Comptes 2020 natures'!M101/'4.1 Comptes 2020 natures'!M2</f>
        <v>0</v>
      </c>
      <c r="N101" s="4">
        <f>'4.1 Comptes 2020 natures'!N101/'4.1 Comptes 2020 natures'!N2</f>
        <v>0</v>
      </c>
      <c r="O101" s="4">
        <f>'4.1 Comptes 2020 natures'!O101/'4.1 Comptes 2020 natures'!O2</f>
        <v>0</v>
      </c>
      <c r="P101" s="4">
        <f>'4.1 Comptes 2020 natures'!P101/'4.1 Comptes 2020 natures'!P2</f>
        <v>0</v>
      </c>
      <c r="Q101" s="4">
        <f>'4.1 Comptes 2020 natures'!Q101/'4.1 Comptes 2020 natures'!Q2</f>
        <v>0</v>
      </c>
      <c r="R101" s="4">
        <f>'4.1 Comptes 2020 natures'!R101/'4.1 Comptes 2020 natures'!R2</f>
        <v>0</v>
      </c>
      <c r="S101" s="4">
        <f>'4.1 Comptes 2020 natures'!S101/'4.1 Comptes 2020 natures'!S2</f>
        <v>0</v>
      </c>
      <c r="T101" s="4">
        <f>'4.1 Comptes 2020 natures'!T101/'4.1 Comptes 2020 natures'!T2</f>
        <v>0</v>
      </c>
      <c r="U101" s="4">
        <f>'4.1 Comptes 2020 natures'!U101/'4.1 Comptes 2020 natures'!U2</f>
        <v>0</v>
      </c>
      <c r="V101" s="4">
        <f>'4.1 Comptes 2020 natures'!V101/'4.1 Comptes 2020 natures'!V2</f>
        <v>0</v>
      </c>
      <c r="W101" s="4">
        <f>'4.1 Comptes 2020 natures'!W101/'4.1 Comptes 2020 natures'!W2</f>
        <v>0</v>
      </c>
      <c r="X101" s="4">
        <f>'4.1 Comptes 2020 natures'!X101/'4.1 Comptes 2020 natures'!X2</f>
        <v>0</v>
      </c>
      <c r="Y101" s="4">
        <f>'4.1 Comptes 2020 natures'!Y101/'4.1 Comptes 2020 natures'!Y2</f>
        <v>0</v>
      </c>
      <c r="Z101" s="4">
        <f>'4.1 Comptes 2020 natures'!Z101/'4.1 Comptes 2020 natures'!Z2</f>
        <v>0</v>
      </c>
      <c r="AA101" s="4">
        <f>'4.1 Comptes 2020 natures'!AA101/'4.1 Comptes 2020 natures'!AA2</f>
        <v>0</v>
      </c>
      <c r="AB101" s="4">
        <f>'4.1 Comptes 2020 natures'!AB101/'4.1 Comptes 2020 natures'!AB2</f>
        <v>0</v>
      </c>
      <c r="AC101" s="4">
        <f>'4.1 Comptes 2020 natures'!AC101/'4.1 Comptes 2020 natures'!AC2</f>
        <v>0</v>
      </c>
      <c r="AD101" s="4">
        <f>'4.1 Comptes 2020 natures'!AD101/'4.1 Comptes 2020 natures'!AD2</f>
        <v>0</v>
      </c>
      <c r="AE101" s="4">
        <f>'4.1 Comptes 2020 natures'!AE101/'4.1 Comptes 2020 natures'!AE2</f>
        <v>0</v>
      </c>
      <c r="AF101" s="4">
        <f>'4.1 Comptes 2020 natures'!AF101/'4.1 Comptes 2020 natures'!AF2</f>
        <v>0</v>
      </c>
      <c r="AG101" s="4">
        <f>'4.1 Comptes 2020 natures'!AG101/'4.1 Comptes 2020 natures'!AG2</f>
        <v>0</v>
      </c>
      <c r="AH101" s="4">
        <f>'4.1 Comptes 2020 natures'!AH101/'4.1 Comptes 2020 natures'!AH2</f>
        <v>0</v>
      </c>
      <c r="AI101" s="4">
        <f>'4.1 Comptes 2020 natures'!AI101/'4.1 Comptes 2020 natures'!AI2</f>
        <v>0</v>
      </c>
      <c r="AJ101" s="4">
        <f>'4.1 Comptes 2020 natures'!AJ101/'4.1 Comptes 2020 natures'!AJ2</f>
        <v>0</v>
      </c>
      <c r="AK101" s="4">
        <f>'4.1 Comptes 2020 natures'!AK101/'4.1 Comptes 2020 natures'!AK2</f>
        <v>0</v>
      </c>
      <c r="AL101" s="4">
        <f>'4.1 Comptes 2020 natures'!AL101/'4.1 Comptes 2020 natures'!AL2</f>
        <v>0</v>
      </c>
      <c r="AM101" s="4">
        <f>'4.1 Comptes 2020 natures'!AM101/'4.1 Comptes 2020 natures'!AM2</f>
        <v>0</v>
      </c>
      <c r="AN101" s="4">
        <f>'4.1 Comptes 2020 natures'!AN101/'4.1 Comptes 2020 natures'!AN2</f>
        <v>0</v>
      </c>
      <c r="AO101" s="4">
        <f>'4.1 Comptes 2020 natures'!AO101/'4.1 Comptes 2020 natures'!AO2</f>
        <v>0</v>
      </c>
      <c r="AP101" s="4">
        <f>'4.1 Comptes 2020 natures'!AP101/'4.1 Comptes 2020 natures'!AP2</f>
        <v>0</v>
      </c>
      <c r="AQ101" s="4">
        <f>'4.1 Comptes 2020 natures'!AQ101/'4.1 Comptes 2020 natures'!AQ2</f>
        <v>0</v>
      </c>
      <c r="AR101" s="4">
        <f>'4.1 Comptes 2020 natures'!AR101/'4.1 Comptes 2020 natures'!AR2</f>
        <v>0</v>
      </c>
      <c r="AS101" s="4">
        <f>'4.1 Comptes 2020 natures'!AS101/'4.1 Comptes 2020 natures'!AS2</f>
        <v>0</v>
      </c>
      <c r="AT101" s="4">
        <f>'4.1 Comptes 2020 natures'!AT101/'4.1 Comptes 2020 natures'!AT2</f>
        <v>0</v>
      </c>
      <c r="AU101" s="4">
        <f>'4.1 Comptes 2020 natures'!AU101/'4.1 Comptes 2020 natures'!AU2</f>
        <v>0</v>
      </c>
      <c r="AV101" s="4">
        <f>'4.1 Comptes 2020 natures'!AV101/'4.1 Comptes 2020 natures'!AV2</f>
        <v>0</v>
      </c>
      <c r="AW101" s="4">
        <f>'4.1 Comptes 2020 natures'!AW101/'4.1 Comptes 2020 natures'!AW2</f>
        <v>0</v>
      </c>
      <c r="AX101" s="4">
        <f>'4.1 Comptes 2020 natures'!AX101/'4.1 Comptes 2020 natures'!AX2</f>
        <v>0</v>
      </c>
      <c r="AY101" s="4">
        <f>'4.1 Comptes 2020 natures'!AY101/'4.1 Comptes 2020 natures'!AY2</f>
        <v>0</v>
      </c>
      <c r="AZ101" s="4">
        <f>'4.1 Comptes 2020 natures'!AZ101/'4.1 Comptes 2020 natures'!AZ2</f>
        <v>0</v>
      </c>
      <c r="BA101" s="4">
        <f>'4.1 Comptes 2020 natures'!BA101/'4.1 Comptes 2020 natures'!BA2</f>
        <v>0</v>
      </c>
      <c r="BB101" s="4">
        <f>'4.1 Comptes 2020 natures'!BB101/'4.1 Comptes 2020 natures'!BB2</f>
        <v>0</v>
      </c>
      <c r="BC101" s="4">
        <f>'4.1 Comptes 2020 natures'!BC101/'4.1 Comptes 2020 natures'!BC2</f>
        <v>0</v>
      </c>
      <c r="BD101" s="4">
        <f>'4.1 Comptes 2020 natures'!BD101/'4.1 Comptes 2020 natures'!BD2</f>
        <v>0</v>
      </c>
      <c r="BE101" s="4">
        <f>'4.1 Comptes 2020 natures'!BE101/'4.1 Comptes 2020 natures'!BE2</f>
        <v>0</v>
      </c>
      <c r="BF101" s="4">
        <f t="shared" si="63"/>
        <v>0</v>
      </c>
      <c r="BG101" s="4">
        <f t="shared" si="64"/>
        <v>0</v>
      </c>
      <c r="BH101" s="4">
        <f t="shared" si="65"/>
        <v>0</v>
      </c>
      <c r="BI101" s="4">
        <f t="shared" si="66"/>
        <v>0</v>
      </c>
    </row>
    <row r="102" spans="2:61" x14ac:dyDescent="0.3">
      <c r="C102">
        <v>432</v>
      </c>
      <c r="D102" t="s">
        <v>160</v>
      </c>
      <c r="E102" s="4">
        <f>'4.1 Comptes 2020 natures'!E102/'4.1 Comptes 2020 natures'!E2</f>
        <v>0</v>
      </c>
      <c r="F102" s="4">
        <f>'4.1 Comptes 2020 natures'!F102/'4.1 Comptes 2020 natures'!F2</f>
        <v>0</v>
      </c>
      <c r="G102" s="4">
        <f>'4.1 Comptes 2020 natures'!G102/'4.1 Comptes 2020 natures'!G2</f>
        <v>0.63505154639175254</v>
      </c>
      <c r="H102" s="4">
        <f>'4.1 Comptes 2020 natures'!H102/'4.1 Comptes 2020 natures'!H2</f>
        <v>0</v>
      </c>
      <c r="I102" s="4">
        <f>'4.1 Comptes 2020 natures'!I102/'4.1 Comptes 2020 natures'!I2</f>
        <v>0</v>
      </c>
      <c r="J102" s="4">
        <f>'4.1 Comptes 2020 natures'!J102/'4.1 Comptes 2020 natures'!J2</f>
        <v>0</v>
      </c>
      <c r="K102" s="4">
        <f>'4.1 Comptes 2020 natures'!K102/'4.1 Comptes 2020 natures'!K2</f>
        <v>0</v>
      </c>
      <c r="L102" s="4">
        <f>'4.1 Comptes 2020 natures'!L102/'4.1 Comptes 2020 natures'!L2</f>
        <v>0</v>
      </c>
      <c r="M102" s="4">
        <f>'4.1 Comptes 2020 natures'!M102/'4.1 Comptes 2020 natures'!M2</f>
        <v>0</v>
      </c>
      <c r="N102" s="4">
        <f>'4.1 Comptes 2020 natures'!N102/'4.1 Comptes 2020 natures'!N2</f>
        <v>0</v>
      </c>
      <c r="O102" s="4">
        <f>'4.1 Comptes 2020 natures'!O102/'4.1 Comptes 2020 natures'!O2</f>
        <v>0</v>
      </c>
      <c r="P102" s="4">
        <f>'4.1 Comptes 2020 natures'!P102/'4.1 Comptes 2020 natures'!P2</f>
        <v>0</v>
      </c>
      <c r="Q102" s="4">
        <f>'4.1 Comptes 2020 natures'!Q102/'4.1 Comptes 2020 natures'!Q2</f>
        <v>0</v>
      </c>
      <c r="R102" s="4">
        <f>'4.1 Comptes 2020 natures'!R102/'4.1 Comptes 2020 natures'!R2</f>
        <v>0</v>
      </c>
      <c r="S102" s="4">
        <f>'4.1 Comptes 2020 natures'!S102/'4.1 Comptes 2020 natures'!S2</f>
        <v>0</v>
      </c>
      <c r="T102" s="4">
        <f>'4.1 Comptes 2020 natures'!T102/'4.1 Comptes 2020 natures'!T2</f>
        <v>0</v>
      </c>
      <c r="U102" s="4">
        <f>'4.1 Comptes 2020 natures'!U102/'4.1 Comptes 2020 natures'!U2</f>
        <v>0</v>
      </c>
      <c r="V102" s="4">
        <f>'4.1 Comptes 2020 natures'!V102/'4.1 Comptes 2020 natures'!V2</f>
        <v>-0.64644495412844039</v>
      </c>
      <c r="W102" s="4">
        <f>'4.1 Comptes 2020 natures'!W102/'4.1 Comptes 2020 natures'!W2</f>
        <v>0</v>
      </c>
      <c r="X102" s="4">
        <f>'4.1 Comptes 2020 natures'!X102/'4.1 Comptes 2020 natures'!X2</f>
        <v>0</v>
      </c>
      <c r="Y102" s="4">
        <f>'4.1 Comptes 2020 natures'!Y102/'4.1 Comptes 2020 natures'!Y2</f>
        <v>0</v>
      </c>
      <c r="Z102" s="4">
        <f>'4.1 Comptes 2020 natures'!Z102/'4.1 Comptes 2020 natures'!Z2</f>
        <v>0</v>
      </c>
      <c r="AA102" s="4">
        <f>'4.1 Comptes 2020 natures'!AA102/'4.1 Comptes 2020 natures'!AA2</f>
        <v>0</v>
      </c>
      <c r="AB102" s="4">
        <f>'4.1 Comptes 2020 natures'!AB102/'4.1 Comptes 2020 natures'!AB2</f>
        <v>0</v>
      </c>
      <c r="AC102" s="4">
        <f>'4.1 Comptes 2020 natures'!AC102/'4.1 Comptes 2020 natures'!AC2</f>
        <v>0</v>
      </c>
      <c r="AD102" s="4">
        <f>'4.1 Comptes 2020 natures'!AD102/'4.1 Comptes 2020 natures'!AD2</f>
        <v>0</v>
      </c>
      <c r="AE102" s="4">
        <f>'4.1 Comptes 2020 natures'!AE102/'4.1 Comptes 2020 natures'!AE2</f>
        <v>0</v>
      </c>
      <c r="AF102" s="4">
        <f>'4.1 Comptes 2020 natures'!AF102/'4.1 Comptes 2020 natures'!AF2</f>
        <v>0</v>
      </c>
      <c r="AG102" s="4">
        <f>'4.1 Comptes 2020 natures'!AG102/'4.1 Comptes 2020 natures'!AG2</f>
        <v>0</v>
      </c>
      <c r="AH102" s="4">
        <f>'4.1 Comptes 2020 natures'!AH102/'4.1 Comptes 2020 natures'!AH2</f>
        <v>0</v>
      </c>
      <c r="AI102" s="4">
        <f>'4.1 Comptes 2020 natures'!AI102/'4.1 Comptes 2020 natures'!AI2</f>
        <v>0</v>
      </c>
      <c r="AJ102" s="4">
        <f>'4.1 Comptes 2020 natures'!AJ102/'4.1 Comptes 2020 natures'!AJ2</f>
        <v>38.614503816793892</v>
      </c>
      <c r="AK102" s="4">
        <f>'4.1 Comptes 2020 natures'!AK102/'4.1 Comptes 2020 natures'!AK2</f>
        <v>0</v>
      </c>
      <c r="AL102" s="4">
        <f>'4.1 Comptes 2020 natures'!AL102/'4.1 Comptes 2020 natures'!AL2</f>
        <v>0</v>
      </c>
      <c r="AM102" s="4">
        <f>'4.1 Comptes 2020 natures'!AM102/'4.1 Comptes 2020 natures'!AM2</f>
        <v>0</v>
      </c>
      <c r="AN102" s="4">
        <f>'4.1 Comptes 2020 natures'!AN102/'4.1 Comptes 2020 natures'!AN2</f>
        <v>0</v>
      </c>
      <c r="AO102" s="4">
        <f>'4.1 Comptes 2020 natures'!AO102/'4.1 Comptes 2020 natures'!AO2</f>
        <v>0</v>
      </c>
      <c r="AP102" s="4">
        <f>'4.1 Comptes 2020 natures'!AP102/'4.1 Comptes 2020 natures'!AP2</f>
        <v>0</v>
      </c>
      <c r="AQ102" s="4">
        <f>'4.1 Comptes 2020 natures'!AQ102/'4.1 Comptes 2020 natures'!AQ2</f>
        <v>0</v>
      </c>
      <c r="AR102" s="4">
        <f>'4.1 Comptes 2020 natures'!AR102/'4.1 Comptes 2020 natures'!AR2</f>
        <v>0</v>
      </c>
      <c r="AS102" s="4">
        <f>'4.1 Comptes 2020 natures'!AS102/'4.1 Comptes 2020 natures'!AS2</f>
        <v>0</v>
      </c>
      <c r="AT102" s="4">
        <f>'4.1 Comptes 2020 natures'!AT102/'4.1 Comptes 2020 natures'!AT2</f>
        <v>0</v>
      </c>
      <c r="AU102" s="4">
        <f>'4.1 Comptes 2020 natures'!AU102/'4.1 Comptes 2020 natures'!AU2</f>
        <v>0</v>
      </c>
      <c r="AV102" s="4">
        <f>'4.1 Comptes 2020 natures'!AV102/'4.1 Comptes 2020 natures'!AV2</f>
        <v>0</v>
      </c>
      <c r="AW102" s="4">
        <f>'4.1 Comptes 2020 natures'!AW102/'4.1 Comptes 2020 natures'!AW2</f>
        <v>0</v>
      </c>
      <c r="AX102" s="4">
        <f>'4.1 Comptes 2020 natures'!AX102/'4.1 Comptes 2020 natures'!AX2</f>
        <v>0</v>
      </c>
      <c r="AY102" s="4">
        <f>'4.1 Comptes 2020 natures'!AY102/'4.1 Comptes 2020 natures'!AY2</f>
        <v>0</v>
      </c>
      <c r="AZ102" s="4">
        <f>'4.1 Comptes 2020 natures'!AZ102/'4.1 Comptes 2020 natures'!AZ2</f>
        <v>0</v>
      </c>
      <c r="BA102" s="4">
        <f>'4.1 Comptes 2020 natures'!BA102/'4.1 Comptes 2020 natures'!BA2</f>
        <v>0</v>
      </c>
      <c r="BB102" s="4">
        <f>'4.1 Comptes 2020 natures'!BB102/'4.1 Comptes 2020 natures'!BB2</f>
        <v>0</v>
      </c>
      <c r="BC102" s="4">
        <f>'4.1 Comptes 2020 natures'!BC102/'4.1 Comptes 2020 natures'!BC2</f>
        <v>0</v>
      </c>
      <c r="BD102" s="4">
        <f>'4.1 Comptes 2020 natures'!BD102/'4.1 Comptes 2020 natures'!BD2</f>
        <v>0</v>
      </c>
      <c r="BE102" s="4">
        <f>'4.1 Comptes 2020 natures'!BE102/'4.1 Comptes 2020 natures'!BE2</f>
        <v>0</v>
      </c>
      <c r="BF102" s="4">
        <f t="shared" si="63"/>
        <v>38.603110409057201</v>
      </c>
      <c r="BG102" s="4">
        <f t="shared" si="64"/>
        <v>-1.1393407736687844E-2</v>
      </c>
      <c r="BH102" s="4">
        <f t="shared" si="65"/>
        <v>38.614503816793892</v>
      </c>
      <c r="BI102" s="4">
        <f t="shared" si="66"/>
        <v>0</v>
      </c>
    </row>
    <row r="103" spans="2:61" x14ac:dyDescent="0.3">
      <c r="C103">
        <v>439</v>
      </c>
      <c r="D103" t="s">
        <v>161</v>
      </c>
      <c r="E103" s="4">
        <f>'4.1 Comptes 2020 natures'!E103/'4.1 Comptes 2020 natures'!E2</f>
        <v>0</v>
      </c>
      <c r="F103" s="4">
        <f>'4.1 Comptes 2020 natures'!F103/'4.1 Comptes 2020 natures'!F2</f>
        <v>0</v>
      </c>
      <c r="G103" s="4">
        <f>'4.1 Comptes 2020 natures'!G103/'4.1 Comptes 2020 natures'!G2</f>
        <v>0</v>
      </c>
      <c r="H103" s="4">
        <f>'4.1 Comptes 2020 natures'!H103/'4.1 Comptes 2020 natures'!H2</f>
        <v>0</v>
      </c>
      <c r="I103" s="4">
        <f>'4.1 Comptes 2020 natures'!I103/'4.1 Comptes 2020 natures'!I2</f>
        <v>0</v>
      </c>
      <c r="J103" s="4">
        <f>'4.1 Comptes 2020 natures'!J103/'4.1 Comptes 2020 natures'!J2</f>
        <v>0</v>
      </c>
      <c r="K103" s="4">
        <f>'4.1 Comptes 2020 natures'!K103/'4.1 Comptes 2020 natures'!K2</f>
        <v>0</v>
      </c>
      <c r="L103" s="4">
        <f>'4.1 Comptes 2020 natures'!L103/'4.1 Comptes 2020 natures'!L2</f>
        <v>0</v>
      </c>
      <c r="M103" s="4">
        <f>'4.1 Comptes 2020 natures'!M103/'4.1 Comptes 2020 natures'!M2</f>
        <v>0</v>
      </c>
      <c r="N103" s="4">
        <f>'4.1 Comptes 2020 natures'!N103/'4.1 Comptes 2020 natures'!N2</f>
        <v>152.8156779661017</v>
      </c>
      <c r="O103" s="4">
        <f>'4.1 Comptes 2020 natures'!O103/'4.1 Comptes 2020 natures'!O2</f>
        <v>0</v>
      </c>
      <c r="P103" s="4">
        <f>'4.1 Comptes 2020 natures'!P103/'4.1 Comptes 2020 natures'!P2</f>
        <v>0</v>
      </c>
      <c r="Q103" s="4">
        <f>'4.1 Comptes 2020 natures'!Q103/'4.1 Comptes 2020 natures'!Q2</f>
        <v>0</v>
      </c>
      <c r="R103" s="4">
        <f>'4.1 Comptes 2020 natures'!R103/'4.1 Comptes 2020 natures'!R2</f>
        <v>0</v>
      </c>
      <c r="S103" s="4">
        <f>'4.1 Comptes 2020 natures'!S103/'4.1 Comptes 2020 natures'!S2</f>
        <v>0</v>
      </c>
      <c r="T103" s="4">
        <f>'4.1 Comptes 2020 natures'!T103/'4.1 Comptes 2020 natures'!T2</f>
        <v>2.5147016011644832</v>
      </c>
      <c r="U103" s="4">
        <f>'4.1 Comptes 2020 natures'!U103/'4.1 Comptes 2020 natures'!U2</f>
        <v>0.42352941176470588</v>
      </c>
      <c r="V103" s="4">
        <f>'4.1 Comptes 2020 natures'!V103/'4.1 Comptes 2020 natures'!V2</f>
        <v>3.0045871559633026</v>
      </c>
      <c r="W103" s="4">
        <f>'4.1 Comptes 2020 natures'!W103/'4.1 Comptes 2020 natures'!W2</f>
        <v>0</v>
      </c>
      <c r="X103" s="4">
        <f>'4.1 Comptes 2020 natures'!X103/'4.1 Comptes 2020 natures'!X2</f>
        <v>0.54012345679012341</v>
      </c>
      <c r="Y103" s="4">
        <f>'4.1 Comptes 2020 natures'!Y103/'4.1 Comptes 2020 natures'!Y2</f>
        <v>0</v>
      </c>
      <c r="Z103" s="4">
        <f>'4.1 Comptes 2020 natures'!Z103/'4.1 Comptes 2020 natures'!Z2</f>
        <v>0</v>
      </c>
      <c r="AA103" s="4">
        <f>'4.1 Comptes 2020 natures'!AA103/'4.1 Comptes 2020 natures'!AA2</f>
        <v>0</v>
      </c>
      <c r="AB103" s="4">
        <f>'4.1 Comptes 2020 natures'!AB103/'4.1 Comptes 2020 natures'!AB2</f>
        <v>1.2130872483221478</v>
      </c>
      <c r="AC103" s="4">
        <f>'4.1 Comptes 2020 natures'!AC103/'4.1 Comptes 2020 natures'!AC2</f>
        <v>0</v>
      </c>
      <c r="AD103" s="4">
        <f>'4.1 Comptes 2020 natures'!AD103/'4.1 Comptes 2020 natures'!AD2</f>
        <v>0</v>
      </c>
      <c r="AE103" s="4">
        <f>'4.1 Comptes 2020 natures'!AE103/'4.1 Comptes 2020 natures'!AE2</f>
        <v>14.053234265734265</v>
      </c>
      <c r="AF103" s="4">
        <f>'4.1 Comptes 2020 natures'!AF103/'4.1 Comptes 2020 natures'!AF2</f>
        <v>0</v>
      </c>
      <c r="AG103" s="4">
        <f>'4.1 Comptes 2020 natures'!AG103/'4.1 Comptes 2020 natures'!AG2</f>
        <v>6.7387147335423192</v>
      </c>
      <c r="AH103" s="4">
        <f>'4.1 Comptes 2020 natures'!AH103/'4.1 Comptes 2020 natures'!AH2</f>
        <v>0</v>
      </c>
      <c r="AI103" s="4">
        <f>'4.1 Comptes 2020 natures'!AI103/'4.1 Comptes 2020 natures'!AI2</f>
        <v>5.0759911894273131</v>
      </c>
      <c r="AJ103" s="4">
        <f>'4.1 Comptes 2020 natures'!AJ103/'4.1 Comptes 2020 natures'!AJ2</f>
        <v>1.6828244274809159</v>
      </c>
      <c r="AK103" s="4">
        <f>'4.1 Comptes 2020 natures'!AK103/'4.1 Comptes 2020 natures'!AK2</f>
        <v>0</v>
      </c>
      <c r="AL103" s="4">
        <f>'4.1 Comptes 2020 natures'!AL103/'4.1 Comptes 2020 natures'!AL2</f>
        <v>0</v>
      </c>
      <c r="AM103" s="4">
        <f>'4.1 Comptes 2020 natures'!AM103/'4.1 Comptes 2020 natures'!AM2</f>
        <v>0</v>
      </c>
      <c r="AN103" s="4">
        <f>'4.1 Comptes 2020 natures'!AN103/'4.1 Comptes 2020 natures'!AN2</f>
        <v>0</v>
      </c>
      <c r="AO103" s="4">
        <f>'4.1 Comptes 2020 natures'!AO103/'4.1 Comptes 2020 natures'!AO2</f>
        <v>0</v>
      </c>
      <c r="AP103" s="4">
        <f>'4.1 Comptes 2020 natures'!AP103/'4.1 Comptes 2020 natures'!AP2</f>
        <v>0</v>
      </c>
      <c r="AQ103" s="4">
        <f>'4.1 Comptes 2020 natures'!AQ103/'4.1 Comptes 2020 natures'!AQ2</f>
        <v>0</v>
      </c>
      <c r="AR103" s="4">
        <f>'4.1 Comptes 2020 natures'!AR103/'4.1 Comptes 2020 natures'!AR2</f>
        <v>0</v>
      </c>
      <c r="AS103" s="4">
        <f>'4.1 Comptes 2020 natures'!AS103/'4.1 Comptes 2020 natures'!AS2</f>
        <v>0</v>
      </c>
      <c r="AT103" s="4">
        <f>'4.1 Comptes 2020 natures'!AT103/'4.1 Comptes 2020 natures'!AT2</f>
        <v>0</v>
      </c>
      <c r="AU103" s="4">
        <f>'4.1 Comptes 2020 natures'!AU103/'4.1 Comptes 2020 natures'!AU2</f>
        <v>0</v>
      </c>
      <c r="AV103" s="4">
        <f>'4.1 Comptes 2020 natures'!AV103/'4.1 Comptes 2020 natures'!AV2</f>
        <v>0</v>
      </c>
      <c r="AW103" s="4">
        <f>'4.1 Comptes 2020 natures'!AW103/'4.1 Comptes 2020 natures'!AW2</f>
        <v>2.1192052980132452</v>
      </c>
      <c r="AX103" s="4">
        <f>'4.1 Comptes 2020 natures'!AX103/'4.1 Comptes 2020 natures'!AX2</f>
        <v>0</v>
      </c>
      <c r="AY103" s="4">
        <f>'4.1 Comptes 2020 natures'!AY103/'4.1 Comptes 2020 natures'!AY2</f>
        <v>0</v>
      </c>
      <c r="AZ103" s="4">
        <f>'4.1 Comptes 2020 natures'!AZ103/'4.1 Comptes 2020 natures'!AZ2</f>
        <v>0</v>
      </c>
      <c r="BA103" s="4">
        <f>'4.1 Comptes 2020 natures'!BA103/'4.1 Comptes 2020 natures'!BA2</f>
        <v>0</v>
      </c>
      <c r="BB103" s="4">
        <f>'4.1 Comptes 2020 natures'!BB103/'4.1 Comptes 2020 natures'!BB2</f>
        <v>0</v>
      </c>
      <c r="BC103" s="4">
        <f>'4.1 Comptes 2020 natures'!BC103/'4.1 Comptes 2020 natures'!BC2</f>
        <v>0</v>
      </c>
      <c r="BD103" s="4">
        <f>'4.1 Comptes 2020 natures'!BD103/'4.1 Comptes 2020 natures'!BD2</f>
        <v>0</v>
      </c>
      <c r="BE103" s="4">
        <f>'4.1 Comptes 2020 natures'!BE103/'4.1 Comptes 2020 natures'!BE2</f>
        <v>0</v>
      </c>
      <c r="BF103" s="4">
        <f t="shared" si="63"/>
        <v>190.18167675430453</v>
      </c>
      <c r="BG103" s="4">
        <f t="shared" si="64"/>
        <v>158.7584961349942</v>
      </c>
      <c r="BH103" s="4">
        <f t="shared" si="65"/>
        <v>29.303975321297084</v>
      </c>
      <c r="BI103" s="4">
        <f t="shared" si="66"/>
        <v>2.1192052980132452</v>
      </c>
    </row>
    <row r="104" spans="2:61" x14ac:dyDescent="0.3">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3">
      <c r="B105" s="96">
        <v>44</v>
      </c>
      <c r="C105" s="96"/>
      <c r="D105" s="96" t="s">
        <v>162</v>
      </c>
      <c r="E105" s="91">
        <f>E106+E107+E108+E109+E110+E111+E112+E113+E114+E115</f>
        <v>51.741224268689059</v>
      </c>
      <c r="F105" s="91">
        <f t="shared" ref="F105:BI105" si="67">F106+F107+F108+F109+F110+F111+F112+F113+F114+F115</f>
        <v>130.54048148148149</v>
      </c>
      <c r="G105" s="91">
        <f t="shared" si="67"/>
        <v>236.48307216494845</v>
      </c>
      <c r="H105" s="91">
        <f t="shared" si="67"/>
        <v>298.77098654708522</v>
      </c>
      <c r="I105" s="91">
        <f t="shared" si="67"/>
        <v>184.4964059487744</v>
      </c>
      <c r="J105" s="91">
        <f t="shared" si="67"/>
        <v>100.46572290974947</v>
      </c>
      <c r="K105" s="91">
        <f t="shared" si="67"/>
        <v>99.403649773071109</v>
      </c>
      <c r="L105" s="91">
        <f t="shared" si="67"/>
        <v>243.26463781898875</v>
      </c>
      <c r="M105" s="91">
        <f t="shared" si="67"/>
        <v>58.069204959883294</v>
      </c>
      <c r="N105" s="91">
        <f t="shared" si="67"/>
        <v>162.89406779661016</v>
      </c>
      <c r="O105" s="91">
        <f t="shared" si="67"/>
        <v>65.129588391237618</v>
      </c>
      <c r="P105" s="91">
        <f t="shared" si="67"/>
        <v>130.87973484848487</v>
      </c>
      <c r="Q105" s="91">
        <f t="shared" si="67"/>
        <v>168.93629629629629</v>
      </c>
      <c r="R105" s="91">
        <f t="shared" si="67"/>
        <v>73.39342168674699</v>
      </c>
      <c r="S105" s="91">
        <f t="shared" si="67"/>
        <v>83.675214899713467</v>
      </c>
      <c r="T105" s="91">
        <f t="shared" si="67"/>
        <v>115.28828238719069</v>
      </c>
      <c r="U105" s="91">
        <f t="shared" si="67"/>
        <v>207.11274509803923</v>
      </c>
      <c r="V105" s="91">
        <f t="shared" si="67"/>
        <v>131.60993119266055</v>
      </c>
      <c r="W105" s="91">
        <f t="shared" si="67"/>
        <v>145.38536677115988</v>
      </c>
      <c r="X105" s="91">
        <f t="shared" si="67"/>
        <v>200.10111111111112</v>
      </c>
      <c r="Y105" s="91">
        <f t="shared" si="67"/>
        <v>82.891051364365964</v>
      </c>
      <c r="Z105" s="91">
        <f t="shared" si="67"/>
        <v>95.949980366492142</v>
      </c>
      <c r="AA105" s="91">
        <f t="shared" si="67"/>
        <v>418.03520833333334</v>
      </c>
      <c r="AB105" s="91">
        <f t="shared" si="67"/>
        <v>210.43624161073825</v>
      </c>
      <c r="AC105" s="91">
        <f t="shared" si="67"/>
        <v>143.53288759689923</v>
      </c>
      <c r="AD105" s="91">
        <f t="shared" si="67"/>
        <v>387.47921013412815</v>
      </c>
      <c r="AE105" s="91">
        <f t="shared" si="67"/>
        <v>119.08405594405595</v>
      </c>
      <c r="AF105" s="91">
        <f t="shared" si="67"/>
        <v>299.24816326530618</v>
      </c>
      <c r="AG105" s="91">
        <f t="shared" si="67"/>
        <v>111.26317136886102</v>
      </c>
      <c r="AH105" s="91">
        <f t="shared" si="67"/>
        <v>171.34717782026769</v>
      </c>
      <c r="AI105" s="91">
        <f t="shared" si="67"/>
        <v>115.97744493392071</v>
      </c>
      <c r="AJ105" s="91">
        <f t="shared" si="67"/>
        <v>354.80992366412215</v>
      </c>
      <c r="AK105" s="91">
        <f t="shared" si="67"/>
        <v>65.791350923482838</v>
      </c>
      <c r="AL105" s="91">
        <f t="shared" si="67"/>
        <v>519.6256828193832</v>
      </c>
      <c r="AM105" s="91">
        <f t="shared" si="67"/>
        <v>136.19564867042709</v>
      </c>
      <c r="AN105" s="91">
        <f t="shared" si="67"/>
        <v>221.57025210084035</v>
      </c>
      <c r="AO105" s="91">
        <f t="shared" si="67"/>
        <v>290.16905439330549</v>
      </c>
      <c r="AP105" s="91">
        <f t="shared" si="67"/>
        <v>182.19799396681751</v>
      </c>
      <c r="AQ105" s="91">
        <f t="shared" si="67"/>
        <v>60.840527131782949</v>
      </c>
      <c r="AR105" s="91">
        <f t="shared" si="67"/>
        <v>510.81373713380839</v>
      </c>
      <c r="AS105" s="91">
        <f t="shared" si="67"/>
        <v>322.3844054054054</v>
      </c>
      <c r="AT105" s="91">
        <f t="shared" si="67"/>
        <v>211.57499027237355</v>
      </c>
      <c r="AU105" s="91">
        <f t="shared" si="67"/>
        <v>139.64777070063695</v>
      </c>
      <c r="AV105" s="91">
        <f t="shared" si="67"/>
        <v>181.15376250000003</v>
      </c>
      <c r="AW105" s="91">
        <f t="shared" si="67"/>
        <v>80.814529801324511</v>
      </c>
      <c r="AX105" s="91">
        <f t="shared" si="67"/>
        <v>94.22950276243094</v>
      </c>
      <c r="AY105" s="91">
        <f t="shared" si="67"/>
        <v>171.79769452449565</v>
      </c>
      <c r="AZ105" s="91">
        <f t="shared" si="67"/>
        <v>104.88588165680471</v>
      </c>
      <c r="BA105" s="91">
        <f t="shared" si="67"/>
        <v>117.58392764857881</v>
      </c>
      <c r="BB105" s="91">
        <f t="shared" si="67"/>
        <v>264.54197080291971</v>
      </c>
      <c r="BC105" s="91">
        <f t="shared" si="67"/>
        <v>75.577127659574472</v>
      </c>
      <c r="BD105" s="91">
        <f t="shared" si="67"/>
        <v>380.18642368666463</v>
      </c>
      <c r="BE105" s="91">
        <f t="shared" si="67"/>
        <v>149.53766071428569</v>
      </c>
      <c r="BF105" s="91">
        <f t="shared" si="67"/>
        <v>9678.8155580297571</v>
      </c>
      <c r="BG105" s="91">
        <f t="shared" si="67"/>
        <v>2687.5400352408114</v>
      </c>
      <c r="BH105" s="91">
        <f t="shared" si="67"/>
        <v>2710.1556275136018</v>
      </c>
      <c r="BI105" s="91">
        <f t="shared" si="67"/>
        <v>4281.119895275343</v>
      </c>
    </row>
    <row r="106" spans="2:61" x14ac:dyDescent="0.3">
      <c r="C106">
        <v>440</v>
      </c>
      <c r="D106" t="s">
        <v>163</v>
      </c>
      <c r="E106" s="4">
        <f>'4.1 Comptes 2020 natures'!E106/'4.1 Comptes 2020 natures'!E2</f>
        <v>25.371939328277357</v>
      </c>
      <c r="F106" s="4">
        <f>'4.1 Comptes 2020 natures'!F106/'4.1 Comptes 2020 natures'!F2</f>
        <v>53.799740740740745</v>
      </c>
      <c r="G106" s="4">
        <f>'4.1 Comptes 2020 natures'!G106/'4.1 Comptes 2020 natures'!G2</f>
        <v>17.360288659793813</v>
      </c>
      <c r="H106" s="4">
        <f>'4.1 Comptes 2020 natures'!H106/'4.1 Comptes 2020 natures'!H2</f>
        <v>18.356188340807176</v>
      </c>
      <c r="I106" s="4">
        <f>'4.1 Comptes 2020 natures'!I106/'4.1 Comptes 2020 natures'!I2</f>
        <v>42.18439823740016</v>
      </c>
      <c r="J106" s="4">
        <f>'4.1 Comptes 2020 natures'!J106/'4.1 Comptes 2020 natures'!J2</f>
        <v>39.169224268035016</v>
      </c>
      <c r="K106" s="4">
        <f>'4.1 Comptes 2020 natures'!K106/'4.1 Comptes 2020 natures'!K2</f>
        <v>15.603725416036308</v>
      </c>
      <c r="L106" s="4">
        <f>'4.1 Comptes 2020 natures'!L106/'4.1 Comptes 2020 natures'!L2</f>
        <v>72.482665240133144</v>
      </c>
      <c r="M106" s="4">
        <f>'4.1 Comptes 2020 natures'!M106/'4.1 Comptes 2020 natures'!M2</f>
        <v>32.065266229029909</v>
      </c>
      <c r="N106" s="4">
        <f>'4.1 Comptes 2020 natures'!N106/'4.1 Comptes 2020 natures'!N2</f>
        <v>1.0296610169491525</v>
      </c>
      <c r="O106" s="4">
        <f>'4.1 Comptes 2020 natures'!O106/'4.1 Comptes 2020 natures'!O2</f>
        <v>18.96773266359704</v>
      </c>
      <c r="P106" s="4">
        <f>'4.1 Comptes 2020 natures'!P106/'4.1 Comptes 2020 natures'!P2</f>
        <v>17.189583333333335</v>
      </c>
      <c r="Q106" s="4">
        <f>'4.1 Comptes 2020 natures'!Q106/'4.1 Comptes 2020 natures'!Q2</f>
        <v>39.078240740740739</v>
      </c>
      <c r="R106" s="4">
        <f>'4.1 Comptes 2020 natures'!R106/'4.1 Comptes 2020 natures'!R2</f>
        <v>0.38137349397590364</v>
      </c>
      <c r="S106" s="4">
        <f>'4.1 Comptes 2020 natures'!S106/'4.1 Comptes 2020 natures'!S2</f>
        <v>17.314183381088824</v>
      </c>
      <c r="T106" s="4">
        <f>'4.1 Comptes 2020 natures'!T106/'4.1 Comptes 2020 natures'!T2</f>
        <v>27.439665211062589</v>
      </c>
      <c r="U106" s="4">
        <f>'4.1 Comptes 2020 natures'!U106/'4.1 Comptes 2020 natures'!U2</f>
        <v>24.375490196078431</v>
      </c>
      <c r="V106" s="4">
        <f>'4.1 Comptes 2020 natures'!V106/'4.1 Comptes 2020 natures'!V2</f>
        <v>23.823233944954129</v>
      </c>
      <c r="W106" s="4">
        <f>'4.1 Comptes 2020 natures'!W106/'4.1 Comptes 2020 natures'!W2</f>
        <v>25.013260188087774</v>
      </c>
      <c r="X106" s="4">
        <f>'4.1 Comptes 2020 natures'!X106/'4.1 Comptes 2020 natures'!X2</f>
        <v>10.097870370370371</v>
      </c>
      <c r="Y106" s="4">
        <f>'4.1 Comptes 2020 natures'!Y106/'4.1 Comptes 2020 natures'!Y2</f>
        <v>33.208065810593901</v>
      </c>
      <c r="Z106" s="4">
        <f>'4.1 Comptes 2020 natures'!Z106/'4.1 Comptes 2020 natures'!Z2</f>
        <v>23.799227748691099</v>
      </c>
      <c r="AA106" s="4">
        <f>'4.1 Comptes 2020 natures'!AA106/'4.1 Comptes 2020 natures'!AA2</f>
        <v>5.8560416666666661</v>
      </c>
      <c r="AB106" s="4">
        <f>'4.1 Comptes 2020 natures'!AB106/'4.1 Comptes 2020 natures'!AB2</f>
        <v>40.503355704697988</v>
      </c>
      <c r="AC106" s="4">
        <f>'4.1 Comptes 2020 natures'!AC106/'4.1 Comptes 2020 natures'!AC2</f>
        <v>16.652848837209305</v>
      </c>
      <c r="AD106" s="4">
        <f>'4.1 Comptes 2020 natures'!AD106/'4.1 Comptes 2020 natures'!AD2</f>
        <v>172.40096870342774</v>
      </c>
      <c r="AE106" s="4">
        <f>'4.1 Comptes 2020 natures'!AE106/'4.1 Comptes 2020 natures'!AE2</f>
        <v>18.113776223776224</v>
      </c>
      <c r="AF106" s="4">
        <f>'4.1 Comptes 2020 natures'!AF106/'4.1 Comptes 2020 natures'!AF2</f>
        <v>0.60551020408163259</v>
      </c>
      <c r="AG106" s="4">
        <f>'4.1 Comptes 2020 natures'!AG106/'4.1 Comptes 2020 natures'!AG2</f>
        <v>15.616327063740858</v>
      </c>
      <c r="AH106" s="4">
        <f>'4.1 Comptes 2020 natures'!AH106/'4.1 Comptes 2020 natures'!AH2</f>
        <v>15.771460803059274</v>
      </c>
      <c r="AI106" s="4">
        <f>'4.1 Comptes 2020 natures'!AI106/'4.1 Comptes 2020 natures'!AI2</f>
        <v>54.47422907488987</v>
      </c>
      <c r="AJ106" s="4">
        <f>'4.1 Comptes 2020 natures'!AJ106/'4.1 Comptes 2020 natures'!AJ2</f>
        <v>31.870992366412217</v>
      </c>
      <c r="AK106" s="4">
        <f>'4.1 Comptes 2020 natures'!AK106/'4.1 Comptes 2020 natures'!AK2</f>
        <v>55.853699208443267</v>
      </c>
      <c r="AL106" s="4">
        <f>'4.1 Comptes 2020 natures'!AL106/'4.1 Comptes 2020 natures'!AL2</f>
        <v>57.393964757709256</v>
      </c>
      <c r="AM106" s="4">
        <f>'4.1 Comptes 2020 natures'!AM106/'4.1 Comptes 2020 natures'!AM2</f>
        <v>34.450282030620471</v>
      </c>
      <c r="AN106" s="4">
        <f>'4.1 Comptes 2020 natures'!AN106/'4.1 Comptes 2020 natures'!AN2</f>
        <v>58.018151260504197</v>
      </c>
      <c r="AO106" s="4">
        <f>'4.1 Comptes 2020 natures'!AO106/'4.1 Comptes 2020 natures'!AO2</f>
        <v>23.727297071129705</v>
      </c>
      <c r="AP106" s="4">
        <f>'4.1 Comptes 2020 natures'!AP106/'4.1 Comptes 2020 natures'!AP2</f>
        <v>39.075444947209654</v>
      </c>
      <c r="AQ106" s="4">
        <f>'4.1 Comptes 2020 natures'!AQ106/'4.1 Comptes 2020 natures'!AQ2</f>
        <v>27.062232558139534</v>
      </c>
      <c r="AR106" s="4">
        <f>'4.1 Comptes 2020 natures'!AR106/'4.1 Comptes 2020 natures'!AR2</f>
        <v>24.676310372129851</v>
      </c>
      <c r="AS106" s="4">
        <f>'4.1 Comptes 2020 natures'!AS106/'4.1 Comptes 2020 natures'!AS2</f>
        <v>58.219743243243244</v>
      </c>
      <c r="AT106" s="4">
        <f>'4.1 Comptes 2020 natures'!AT106/'4.1 Comptes 2020 natures'!AT2</f>
        <v>64.203346303501945</v>
      </c>
      <c r="AU106" s="4">
        <f>'4.1 Comptes 2020 natures'!AU106/'4.1 Comptes 2020 natures'!AU2</f>
        <v>15.657165605095543</v>
      </c>
      <c r="AV106" s="4">
        <f>'4.1 Comptes 2020 natures'!AV106/'4.1 Comptes 2020 natures'!AV2</f>
        <v>21.586966666666669</v>
      </c>
      <c r="AW106" s="4">
        <f>'4.1 Comptes 2020 natures'!AW106/'4.1 Comptes 2020 natures'!AW2</f>
        <v>20.491774834437088</v>
      </c>
      <c r="AX106" s="4">
        <f>'4.1 Comptes 2020 natures'!AX106/'4.1 Comptes 2020 natures'!AX2</f>
        <v>19.611270718232042</v>
      </c>
      <c r="AY106" s="4">
        <f>'4.1 Comptes 2020 natures'!AY106/'4.1 Comptes 2020 natures'!AY2</f>
        <v>24.219308357348705</v>
      </c>
      <c r="AZ106" s="4">
        <f>'4.1 Comptes 2020 natures'!AZ106/'4.1 Comptes 2020 natures'!AZ2</f>
        <v>30.886887573964493</v>
      </c>
      <c r="BA106" s="4">
        <f>'4.1 Comptes 2020 natures'!BA106/'4.1 Comptes 2020 natures'!BA2</f>
        <v>31.508992248062015</v>
      </c>
      <c r="BB106" s="4">
        <f>'4.1 Comptes 2020 natures'!BB106/'4.1 Comptes 2020 natures'!BB2</f>
        <v>35.419708029197082</v>
      </c>
      <c r="BC106" s="4">
        <f>'4.1 Comptes 2020 natures'!BC106/'4.1 Comptes 2020 natures'!BC2</f>
        <v>19.68005319148936</v>
      </c>
      <c r="BD106" s="4">
        <f>'4.1 Comptes 2020 natures'!BD106/'4.1 Comptes 2020 natures'!BD2</f>
        <v>41.738781473422442</v>
      </c>
      <c r="BE106" s="4">
        <f>'4.1 Comptes 2020 natures'!BE106/'4.1 Comptes 2020 natures'!BE2</f>
        <v>41.480339285714287</v>
      </c>
      <c r="BF106" s="4">
        <f t="shared" ref="BF106:BF115" si="68">SUM(E106:BE106)</f>
        <v>1694.9382549439999</v>
      </c>
      <c r="BG106" s="4">
        <f t="shared" ref="BG106:BG115" si="69">SUM(E106:W106)</f>
        <v>511.00586063012156</v>
      </c>
      <c r="BH106" s="4">
        <f t="shared" ref="BH106:BH115" si="70">SUM(X106:AJ106)</f>
        <v>438.9706745776171</v>
      </c>
      <c r="BI106" s="4">
        <f t="shared" ref="BI106:BI115" si="71">SUM(AK106:BE106)</f>
        <v>744.96171973626087</v>
      </c>
    </row>
    <row r="107" spans="2:61" x14ac:dyDescent="0.3">
      <c r="C107">
        <v>441</v>
      </c>
      <c r="D107" t="s">
        <v>164</v>
      </c>
      <c r="E107" s="4">
        <f>'4.1 Comptes 2020 natures'!E107/'4.1 Comptes 2020 natures'!E2</f>
        <v>0</v>
      </c>
      <c r="F107" s="4">
        <f>'4.1 Comptes 2020 natures'!F107/'4.1 Comptes 2020 natures'!F2</f>
        <v>0</v>
      </c>
      <c r="G107" s="4">
        <f>'4.1 Comptes 2020 natures'!G107/'4.1 Comptes 2020 natures'!G2</f>
        <v>0</v>
      </c>
      <c r="H107" s="4">
        <f>'4.1 Comptes 2020 natures'!H107/'4.1 Comptes 2020 natures'!H2</f>
        <v>0</v>
      </c>
      <c r="I107" s="4">
        <f>'4.1 Comptes 2020 natures'!I107/'4.1 Comptes 2020 natures'!I2</f>
        <v>0</v>
      </c>
      <c r="J107" s="4">
        <f>'4.1 Comptes 2020 natures'!J107/'4.1 Comptes 2020 natures'!J2</f>
        <v>0</v>
      </c>
      <c r="K107" s="4">
        <f>'4.1 Comptes 2020 natures'!K107/'4.1 Comptes 2020 natures'!K2</f>
        <v>0</v>
      </c>
      <c r="L107" s="4">
        <f>'4.1 Comptes 2020 natures'!L107/'4.1 Comptes 2020 natures'!L2</f>
        <v>0</v>
      </c>
      <c r="M107" s="4">
        <f>'4.1 Comptes 2020 natures'!M107/'4.1 Comptes 2020 natures'!M2</f>
        <v>0</v>
      </c>
      <c r="N107" s="4">
        <f>'4.1 Comptes 2020 natures'!N107/'4.1 Comptes 2020 natures'!N2</f>
        <v>0</v>
      </c>
      <c r="O107" s="4">
        <f>'4.1 Comptes 2020 natures'!O107/'4.1 Comptes 2020 natures'!O2</f>
        <v>0.77856843867727088</v>
      </c>
      <c r="P107" s="4">
        <f>'4.1 Comptes 2020 natures'!P107/'4.1 Comptes 2020 natures'!P2</f>
        <v>0</v>
      </c>
      <c r="Q107" s="4">
        <f>'4.1 Comptes 2020 natures'!Q107/'4.1 Comptes 2020 natures'!Q2</f>
        <v>0</v>
      </c>
      <c r="R107" s="4">
        <f>'4.1 Comptes 2020 natures'!R107/'4.1 Comptes 2020 natures'!R2</f>
        <v>0</v>
      </c>
      <c r="S107" s="4">
        <f>'4.1 Comptes 2020 natures'!S107/'4.1 Comptes 2020 natures'!S2</f>
        <v>0</v>
      </c>
      <c r="T107" s="4">
        <f>'4.1 Comptes 2020 natures'!T107/'4.1 Comptes 2020 natures'!T2</f>
        <v>0</v>
      </c>
      <c r="U107" s="4">
        <f>'4.1 Comptes 2020 natures'!U107/'4.1 Comptes 2020 natures'!U2</f>
        <v>0</v>
      </c>
      <c r="V107" s="4">
        <f>'4.1 Comptes 2020 natures'!V107/'4.1 Comptes 2020 natures'!V2</f>
        <v>0</v>
      </c>
      <c r="W107" s="4">
        <f>'4.1 Comptes 2020 natures'!W107/'4.1 Comptes 2020 natures'!W2</f>
        <v>27.035799373040753</v>
      </c>
      <c r="X107" s="4">
        <f>'4.1 Comptes 2020 natures'!X107/'4.1 Comptes 2020 natures'!X2</f>
        <v>0</v>
      </c>
      <c r="Y107" s="4">
        <f>'4.1 Comptes 2020 natures'!Y107/'4.1 Comptes 2020 natures'!Y2</f>
        <v>0</v>
      </c>
      <c r="Z107" s="4">
        <f>'4.1 Comptes 2020 natures'!Z107/'4.1 Comptes 2020 natures'!Z2</f>
        <v>0</v>
      </c>
      <c r="AA107" s="4">
        <f>'4.1 Comptes 2020 natures'!AA107/'4.1 Comptes 2020 natures'!AA2</f>
        <v>0</v>
      </c>
      <c r="AB107" s="4">
        <f>'4.1 Comptes 2020 natures'!AB107/'4.1 Comptes 2020 natures'!AB2</f>
        <v>4.9664429530201346</v>
      </c>
      <c r="AC107" s="4">
        <f>'4.1 Comptes 2020 natures'!AC107/'4.1 Comptes 2020 natures'!AC2</f>
        <v>0</v>
      </c>
      <c r="AD107" s="4">
        <f>'4.1 Comptes 2020 natures'!AD107/'4.1 Comptes 2020 natures'!AD2</f>
        <v>0</v>
      </c>
      <c r="AE107" s="4">
        <f>'4.1 Comptes 2020 natures'!AE107/'4.1 Comptes 2020 natures'!AE2</f>
        <v>81.56468531468532</v>
      </c>
      <c r="AF107" s="4">
        <f>'4.1 Comptes 2020 natures'!AF107/'4.1 Comptes 2020 natures'!AF2</f>
        <v>0</v>
      </c>
      <c r="AG107" s="4">
        <f>'4.1 Comptes 2020 natures'!AG107/'4.1 Comptes 2020 natures'!AG2</f>
        <v>1.677115987460815</v>
      </c>
      <c r="AH107" s="4">
        <f>'4.1 Comptes 2020 natures'!AH107/'4.1 Comptes 2020 natures'!AH2</f>
        <v>58.355850860420645</v>
      </c>
      <c r="AI107" s="4">
        <f>'4.1 Comptes 2020 natures'!AI107/'4.1 Comptes 2020 natures'!AI2</f>
        <v>0</v>
      </c>
      <c r="AJ107" s="4">
        <f>'4.1 Comptes 2020 natures'!AJ107/'4.1 Comptes 2020 natures'!AJ2</f>
        <v>0</v>
      </c>
      <c r="AK107" s="4">
        <f>'4.1 Comptes 2020 natures'!AK107/'4.1 Comptes 2020 natures'!AK2</f>
        <v>0</v>
      </c>
      <c r="AL107" s="4">
        <f>'4.1 Comptes 2020 natures'!AL107/'4.1 Comptes 2020 natures'!AL2</f>
        <v>0</v>
      </c>
      <c r="AM107" s="4">
        <f>'4.1 Comptes 2020 natures'!AM107/'4.1 Comptes 2020 natures'!AM2</f>
        <v>1.1281224818694602</v>
      </c>
      <c r="AN107" s="4">
        <f>'4.1 Comptes 2020 natures'!AN107/'4.1 Comptes 2020 natures'!AN2</f>
        <v>0</v>
      </c>
      <c r="AO107" s="4">
        <f>'4.1 Comptes 2020 natures'!AO107/'4.1 Comptes 2020 natures'!AO2</f>
        <v>63.087866108786613</v>
      </c>
      <c r="AP107" s="4">
        <f>'4.1 Comptes 2020 natures'!AP107/'4.1 Comptes 2020 natures'!AP2</f>
        <v>0</v>
      </c>
      <c r="AQ107" s="4">
        <f>'4.1 Comptes 2020 natures'!AQ107/'4.1 Comptes 2020 natures'!AQ2</f>
        <v>0</v>
      </c>
      <c r="AR107" s="4">
        <f>'4.1 Comptes 2020 natures'!AR107/'4.1 Comptes 2020 natures'!AR2</f>
        <v>34.093428345209816</v>
      </c>
      <c r="AS107" s="4">
        <f>'4.1 Comptes 2020 natures'!AS107/'4.1 Comptes 2020 natures'!AS2</f>
        <v>0</v>
      </c>
      <c r="AT107" s="4">
        <f>'4.1 Comptes 2020 natures'!AT107/'4.1 Comptes 2020 natures'!AT2</f>
        <v>0</v>
      </c>
      <c r="AU107" s="4">
        <f>'4.1 Comptes 2020 natures'!AU107/'4.1 Comptes 2020 natures'!AU2</f>
        <v>0</v>
      </c>
      <c r="AV107" s="4">
        <f>'4.1 Comptes 2020 natures'!AV107/'4.1 Comptes 2020 natures'!AV2</f>
        <v>0</v>
      </c>
      <c r="AW107" s="4">
        <f>'4.1 Comptes 2020 natures'!AW107/'4.1 Comptes 2020 natures'!AW2</f>
        <v>0</v>
      </c>
      <c r="AX107" s="4">
        <f>'4.1 Comptes 2020 natures'!AX107/'4.1 Comptes 2020 natures'!AX2</f>
        <v>0</v>
      </c>
      <c r="AY107" s="4">
        <f>'4.1 Comptes 2020 natures'!AY107/'4.1 Comptes 2020 natures'!AY2</f>
        <v>11.613832853025936</v>
      </c>
      <c r="AZ107" s="4">
        <f>'4.1 Comptes 2020 natures'!AZ107/'4.1 Comptes 2020 natures'!AZ2</f>
        <v>0</v>
      </c>
      <c r="BA107" s="4">
        <f>'4.1 Comptes 2020 natures'!BA107/'4.1 Comptes 2020 natures'!BA2</f>
        <v>0</v>
      </c>
      <c r="BB107" s="4">
        <f>'4.1 Comptes 2020 natures'!BB107/'4.1 Comptes 2020 natures'!BB2</f>
        <v>22.511405109489051</v>
      </c>
      <c r="BC107" s="4">
        <f>'4.1 Comptes 2020 natures'!BC107/'4.1 Comptes 2020 natures'!BC2</f>
        <v>0</v>
      </c>
      <c r="BD107" s="4">
        <f>'4.1 Comptes 2020 natures'!BD107/'4.1 Comptes 2020 natures'!BD2</f>
        <v>0</v>
      </c>
      <c r="BE107" s="4">
        <f>'4.1 Comptes 2020 natures'!BE107/'4.1 Comptes 2020 natures'!BE2</f>
        <v>0</v>
      </c>
      <c r="BF107" s="4">
        <f t="shared" si="68"/>
        <v>306.81311782568582</v>
      </c>
      <c r="BG107" s="4">
        <f t="shared" si="69"/>
        <v>27.814367811718025</v>
      </c>
      <c r="BH107" s="4">
        <f t="shared" si="70"/>
        <v>146.56409511558689</v>
      </c>
      <c r="BI107" s="4">
        <f t="shared" si="71"/>
        <v>132.43465489838087</v>
      </c>
    </row>
    <row r="108" spans="2:61" x14ac:dyDescent="0.3">
      <c r="C108">
        <v>442</v>
      </c>
      <c r="D108" t="s">
        <v>165</v>
      </c>
      <c r="E108" s="4">
        <f>'4.1 Comptes 2020 natures'!E108/'4.1 Comptes 2020 natures'!E2</f>
        <v>6.5113759479956665E-2</v>
      </c>
      <c r="F108" s="4">
        <f>'4.1 Comptes 2020 natures'!F108/'4.1 Comptes 2020 natures'!F2</f>
        <v>0</v>
      </c>
      <c r="G108" s="4">
        <f>'4.1 Comptes 2020 natures'!G108/'4.1 Comptes 2020 natures'!G2</f>
        <v>0</v>
      </c>
      <c r="H108" s="4">
        <f>'4.1 Comptes 2020 natures'!H108/'4.1 Comptes 2020 natures'!H2</f>
        <v>0</v>
      </c>
      <c r="I108" s="4">
        <f>'4.1 Comptes 2020 natures'!I108/'4.1 Comptes 2020 natures'!I2</f>
        <v>1.6595979069126963</v>
      </c>
      <c r="J108" s="4">
        <f>'4.1 Comptes 2020 natures'!J108/'4.1 Comptes 2020 natures'!J2</f>
        <v>1.1168125565952309E-2</v>
      </c>
      <c r="K108" s="4">
        <f>'4.1 Comptes 2020 natures'!K108/'4.1 Comptes 2020 natures'!K2</f>
        <v>0</v>
      </c>
      <c r="L108" s="4">
        <f>'4.1 Comptes 2020 natures'!L108/'4.1 Comptes 2020 natures'!L2</f>
        <v>4.490212394991282</v>
      </c>
      <c r="M108" s="4">
        <f>'4.1 Comptes 2020 natures'!M108/'4.1 Comptes 2020 natures'!M2</f>
        <v>0</v>
      </c>
      <c r="N108" s="4">
        <f>'4.1 Comptes 2020 natures'!N108/'4.1 Comptes 2020 natures'!N2</f>
        <v>0</v>
      </c>
      <c r="O108" s="4">
        <f>'4.1 Comptes 2020 natures'!O108/'4.1 Comptes 2020 natures'!O2</f>
        <v>0.51311566903864936</v>
      </c>
      <c r="P108" s="4">
        <f>'4.1 Comptes 2020 natures'!P108/'4.1 Comptes 2020 natures'!P2</f>
        <v>0</v>
      </c>
      <c r="Q108" s="4">
        <f>'4.1 Comptes 2020 natures'!Q108/'4.1 Comptes 2020 natures'!Q2</f>
        <v>0.32101851851851854</v>
      </c>
      <c r="R108" s="4">
        <f>'4.1 Comptes 2020 natures'!R108/'4.1 Comptes 2020 natures'!R2</f>
        <v>0</v>
      </c>
      <c r="S108" s="4">
        <f>'4.1 Comptes 2020 natures'!S108/'4.1 Comptes 2020 natures'!S2</f>
        <v>0</v>
      </c>
      <c r="T108" s="4">
        <f>'4.1 Comptes 2020 natures'!T108/'4.1 Comptes 2020 natures'!T2</f>
        <v>0.47307132459970885</v>
      </c>
      <c r="U108" s="4">
        <f>'4.1 Comptes 2020 natures'!U108/'4.1 Comptes 2020 natures'!U2</f>
        <v>0</v>
      </c>
      <c r="V108" s="4">
        <f>'4.1 Comptes 2020 natures'!V108/'4.1 Comptes 2020 natures'!V2</f>
        <v>0</v>
      </c>
      <c r="W108" s="4">
        <f>'4.1 Comptes 2020 natures'!W108/'4.1 Comptes 2020 natures'!W2</f>
        <v>6.8783699059561124E-2</v>
      </c>
      <c r="X108" s="4">
        <f>'4.1 Comptes 2020 natures'!X108/'4.1 Comptes 2020 natures'!X2</f>
        <v>1.5432098765432098E-2</v>
      </c>
      <c r="Y108" s="4">
        <f>'4.1 Comptes 2020 natures'!Y108/'4.1 Comptes 2020 natures'!Y2</f>
        <v>0</v>
      </c>
      <c r="Z108" s="4">
        <f>'4.1 Comptes 2020 natures'!Z108/'4.1 Comptes 2020 natures'!Z2</f>
        <v>0</v>
      </c>
      <c r="AA108" s="4">
        <f>'4.1 Comptes 2020 natures'!AA108/'4.1 Comptes 2020 natures'!AA2</f>
        <v>0</v>
      </c>
      <c r="AB108" s="4">
        <f>'4.1 Comptes 2020 natures'!AB108/'4.1 Comptes 2020 natures'!AB2</f>
        <v>0</v>
      </c>
      <c r="AC108" s="4">
        <f>'4.1 Comptes 2020 natures'!AC108/'4.1 Comptes 2020 natures'!AC2</f>
        <v>1.7054263565891472</v>
      </c>
      <c r="AD108" s="4">
        <f>'4.1 Comptes 2020 natures'!AD108/'4.1 Comptes 2020 natures'!AD2</f>
        <v>0</v>
      </c>
      <c r="AE108" s="4">
        <f>'4.1 Comptes 2020 natures'!AE108/'4.1 Comptes 2020 natures'!AE2</f>
        <v>0</v>
      </c>
      <c r="AF108" s="4">
        <f>'4.1 Comptes 2020 natures'!AF108/'4.1 Comptes 2020 natures'!AF2</f>
        <v>22.458979591836734</v>
      </c>
      <c r="AG108" s="4">
        <f>'4.1 Comptes 2020 natures'!AG108/'4.1 Comptes 2020 natures'!AG2</f>
        <v>3.8740856844305118</v>
      </c>
      <c r="AH108" s="4">
        <f>'4.1 Comptes 2020 natures'!AH108/'4.1 Comptes 2020 natures'!AH2</f>
        <v>0</v>
      </c>
      <c r="AI108" s="4">
        <f>'4.1 Comptes 2020 natures'!AI108/'4.1 Comptes 2020 natures'!AI2</f>
        <v>0</v>
      </c>
      <c r="AJ108" s="4">
        <f>'4.1 Comptes 2020 natures'!AJ108/'4.1 Comptes 2020 natures'!AJ2</f>
        <v>0</v>
      </c>
      <c r="AK108" s="4">
        <f>'4.1 Comptes 2020 natures'!AK108/'4.1 Comptes 2020 natures'!AK2</f>
        <v>0</v>
      </c>
      <c r="AL108" s="4">
        <f>'4.1 Comptes 2020 natures'!AL108/'4.1 Comptes 2020 natures'!AL2</f>
        <v>14.288986784140969</v>
      </c>
      <c r="AM108" s="4">
        <f>'4.1 Comptes 2020 natures'!AM108/'4.1 Comptes 2020 natures'!AM2</f>
        <v>0</v>
      </c>
      <c r="AN108" s="4">
        <f>'4.1 Comptes 2020 natures'!AN108/'4.1 Comptes 2020 natures'!AN2</f>
        <v>0</v>
      </c>
      <c r="AO108" s="4">
        <f>'4.1 Comptes 2020 natures'!AO108/'4.1 Comptes 2020 natures'!AO2</f>
        <v>0</v>
      </c>
      <c r="AP108" s="4">
        <f>'4.1 Comptes 2020 natures'!AP108/'4.1 Comptes 2020 natures'!AP2</f>
        <v>3.0165912518853696E-2</v>
      </c>
      <c r="AQ108" s="4">
        <f>'4.1 Comptes 2020 natures'!AQ108/'4.1 Comptes 2020 natures'!AQ2</f>
        <v>0</v>
      </c>
      <c r="AR108" s="4">
        <f>'4.1 Comptes 2020 natures'!AR108/'4.1 Comptes 2020 natures'!AR2</f>
        <v>5.5083135391923994</v>
      </c>
      <c r="AS108" s="4">
        <f>'4.1 Comptes 2020 natures'!AS108/'4.1 Comptes 2020 natures'!AS2</f>
        <v>0</v>
      </c>
      <c r="AT108" s="4">
        <f>'4.1 Comptes 2020 natures'!AT108/'4.1 Comptes 2020 natures'!AT2</f>
        <v>0.36964980544747084</v>
      </c>
      <c r="AU108" s="4">
        <f>'4.1 Comptes 2020 natures'!AU108/'4.1 Comptes 2020 natures'!AU2</f>
        <v>0</v>
      </c>
      <c r="AV108" s="4">
        <f>'4.1 Comptes 2020 natures'!AV108/'4.1 Comptes 2020 natures'!AV2</f>
        <v>0.69062500000000004</v>
      </c>
      <c r="AW108" s="4">
        <f>'4.1 Comptes 2020 natures'!AW108/'4.1 Comptes 2020 natures'!AW2</f>
        <v>2.5514304635761587</v>
      </c>
      <c r="AX108" s="4">
        <f>'4.1 Comptes 2020 natures'!AX108/'4.1 Comptes 2020 natures'!AX2</f>
        <v>0</v>
      </c>
      <c r="AY108" s="4">
        <f>'4.1 Comptes 2020 natures'!AY108/'4.1 Comptes 2020 natures'!AY2</f>
        <v>0</v>
      </c>
      <c r="AZ108" s="4">
        <f>'4.1 Comptes 2020 natures'!AZ108/'4.1 Comptes 2020 natures'!AZ2</f>
        <v>0</v>
      </c>
      <c r="BA108" s="4">
        <f>'4.1 Comptes 2020 natures'!BA108/'4.1 Comptes 2020 natures'!BA2</f>
        <v>0</v>
      </c>
      <c r="BB108" s="4">
        <f>'4.1 Comptes 2020 natures'!BB108/'4.1 Comptes 2020 natures'!BB2</f>
        <v>0.27577554744525545</v>
      </c>
      <c r="BC108" s="4">
        <f>'4.1 Comptes 2020 natures'!BC108/'4.1 Comptes 2020 natures'!BC2</f>
        <v>0</v>
      </c>
      <c r="BD108" s="4">
        <f>'4.1 Comptes 2020 natures'!BD108/'4.1 Comptes 2020 natures'!BD2</f>
        <v>3.5019816599316131</v>
      </c>
      <c r="BE108" s="4">
        <f>'4.1 Comptes 2020 natures'!BE108/'4.1 Comptes 2020 natures'!BE2</f>
        <v>3.5714285714285712E-2</v>
      </c>
      <c r="BF108" s="4">
        <f t="shared" si="68"/>
        <v>62.908648127755157</v>
      </c>
      <c r="BG108" s="4">
        <f t="shared" si="69"/>
        <v>7.6020813981663249</v>
      </c>
      <c r="BH108" s="4">
        <f t="shared" si="70"/>
        <v>28.053923731621826</v>
      </c>
      <c r="BI108" s="4">
        <f t="shared" si="71"/>
        <v>27.252642997967005</v>
      </c>
    </row>
    <row r="109" spans="2:61" x14ac:dyDescent="0.3">
      <c r="C109">
        <v>443</v>
      </c>
      <c r="D109" t="s">
        <v>166</v>
      </c>
      <c r="E109" s="4">
        <f>'4.1 Comptes 2020 natures'!E109/'4.1 Comptes 2020 natures'!E2</f>
        <v>24.909534127843987</v>
      </c>
      <c r="F109" s="4">
        <f>'4.1 Comptes 2020 natures'!F109/'4.1 Comptes 2020 natures'!F2</f>
        <v>72.962962962962962</v>
      </c>
      <c r="G109" s="4">
        <f>'4.1 Comptes 2020 natures'!G109/'4.1 Comptes 2020 natures'!G2</f>
        <v>219.12278350515464</v>
      </c>
      <c r="H109" s="4">
        <f>'4.1 Comptes 2020 natures'!H109/'4.1 Comptes 2020 natures'!H2</f>
        <v>168.30717488789239</v>
      </c>
      <c r="I109" s="4">
        <f>'4.1 Comptes 2020 natures'!I109/'4.1 Comptes 2020 natures'!I2</f>
        <v>106.15229964197191</v>
      </c>
      <c r="J109" s="4">
        <f>'4.1 Comptes 2020 natures'!J109/'4.1 Comptes 2020 natures'!J2</f>
        <v>39.384243887715058</v>
      </c>
      <c r="K109" s="4">
        <f>'4.1 Comptes 2020 natures'!K109/'4.1 Comptes 2020 natures'!K2</f>
        <v>49.223524962178516</v>
      </c>
      <c r="L109" s="4">
        <f>'4.1 Comptes 2020 natures'!L109/'4.1 Comptes 2020 natures'!L2</f>
        <v>45.208634490410532</v>
      </c>
      <c r="M109" s="4">
        <f>'4.1 Comptes 2020 natures'!M109/'4.1 Comptes 2020 natures'!M2</f>
        <v>15.139970824215903</v>
      </c>
      <c r="N109" s="4">
        <f>'4.1 Comptes 2020 natures'!N109/'4.1 Comptes 2020 natures'!N2</f>
        <v>161.01694915254237</v>
      </c>
      <c r="O109" s="4">
        <f>'4.1 Comptes 2020 natures'!O109/'4.1 Comptes 2020 natures'!O2</f>
        <v>17.948227989395843</v>
      </c>
      <c r="P109" s="4">
        <f>'4.1 Comptes 2020 natures'!P109/'4.1 Comptes 2020 natures'!P2</f>
        <v>52.102272727272727</v>
      </c>
      <c r="Q109" s="4">
        <f>'4.1 Comptes 2020 natures'!Q109/'4.1 Comptes 2020 natures'!Q2</f>
        <v>93.888888888888886</v>
      </c>
      <c r="R109" s="4">
        <f>'4.1 Comptes 2020 natures'!R109/'4.1 Comptes 2020 natures'!R2</f>
        <v>69.108433734939766</v>
      </c>
      <c r="S109" s="4">
        <f>'4.1 Comptes 2020 natures'!S109/'4.1 Comptes 2020 natures'!S2</f>
        <v>32.664756446991404</v>
      </c>
      <c r="T109" s="4">
        <f>'4.1 Comptes 2020 natures'!T109/'4.1 Comptes 2020 natures'!T2</f>
        <v>80.592430858806409</v>
      </c>
      <c r="U109" s="4">
        <f>'4.1 Comptes 2020 natures'!U109/'4.1 Comptes 2020 natures'!U2</f>
        <v>0</v>
      </c>
      <c r="V109" s="4">
        <f>'4.1 Comptes 2020 natures'!V109/'4.1 Comptes 2020 natures'!V2</f>
        <v>54.139908256880737</v>
      </c>
      <c r="W109" s="4">
        <f>'4.1 Comptes 2020 natures'!W109/'4.1 Comptes 2020 natures'!W2</f>
        <v>39.791065830721003</v>
      </c>
      <c r="X109" s="4">
        <f>'4.1 Comptes 2020 natures'!X109/'4.1 Comptes 2020 natures'!X2</f>
        <v>44.228395061728392</v>
      </c>
      <c r="Y109" s="4">
        <f>'4.1 Comptes 2020 natures'!Y109/'4.1 Comptes 2020 natures'!Y2</f>
        <v>34.28170144462279</v>
      </c>
      <c r="Z109" s="4">
        <f>'4.1 Comptes 2020 natures'!Z109/'4.1 Comptes 2020 natures'!Z2</f>
        <v>6.2859947643979055</v>
      </c>
      <c r="AA109" s="4">
        <f>'4.1 Comptes 2020 natures'!AA109/'4.1 Comptes 2020 natures'!AA2</f>
        <v>145.14583333333334</v>
      </c>
      <c r="AB109" s="4">
        <f>'4.1 Comptes 2020 natures'!AB109/'4.1 Comptes 2020 natures'!AB2</f>
        <v>164.96644295302013</v>
      </c>
      <c r="AC109" s="4">
        <f>'4.1 Comptes 2020 natures'!AC109/'4.1 Comptes 2020 natures'!AC2</f>
        <v>24.038953488372094</v>
      </c>
      <c r="AD109" s="4">
        <f>'4.1 Comptes 2020 natures'!AD109/'4.1 Comptes 2020 natures'!AD2</f>
        <v>119.22578241430701</v>
      </c>
      <c r="AE109" s="4">
        <f>'4.1 Comptes 2020 natures'!AE109/'4.1 Comptes 2020 natures'!AE2</f>
        <v>3.6888111888111887</v>
      </c>
      <c r="AF109" s="4">
        <f>'4.1 Comptes 2020 natures'!AF109/'4.1 Comptes 2020 natures'!AF2</f>
        <v>177.94897959183675</v>
      </c>
      <c r="AG109" s="4">
        <f>'4.1 Comptes 2020 natures'!AG109/'4.1 Comptes 2020 natures'!AG2</f>
        <v>48.998667711598742</v>
      </c>
      <c r="AH109" s="4">
        <f>'4.1 Comptes 2020 natures'!AH109/'4.1 Comptes 2020 natures'!AH2</f>
        <v>17.645965583173997</v>
      </c>
      <c r="AI109" s="4">
        <f>'4.1 Comptes 2020 natures'!AI109/'4.1 Comptes 2020 natures'!AI2</f>
        <v>0.2045374449339207</v>
      </c>
      <c r="AJ109" s="4">
        <f>'4.1 Comptes 2020 natures'!AJ109/'4.1 Comptes 2020 natures'!AJ2</f>
        <v>318.35877862595419</v>
      </c>
      <c r="AK109" s="4">
        <f>'4.1 Comptes 2020 natures'!AK109/'4.1 Comptes 2020 natures'!AK2</f>
        <v>0</v>
      </c>
      <c r="AL109" s="4">
        <f>'4.1 Comptes 2020 natures'!AL109/'4.1 Comptes 2020 natures'!AL2</f>
        <v>214.8386784140969</v>
      </c>
      <c r="AM109" s="4">
        <f>'4.1 Comptes 2020 natures'!AM109/'4.1 Comptes 2020 natures'!AM2</f>
        <v>61.053182917002417</v>
      </c>
      <c r="AN109" s="4">
        <f>'4.1 Comptes 2020 natures'!AN109/'4.1 Comptes 2020 natures'!AN2</f>
        <v>90.215966386554626</v>
      </c>
      <c r="AO109" s="4">
        <f>'4.1 Comptes 2020 natures'!AO109/'4.1 Comptes 2020 natures'!AO2</f>
        <v>171.07129707112972</v>
      </c>
      <c r="AP109" s="4">
        <f>'4.1 Comptes 2020 natures'!AP109/'4.1 Comptes 2020 natures'!AP2</f>
        <v>39.143589743589743</v>
      </c>
      <c r="AQ109" s="4">
        <f>'4.1 Comptes 2020 natures'!AQ109/'4.1 Comptes 2020 natures'!AQ2</f>
        <v>6.5016279069767444</v>
      </c>
      <c r="AR109" s="4">
        <f>'4.1 Comptes 2020 natures'!AR109/'4.1 Comptes 2020 natures'!AR2</f>
        <v>346.70456848772761</v>
      </c>
      <c r="AS109" s="4">
        <f>'4.1 Comptes 2020 natures'!AS109/'4.1 Comptes 2020 natures'!AS2</f>
        <v>14.246486486486486</v>
      </c>
      <c r="AT109" s="4">
        <f>'4.1 Comptes 2020 natures'!AT109/'4.1 Comptes 2020 natures'!AT2</f>
        <v>80.535019455252922</v>
      </c>
      <c r="AU109" s="4">
        <f>'4.1 Comptes 2020 natures'!AU109/'4.1 Comptes 2020 natures'!AU2</f>
        <v>81.656050955414017</v>
      </c>
      <c r="AV109" s="4">
        <f>'4.1 Comptes 2020 natures'!AV109/'4.1 Comptes 2020 natures'!AV2</f>
        <v>0</v>
      </c>
      <c r="AW109" s="4">
        <f>'4.1 Comptes 2020 natures'!AW109/'4.1 Comptes 2020 natures'!AW2</f>
        <v>14.592516556291391</v>
      </c>
      <c r="AX109" s="4">
        <f>'4.1 Comptes 2020 natures'!AX109/'4.1 Comptes 2020 natures'!AX2</f>
        <v>13.439226519337016</v>
      </c>
      <c r="AY109" s="4">
        <f>'4.1 Comptes 2020 natures'!AY109/'4.1 Comptes 2020 natures'!AY2</f>
        <v>113.26714697406339</v>
      </c>
      <c r="AZ109" s="4">
        <f>'4.1 Comptes 2020 natures'!AZ109/'4.1 Comptes 2020 natures'!AZ2</f>
        <v>39.643964497041424</v>
      </c>
      <c r="BA109" s="4">
        <f>'4.1 Comptes 2020 natures'!BA109/'4.1 Comptes 2020 natures'!BA2</f>
        <v>84.679586563307495</v>
      </c>
      <c r="BB109" s="4">
        <f>'4.1 Comptes 2020 natures'!BB109/'4.1 Comptes 2020 natures'!BB2</f>
        <v>103.38275547445255</v>
      </c>
      <c r="BC109" s="4">
        <f>'4.1 Comptes 2020 natures'!BC109/'4.1 Comptes 2020 natures'!BC2</f>
        <v>15.957446808510639</v>
      </c>
      <c r="BD109" s="4">
        <f>'4.1 Comptes 2020 natures'!BD109/'4.1 Comptes 2020 natures'!BD2</f>
        <v>40.651585327945291</v>
      </c>
      <c r="BE109" s="4">
        <f>'4.1 Comptes 2020 natures'!BE109/'4.1 Comptes 2020 natures'!BE2</f>
        <v>89.061785714285705</v>
      </c>
      <c r="BF109" s="4">
        <f t="shared" si="68"/>
        <v>4067.3253890423416</v>
      </c>
      <c r="BG109" s="4">
        <f t="shared" si="69"/>
        <v>1341.664063176785</v>
      </c>
      <c r="BH109" s="4">
        <f t="shared" si="70"/>
        <v>1105.0188436060905</v>
      </c>
      <c r="BI109" s="4">
        <f t="shared" si="71"/>
        <v>1620.6424822594663</v>
      </c>
    </row>
    <row r="110" spans="2:61" x14ac:dyDescent="0.3">
      <c r="C110">
        <v>444</v>
      </c>
      <c r="D110" t="s">
        <v>106</v>
      </c>
      <c r="E110" s="4">
        <f>'4.1 Comptes 2020 natures'!E110/'4.1 Comptes 2020 natures'!E2</f>
        <v>0</v>
      </c>
      <c r="F110" s="4">
        <f>'4.1 Comptes 2020 natures'!F110/'4.1 Comptes 2020 natures'!F2</f>
        <v>0</v>
      </c>
      <c r="G110" s="4">
        <f>'4.1 Comptes 2020 natures'!G110/'4.1 Comptes 2020 natures'!G2</f>
        <v>0</v>
      </c>
      <c r="H110" s="4">
        <f>'4.1 Comptes 2020 natures'!H110/'4.1 Comptes 2020 natures'!H2</f>
        <v>0</v>
      </c>
      <c r="I110" s="4">
        <f>'4.1 Comptes 2020 natures'!I110/'4.1 Comptes 2020 natures'!I2</f>
        <v>16.843844670889563</v>
      </c>
      <c r="J110" s="4">
        <f>'4.1 Comptes 2020 natures'!J110/'4.1 Comptes 2020 natures'!J2</f>
        <v>0</v>
      </c>
      <c r="K110" s="4">
        <f>'4.1 Comptes 2020 natures'!K110/'4.1 Comptes 2020 natures'!K2</f>
        <v>0</v>
      </c>
      <c r="L110" s="4">
        <f>'4.1 Comptes 2020 natures'!L110/'4.1 Comptes 2020 natures'!L2</f>
        <v>0</v>
      </c>
      <c r="M110" s="4">
        <f>'4.1 Comptes 2020 natures'!M110/'4.1 Comptes 2020 natures'!M2</f>
        <v>0.10211524434719182</v>
      </c>
      <c r="N110" s="4">
        <f>'4.1 Comptes 2020 natures'!N110/'4.1 Comptes 2020 natures'!N2</f>
        <v>0</v>
      </c>
      <c r="O110" s="4">
        <f>'4.1 Comptes 2020 natures'!O110/'4.1 Comptes 2020 natures'!O2</f>
        <v>3.1031114831868285</v>
      </c>
      <c r="P110" s="4">
        <f>'4.1 Comptes 2020 natures'!P110/'4.1 Comptes 2020 natures'!P2</f>
        <v>0</v>
      </c>
      <c r="Q110" s="4">
        <f>'4.1 Comptes 2020 natures'!Q110/'4.1 Comptes 2020 natures'!Q2</f>
        <v>0</v>
      </c>
      <c r="R110" s="4">
        <f>'4.1 Comptes 2020 natures'!R110/'4.1 Comptes 2020 natures'!R2</f>
        <v>0</v>
      </c>
      <c r="S110" s="4">
        <f>'4.1 Comptes 2020 natures'!S110/'4.1 Comptes 2020 natures'!S2</f>
        <v>0</v>
      </c>
      <c r="T110" s="4">
        <f>'4.1 Comptes 2020 natures'!T110/'4.1 Comptes 2020 natures'!T2</f>
        <v>0</v>
      </c>
      <c r="U110" s="4">
        <f>'4.1 Comptes 2020 natures'!U110/'4.1 Comptes 2020 natures'!U2</f>
        <v>58.03921568627451</v>
      </c>
      <c r="V110" s="4">
        <f>'4.1 Comptes 2020 natures'!V110/'4.1 Comptes 2020 natures'!V2</f>
        <v>0</v>
      </c>
      <c r="W110" s="4">
        <f>'4.1 Comptes 2020 natures'!W110/'4.1 Comptes 2020 natures'!W2</f>
        <v>0</v>
      </c>
      <c r="X110" s="4">
        <f>'4.1 Comptes 2020 natures'!X110/'4.1 Comptes 2020 natures'!X2</f>
        <v>0</v>
      </c>
      <c r="Y110" s="4">
        <f>'4.1 Comptes 2020 natures'!Y110/'4.1 Comptes 2020 natures'!Y2</f>
        <v>0</v>
      </c>
      <c r="Z110" s="4">
        <f>'4.1 Comptes 2020 natures'!Z110/'4.1 Comptes 2020 natures'!Z2</f>
        <v>0</v>
      </c>
      <c r="AA110" s="4">
        <f>'4.1 Comptes 2020 natures'!AA110/'4.1 Comptes 2020 natures'!AA2</f>
        <v>2.0833333333333335</v>
      </c>
      <c r="AB110" s="4">
        <f>'4.1 Comptes 2020 natures'!AB110/'4.1 Comptes 2020 natures'!AB2</f>
        <v>0</v>
      </c>
      <c r="AC110" s="4">
        <f>'4.1 Comptes 2020 natures'!AC110/'4.1 Comptes 2020 natures'!AC2</f>
        <v>21.550387596899224</v>
      </c>
      <c r="AD110" s="4">
        <f>'4.1 Comptes 2020 natures'!AD110/'4.1 Comptes 2020 natures'!AD2</f>
        <v>0</v>
      </c>
      <c r="AE110" s="4">
        <f>'4.1 Comptes 2020 natures'!AE110/'4.1 Comptes 2020 natures'!AE2</f>
        <v>0</v>
      </c>
      <c r="AF110" s="4">
        <f>'4.1 Comptes 2020 natures'!AF110/'4.1 Comptes 2020 natures'!AF2</f>
        <v>0</v>
      </c>
      <c r="AG110" s="4">
        <f>'4.1 Comptes 2020 natures'!AG110/'4.1 Comptes 2020 natures'!AG2</f>
        <v>0</v>
      </c>
      <c r="AH110" s="4">
        <f>'4.1 Comptes 2020 natures'!AH110/'4.1 Comptes 2020 natures'!AH2</f>
        <v>10.263862332695984</v>
      </c>
      <c r="AI110" s="4">
        <f>'4.1 Comptes 2020 natures'!AI110/'4.1 Comptes 2020 natures'!AI2</f>
        <v>0</v>
      </c>
      <c r="AJ110" s="4">
        <f>'4.1 Comptes 2020 natures'!AJ110/'4.1 Comptes 2020 natures'!AJ2</f>
        <v>0</v>
      </c>
      <c r="AK110" s="4">
        <f>'4.1 Comptes 2020 natures'!AK110/'4.1 Comptes 2020 natures'!AK2</f>
        <v>0</v>
      </c>
      <c r="AL110" s="4">
        <f>'4.1 Comptes 2020 natures'!AL110/'4.1 Comptes 2020 natures'!AL2</f>
        <v>0</v>
      </c>
      <c r="AM110" s="4">
        <f>'4.1 Comptes 2020 natures'!AM110/'4.1 Comptes 2020 natures'!AM2</f>
        <v>0</v>
      </c>
      <c r="AN110" s="4">
        <f>'4.1 Comptes 2020 natures'!AN110/'4.1 Comptes 2020 natures'!AN2</f>
        <v>0</v>
      </c>
      <c r="AO110" s="4">
        <f>'4.1 Comptes 2020 natures'!AO110/'4.1 Comptes 2020 natures'!AO2</f>
        <v>0</v>
      </c>
      <c r="AP110" s="4">
        <f>'4.1 Comptes 2020 natures'!AP110/'4.1 Comptes 2020 natures'!AP2</f>
        <v>0</v>
      </c>
      <c r="AQ110" s="4">
        <f>'4.1 Comptes 2020 natures'!AQ110/'4.1 Comptes 2020 natures'!AQ2</f>
        <v>0</v>
      </c>
      <c r="AR110" s="4">
        <f>'4.1 Comptes 2020 natures'!AR110/'4.1 Comptes 2020 natures'!AR2</f>
        <v>0</v>
      </c>
      <c r="AS110" s="4">
        <f>'4.1 Comptes 2020 natures'!AS110/'4.1 Comptes 2020 natures'!AS2</f>
        <v>189.22432432432433</v>
      </c>
      <c r="AT110" s="4">
        <f>'4.1 Comptes 2020 natures'!AT110/'4.1 Comptes 2020 natures'!AT2</f>
        <v>0</v>
      </c>
      <c r="AU110" s="4">
        <f>'4.1 Comptes 2020 natures'!AU110/'4.1 Comptes 2020 natures'!AU2</f>
        <v>0</v>
      </c>
      <c r="AV110" s="4">
        <f>'4.1 Comptes 2020 natures'!AV110/'4.1 Comptes 2020 natures'!AV2</f>
        <v>0</v>
      </c>
      <c r="AW110" s="4">
        <f>'4.1 Comptes 2020 natures'!AW110/'4.1 Comptes 2020 natures'!AW2</f>
        <v>29.456953642384107</v>
      </c>
      <c r="AX110" s="4">
        <f>'4.1 Comptes 2020 natures'!AX110/'4.1 Comptes 2020 natures'!AX2</f>
        <v>0</v>
      </c>
      <c r="AY110" s="4">
        <f>'4.1 Comptes 2020 natures'!AY110/'4.1 Comptes 2020 natures'!AY2</f>
        <v>0</v>
      </c>
      <c r="AZ110" s="4">
        <f>'4.1 Comptes 2020 natures'!AZ110/'4.1 Comptes 2020 natures'!AZ2</f>
        <v>15.857988165680473</v>
      </c>
      <c r="BA110" s="4">
        <f>'4.1 Comptes 2020 natures'!BA110/'4.1 Comptes 2020 natures'!BA2</f>
        <v>0.10335917312661498</v>
      </c>
      <c r="BB110" s="4">
        <f>'4.1 Comptes 2020 natures'!BB110/'4.1 Comptes 2020 natures'!BB2</f>
        <v>10.145985401459853</v>
      </c>
      <c r="BC110" s="4">
        <f>'4.1 Comptes 2020 natures'!BC110/'4.1 Comptes 2020 natures'!BC2</f>
        <v>0</v>
      </c>
      <c r="BD110" s="4">
        <f>'4.1 Comptes 2020 natures'!BD110/'4.1 Comptes 2020 natures'!BD2</f>
        <v>126.4554553932235</v>
      </c>
      <c r="BE110" s="4">
        <f>'4.1 Comptes 2020 natures'!BE110/'4.1 Comptes 2020 natures'!BE2</f>
        <v>0</v>
      </c>
      <c r="BF110" s="4">
        <f t="shared" si="68"/>
        <v>483.22993644782548</v>
      </c>
      <c r="BG110" s="4">
        <f t="shared" si="69"/>
        <v>78.088287084698095</v>
      </c>
      <c r="BH110" s="4">
        <f t="shared" si="70"/>
        <v>33.897583262928542</v>
      </c>
      <c r="BI110" s="4">
        <f t="shared" si="71"/>
        <v>371.24406610019889</v>
      </c>
    </row>
    <row r="111" spans="2:61" x14ac:dyDescent="0.3">
      <c r="C111">
        <v>445</v>
      </c>
      <c r="D111" t="s">
        <v>167</v>
      </c>
      <c r="E111" s="4">
        <f>'4.1 Comptes 2020 natures'!E111/'4.1 Comptes 2020 natures'!E2</f>
        <v>0</v>
      </c>
      <c r="F111" s="4">
        <f>'4.1 Comptes 2020 natures'!F111/'4.1 Comptes 2020 natures'!F2</f>
        <v>0</v>
      </c>
      <c r="G111" s="4">
        <f>'4.1 Comptes 2020 natures'!G111/'4.1 Comptes 2020 natures'!G2</f>
        <v>0</v>
      </c>
      <c r="H111" s="4">
        <f>'4.1 Comptes 2020 natures'!H111/'4.1 Comptes 2020 natures'!H2</f>
        <v>0</v>
      </c>
      <c r="I111" s="4">
        <f>'4.1 Comptes 2020 natures'!I111/'4.1 Comptes 2020 natures'!I2</f>
        <v>0</v>
      </c>
      <c r="J111" s="4">
        <f>'4.1 Comptes 2020 natures'!J111/'4.1 Comptes 2020 natures'!J2</f>
        <v>0</v>
      </c>
      <c r="K111" s="4">
        <f>'4.1 Comptes 2020 natures'!K111/'4.1 Comptes 2020 natures'!K2</f>
        <v>0</v>
      </c>
      <c r="L111" s="4">
        <f>'4.1 Comptes 2020 natures'!L111/'4.1 Comptes 2020 natures'!L2</f>
        <v>13.753209700427959</v>
      </c>
      <c r="M111" s="4">
        <f>'4.1 Comptes 2020 natures'!M111/'4.1 Comptes 2020 natures'!M2</f>
        <v>0</v>
      </c>
      <c r="N111" s="4">
        <f>'4.1 Comptes 2020 natures'!N111/'4.1 Comptes 2020 natures'!N2</f>
        <v>0</v>
      </c>
      <c r="O111" s="4">
        <f>'4.1 Comptes 2020 natures'!O111/'4.1 Comptes 2020 natures'!O2</f>
        <v>0</v>
      </c>
      <c r="P111" s="4">
        <f>'4.1 Comptes 2020 natures'!P111/'4.1 Comptes 2020 natures'!P2</f>
        <v>0</v>
      </c>
      <c r="Q111" s="4">
        <f>'4.1 Comptes 2020 natures'!Q111/'4.1 Comptes 2020 natures'!Q2</f>
        <v>0</v>
      </c>
      <c r="R111" s="4">
        <f>'4.1 Comptes 2020 natures'!R111/'4.1 Comptes 2020 natures'!R2</f>
        <v>0</v>
      </c>
      <c r="S111" s="4">
        <f>'4.1 Comptes 2020 natures'!S111/'4.1 Comptes 2020 natures'!S2</f>
        <v>0</v>
      </c>
      <c r="T111" s="4">
        <f>'4.1 Comptes 2020 natures'!T111/'4.1 Comptes 2020 natures'!T2</f>
        <v>0</v>
      </c>
      <c r="U111" s="4">
        <f>'4.1 Comptes 2020 natures'!U111/'4.1 Comptes 2020 natures'!U2</f>
        <v>0</v>
      </c>
      <c r="V111" s="4">
        <f>'4.1 Comptes 2020 natures'!V111/'4.1 Comptes 2020 natures'!V2</f>
        <v>0</v>
      </c>
      <c r="W111" s="4">
        <f>'4.1 Comptes 2020 natures'!W111/'4.1 Comptes 2020 natures'!W2</f>
        <v>0</v>
      </c>
      <c r="X111" s="4">
        <f>'4.1 Comptes 2020 natures'!X111/'4.1 Comptes 2020 natures'!X2</f>
        <v>0</v>
      </c>
      <c r="Y111" s="4">
        <f>'4.1 Comptes 2020 natures'!Y111/'4.1 Comptes 2020 natures'!Y2</f>
        <v>0</v>
      </c>
      <c r="Z111" s="4">
        <f>'4.1 Comptes 2020 natures'!Z111/'4.1 Comptes 2020 natures'!Z2</f>
        <v>0</v>
      </c>
      <c r="AA111" s="4">
        <f>'4.1 Comptes 2020 natures'!AA111/'4.1 Comptes 2020 natures'!AA2</f>
        <v>0</v>
      </c>
      <c r="AB111" s="4">
        <f>'4.1 Comptes 2020 natures'!AB111/'4.1 Comptes 2020 natures'!AB2</f>
        <v>0</v>
      </c>
      <c r="AC111" s="4">
        <f>'4.1 Comptes 2020 natures'!AC111/'4.1 Comptes 2020 natures'!AC2</f>
        <v>0</v>
      </c>
      <c r="AD111" s="4">
        <f>'4.1 Comptes 2020 natures'!AD111/'4.1 Comptes 2020 natures'!AD2</f>
        <v>0</v>
      </c>
      <c r="AE111" s="4">
        <f>'4.1 Comptes 2020 natures'!AE111/'4.1 Comptes 2020 natures'!AE2</f>
        <v>0</v>
      </c>
      <c r="AF111" s="4">
        <f>'4.1 Comptes 2020 natures'!AF111/'4.1 Comptes 2020 natures'!AF2</f>
        <v>0</v>
      </c>
      <c r="AG111" s="4">
        <f>'4.1 Comptes 2020 natures'!AG111/'4.1 Comptes 2020 natures'!AG2</f>
        <v>0</v>
      </c>
      <c r="AH111" s="4">
        <f>'4.1 Comptes 2020 natures'!AH111/'4.1 Comptes 2020 natures'!AH2</f>
        <v>0</v>
      </c>
      <c r="AI111" s="4">
        <f>'4.1 Comptes 2020 natures'!AI111/'4.1 Comptes 2020 natures'!AI2</f>
        <v>0</v>
      </c>
      <c r="AJ111" s="4">
        <f>'4.1 Comptes 2020 natures'!AJ111/'4.1 Comptes 2020 natures'!AJ2</f>
        <v>0</v>
      </c>
      <c r="AK111" s="4">
        <f>'4.1 Comptes 2020 natures'!AK111/'4.1 Comptes 2020 natures'!AK2</f>
        <v>0</v>
      </c>
      <c r="AL111" s="4">
        <f>'4.1 Comptes 2020 natures'!AL111/'4.1 Comptes 2020 natures'!AL2</f>
        <v>0</v>
      </c>
      <c r="AM111" s="4">
        <f>'4.1 Comptes 2020 natures'!AM111/'4.1 Comptes 2020 natures'!AM2</f>
        <v>0</v>
      </c>
      <c r="AN111" s="4">
        <f>'4.1 Comptes 2020 natures'!AN111/'4.1 Comptes 2020 natures'!AN2</f>
        <v>0.33613445378151263</v>
      </c>
      <c r="AO111" s="4">
        <f>'4.1 Comptes 2020 natures'!AO111/'4.1 Comptes 2020 natures'!AO2</f>
        <v>0</v>
      </c>
      <c r="AP111" s="4">
        <f>'4.1 Comptes 2020 natures'!AP111/'4.1 Comptes 2020 natures'!AP2</f>
        <v>0</v>
      </c>
      <c r="AQ111" s="4">
        <f>'4.1 Comptes 2020 natures'!AQ111/'4.1 Comptes 2020 natures'!AQ2</f>
        <v>0</v>
      </c>
      <c r="AR111" s="4">
        <f>'4.1 Comptes 2020 natures'!AR111/'4.1 Comptes 2020 natures'!AR2</f>
        <v>0</v>
      </c>
      <c r="AS111" s="4">
        <f>'4.1 Comptes 2020 natures'!AS111/'4.1 Comptes 2020 natures'!AS2</f>
        <v>0</v>
      </c>
      <c r="AT111" s="4">
        <f>'4.1 Comptes 2020 natures'!AT111/'4.1 Comptes 2020 natures'!AT2</f>
        <v>0</v>
      </c>
      <c r="AU111" s="4">
        <f>'4.1 Comptes 2020 natures'!AU111/'4.1 Comptes 2020 natures'!AU2</f>
        <v>0</v>
      </c>
      <c r="AV111" s="4">
        <f>'4.1 Comptes 2020 natures'!AV111/'4.1 Comptes 2020 natures'!AV2</f>
        <v>0</v>
      </c>
      <c r="AW111" s="4">
        <f>'4.1 Comptes 2020 natures'!AW111/'4.1 Comptes 2020 natures'!AW2</f>
        <v>0</v>
      </c>
      <c r="AX111" s="4">
        <f>'4.1 Comptes 2020 natures'!AX111/'4.1 Comptes 2020 natures'!AX2</f>
        <v>0</v>
      </c>
      <c r="AY111" s="4">
        <f>'4.1 Comptes 2020 natures'!AY111/'4.1 Comptes 2020 natures'!AY2</f>
        <v>0</v>
      </c>
      <c r="AZ111" s="4">
        <f>'4.1 Comptes 2020 natures'!AZ111/'4.1 Comptes 2020 natures'!AZ2</f>
        <v>0</v>
      </c>
      <c r="BA111" s="4">
        <f>'4.1 Comptes 2020 natures'!BA111/'4.1 Comptes 2020 natures'!BA2</f>
        <v>0</v>
      </c>
      <c r="BB111" s="4">
        <f>'4.1 Comptes 2020 natures'!BB111/'4.1 Comptes 2020 natures'!BB2</f>
        <v>0</v>
      </c>
      <c r="BC111" s="4">
        <f>'4.1 Comptes 2020 natures'!BC111/'4.1 Comptes 2020 natures'!BC2</f>
        <v>0</v>
      </c>
      <c r="BD111" s="4">
        <f>'4.1 Comptes 2020 natures'!BD111/'4.1 Comptes 2020 natures'!BD2</f>
        <v>0</v>
      </c>
      <c r="BE111" s="4">
        <f>'4.1 Comptes 2020 natures'!BE111/'4.1 Comptes 2020 natures'!BE2</f>
        <v>0</v>
      </c>
      <c r="BF111" s="4">
        <f t="shared" si="68"/>
        <v>14.089344154209472</v>
      </c>
      <c r="BG111" s="4">
        <f t="shared" si="69"/>
        <v>13.753209700427959</v>
      </c>
      <c r="BH111" s="4">
        <f t="shared" si="70"/>
        <v>0</v>
      </c>
      <c r="BI111" s="4">
        <f t="shared" si="71"/>
        <v>0.33613445378151263</v>
      </c>
    </row>
    <row r="112" spans="2:61" x14ac:dyDescent="0.3">
      <c r="C112">
        <v>446</v>
      </c>
      <c r="D112" t="s">
        <v>168</v>
      </c>
      <c r="E112" s="4">
        <f>'4.1 Comptes 2020 natures'!E112/'4.1 Comptes 2020 natures'!E2</f>
        <v>0</v>
      </c>
      <c r="F112" s="4">
        <f>'4.1 Comptes 2020 natures'!F112/'4.1 Comptes 2020 natures'!F2</f>
        <v>0</v>
      </c>
      <c r="G112" s="4">
        <f>'4.1 Comptes 2020 natures'!G112/'4.1 Comptes 2020 natures'!G2</f>
        <v>0</v>
      </c>
      <c r="H112" s="4">
        <f>'4.1 Comptes 2020 natures'!H112/'4.1 Comptes 2020 natures'!H2</f>
        <v>0</v>
      </c>
      <c r="I112" s="4">
        <f>'4.1 Comptes 2020 natures'!I112/'4.1 Comptes 2020 natures'!I2</f>
        <v>0</v>
      </c>
      <c r="J112" s="4">
        <f>'4.1 Comptes 2020 natures'!J112/'4.1 Comptes 2020 natures'!J2</f>
        <v>0</v>
      </c>
      <c r="K112" s="4">
        <f>'4.1 Comptes 2020 natures'!K112/'4.1 Comptes 2020 natures'!K2</f>
        <v>0</v>
      </c>
      <c r="L112" s="4">
        <f>'4.1 Comptes 2020 natures'!L112/'4.1 Comptes 2020 natures'!L2</f>
        <v>0</v>
      </c>
      <c r="M112" s="4">
        <f>'4.1 Comptes 2020 natures'!M112/'4.1 Comptes 2020 natures'!M2</f>
        <v>0</v>
      </c>
      <c r="N112" s="4">
        <f>'4.1 Comptes 2020 natures'!N112/'4.1 Comptes 2020 natures'!N2</f>
        <v>0</v>
      </c>
      <c r="O112" s="4">
        <f>'4.1 Comptes 2020 natures'!O112/'4.1 Comptes 2020 natures'!O2</f>
        <v>0</v>
      </c>
      <c r="P112" s="4">
        <f>'4.1 Comptes 2020 natures'!P112/'4.1 Comptes 2020 natures'!P2</f>
        <v>0</v>
      </c>
      <c r="Q112" s="4">
        <f>'4.1 Comptes 2020 natures'!Q112/'4.1 Comptes 2020 natures'!Q2</f>
        <v>0</v>
      </c>
      <c r="R112" s="4">
        <f>'4.1 Comptes 2020 natures'!R112/'4.1 Comptes 2020 natures'!R2</f>
        <v>0</v>
      </c>
      <c r="S112" s="4">
        <f>'4.1 Comptes 2020 natures'!S112/'4.1 Comptes 2020 natures'!S2</f>
        <v>0</v>
      </c>
      <c r="T112" s="4">
        <f>'4.1 Comptes 2020 natures'!T112/'4.1 Comptes 2020 natures'!T2</f>
        <v>0</v>
      </c>
      <c r="U112" s="4">
        <f>'4.1 Comptes 2020 natures'!U112/'4.1 Comptes 2020 natures'!U2</f>
        <v>0</v>
      </c>
      <c r="V112" s="4">
        <f>'4.1 Comptes 2020 natures'!V112/'4.1 Comptes 2020 natures'!V2</f>
        <v>0</v>
      </c>
      <c r="W112" s="4">
        <f>'4.1 Comptes 2020 natures'!W112/'4.1 Comptes 2020 natures'!W2</f>
        <v>0</v>
      </c>
      <c r="X112" s="4">
        <f>'4.1 Comptes 2020 natures'!X112/'4.1 Comptes 2020 natures'!X2</f>
        <v>0</v>
      </c>
      <c r="Y112" s="4">
        <f>'4.1 Comptes 2020 natures'!Y112/'4.1 Comptes 2020 natures'!Y2</f>
        <v>0</v>
      </c>
      <c r="Z112" s="4">
        <f>'4.1 Comptes 2020 natures'!Z112/'4.1 Comptes 2020 natures'!Z2</f>
        <v>0</v>
      </c>
      <c r="AA112" s="4">
        <f>'4.1 Comptes 2020 natures'!AA112/'4.1 Comptes 2020 natures'!AA2</f>
        <v>0</v>
      </c>
      <c r="AB112" s="4">
        <f>'4.1 Comptes 2020 natures'!AB112/'4.1 Comptes 2020 natures'!AB2</f>
        <v>0</v>
      </c>
      <c r="AC112" s="4">
        <f>'4.1 Comptes 2020 natures'!AC112/'4.1 Comptes 2020 natures'!AC2</f>
        <v>0</v>
      </c>
      <c r="AD112" s="4">
        <f>'4.1 Comptes 2020 natures'!AD112/'4.1 Comptes 2020 natures'!AD2</f>
        <v>0</v>
      </c>
      <c r="AE112" s="4">
        <f>'4.1 Comptes 2020 natures'!AE112/'4.1 Comptes 2020 natures'!AE2</f>
        <v>0</v>
      </c>
      <c r="AF112" s="4">
        <f>'4.1 Comptes 2020 natures'!AF112/'4.1 Comptes 2020 natures'!AF2</f>
        <v>0</v>
      </c>
      <c r="AG112" s="4">
        <f>'4.1 Comptes 2020 natures'!AG112/'4.1 Comptes 2020 natures'!AG2</f>
        <v>0</v>
      </c>
      <c r="AH112" s="4">
        <f>'4.1 Comptes 2020 natures'!AH112/'4.1 Comptes 2020 natures'!AH2</f>
        <v>0</v>
      </c>
      <c r="AI112" s="4">
        <f>'4.1 Comptes 2020 natures'!AI112/'4.1 Comptes 2020 natures'!AI2</f>
        <v>0</v>
      </c>
      <c r="AJ112" s="4">
        <f>'4.1 Comptes 2020 natures'!AJ112/'4.1 Comptes 2020 natures'!AJ2</f>
        <v>0</v>
      </c>
      <c r="AK112" s="4">
        <f>'4.1 Comptes 2020 natures'!AK112/'4.1 Comptes 2020 natures'!AK2</f>
        <v>0</v>
      </c>
      <c r="AL112" s="4">
        <f>'4.1 Comptes 2020 natures'!AL112/'4.1 Comptes 2020 natures'!AL2</f>
        <v>0</v>
      </c>
      <c r="AM112" s="4">
        <f>'4.1 Comptes 2020 natures'!AM112/'4.1 Comptes 2020 natures'!AM2</f>
        <v>0</v>
      </c>
      <c r="AN112" s="4">
        <f>'4.1 Comptes 2020 natures'!AN112/'4.1 Comptes 2020 natures'!AN2</f>
        <v>0</v>
      </c>
      <c r="AO112" s="4">
        <f>'4.1 Comptes 2020 natures'!AO112/'4.1 Comptes 2020 natures'!AO2</f>
        <v>0</v>
      </c>
      <c r="AP112" s="4">
        <f>'4.1 Comptes 2020 natures'!AP112/'4.1 Comptes 2020 natures'!AP2</f>
        <v>0</v>
      </c>
      <c r="AQ112" s="4">
        <f>'4.1 Comptes 2020 natures'!AQ112/'4.1 Comptes 2020 natures'!AQ2</f>
        <v>0</v>
      </c>
      <c r="AR112" s="4">
        <f>'4.1 Comptes 2020 natures'!AR112/'4.1 Comptes 2020 natures'!AR2</f>
        <v>0</v>
      </c>
      <c r="AS112" s="4">
        <f>'4.1 Comptes 2020 natures'!AS112/'4.1 Comptes 2020 natures'!AS2</f>
        <v>0</v>
      </c>
      <c r="AT112" s="4">
        <f>'4.1 Comptes 2020 natures'!AT112/'4.1 Comptes 2020 natures'!AT2</f>
        <v>0</v>
      </c>
      <c r="AU112" s="4">
        <f>'4.1 Comptes 2020 natures'!AU112/'4.1 Comptes 2020 natures'!AU2</f>
        <v>0</v>
      </c>
      <c r="AV112" s="4">
        <f>'4.1 Comptes 2020 natures'!AV112/'4.1 Comptes 2020 natures'!AV2</f>
        <v>0</v>
      </c>
      <c r="AW112" s="4">
        <f>'4.1 Comptes 2020 natures'!AW112/'4.1 Comptes 2020 natures'!AW2</f>
        <v>0</v>
      </c>
      <c r="AX112" s="4">
        <f>'4.1 Comptes 2020 natures'!AX112/'4.1 Comptes 2020 natures'!AX2</f>
        <v>0</v>
      </c>
      <c r="AY112" s="4">
        <f>'4.1 Comptes 2020 natures'!AY112/'4.1 Comptes 2020 natures'!AY2</f>
        <v>0</v>
      </c>
      <c r="AZ112" s="4">
        <f>'4.1 Comptes 2020 natures'!AZ112/'4.1 Comptes 2020 natures'!AZ2</f>
        <v>0</v>
      </c>
      <c r="BA112" s="4">
        <f>'4.1 Comptes 2020 natures'!BA112/'4.1 Comptes 2020 natures'!BA2</f>
        <v>0</v>
      </c>
      <c r="BB112" s="4">
        <f>'4.1 Comptes 2020 natures'!BB112/'4.1 Comptes 2020 natures'!BB2</f>
        <v>0</v>
      </c>
      <c r="BC112" s="4">
        <f>'4.1 Comptes 2020 natures'!BC112/'4.1 Comptes 2020 natures'!BC2</f>
        <v>0</v>
      </c>
      <c r="BD112" s="4">
        <f>'4.1 Comptes 2020 natures'!BD112/'4.1 Comptes 2020 natures'!BD2</f>
        <v>0</v>
      </c>
      <c r="BE112" s="4">
        <f>'4.1 Comptes 2020 natures'!BE112/'4.1 Comptes 2020 natures'!BE2</f>
        <v>0</v>
      </c>
      <c r="BF112" s="4">
        <f t="shared" si="68"/>
        <v>0</v>
      </c>
      <c r="BG112" s="4">
        <f t="shared" si="69"/>
        <v>0</v>
      </c>
      <c r="BH112" s="4">
        <f t="shared" si="70"/>
        <v>0</v>
      </c>
      <c r="BI112" s="4">
        <f t="shared" si="71"/>
        <v>0</v>
      </c>
    </row>
    <row r="113" spans="2:61" x14ac:dyDescent="0.3">
      <c r="C113">
        <v>447</v>
      </c>
      <c r="D113" t="s">
        <v>169</v>
      </c>
      <c r="E113" s="4">
        <f>'4.1 Comptes 2020 natures'!E113/'4.1 Comptes 2020 natures'!E2</f>
        <v>1.3946370530877572</v>
      </c>
      <c r="F113" s="4">
        <f>'4.1 Comptes 2020 natures'!F113/'4.1 Comptes 2020 natures'!F2</f>
        <v>3.7777777777777777</v>
      </c>
      <c r="G113" s="4">
        <f>'4.1 Comptes 2020 natures'!G113/'4.1 Comptes 2020 natures'!G2</f>
        <v>0</v>
      </c>
      <c r="H113" s="4">
        <f>'4.1 Comptes 2020 natures'!H113/'4.1 Comptes 2020 natures'!H2</f>
        <v>112.10762331838565</v>
      </c>
      <c r="I113" s="4">
        <f>'4.1 Comptes 2020 natures'!I113/'4.1 Comptes 2020 natures'!I2</f>
        <v>17.656265491600109</v>
      </c>
      <c r="J113" s="4">
        <f>'4.1 Comptes 2020 natures'!J113/'4.1 Comptes 2020 natures'!J2</f>
        <v>21.901086628433443</v>
      </c>
      <c r="K113" s="4">
        <f>'4.1 Comptes 2020 natures'!K113/'4.1 Comptes 2020 natures'!K2</f>
        <v>34.576399394856281</v>
      </c>
      <c r="L113" s="4">
        <f>'4.1 Comptes 2020 natures'!L113/'4.1 Comptes 2020 natures'!L2</f>
        <v>107.32991599302582</v>
      </c>
      <c r="M113" s="4">
        <f>'4.1 Comptes 2020 natures'!M113/'4.1 Comptes 2020 natures'!M2</f>
        <v>10.761852662290298</v>
      </c>
      <c r="N113" s="4">
        <f>'4.1 Comptes 2020 natures'!N113/'4.1 Comptes 2020 natures'!N2</f>
        <v>0.84745762711864403</v>
      </c>
      <c r="O113" s="4">
        <f>'4.1 Comptes 2020 natures'!O113/'4.1 Comptes 2020 natures'!O2</f>
        <v>23.462529649783733</v>
      </c>
      <c r="P113" s="4">
        <f>'4.1 Comptes 2020 natures'!P113/'4.1 Comptes 2020 natures'!P2</f>
        <v>61.587878787878793</v>
      </c>
      <c r="Q113" s="4">
        <f>'4.1 Comptes 2020 natures'!Q113/'4.1 Comptes 2020 natures'!Q2</f>
        <v>35.648148148148145</v>
      </c>
      <c r="R113" s="4">
        <f>'4.1 Comptes 2020 natures'!R113/'4.1 Comptes 2020 natures'!R2</f>
        <v>3.9036144578313254</v>
      </c>
      <c r="S113" s="4">
        <f>'4.1 Comptes 2020 natures'!S113/'4.1 Comptes 2020 natures'!S2</f>
        <v>33.696275071633238</v>
      </c>
      <c r="T113" s="4">
        <f>'4.1 Comptes 2020 natures'!T113/'4.1 Comptes 2020 natures'!T2</f>
        <v>6.7831149927219796</v>
      </c>
      <c r="U113" s="4">
        <f>'4.1 Comptes 2020 natures'!U113/'4.1 Comptes 2020 natures'!U2</f>
        <v>124.69803921568628</v>
      </c>
      <c r="V113" s="4">
        <f>'4.1 Comptes 2020 natures'!V113/'4.1 Comptes 2020 natures'!V2</f>
        <v>53.646788990825691</v>
      </c>
      <c r="W113" s="4">
        <f>'4.1 Comptes 2020 natures'!W113/'4.1 Comptes 2020 natures'!W2</f>
        <v>53.476457680250782</v>
      </c>
      <c r="X113" s="4">
        <f>'4.1 Comptes 2020 natures'!X113/'4.1 Comptes 2020 natures'!X2</f>
        <v>145.37361111111113</v>
      </c>
      <c r="Y113" s="4">
        <f>'4.1 Comptes 2020 natures'!Y113/'4.1 Comptes 2020 natures'!Y2</f>
        <v>15.401284109149278</v>
      </c>
      <c r="Z113" s="4">
        <f>'4.1 Comptes 2020 natures'!Z113/'4.1 Comptes 2020 natures'!Z2</f>
        <v>10.890935863874345</v>
      </c>
      <c r="AA113" s="4">
        <f>'4.1 Comptes 2020 natures'!AA113/'4.1 Comptes 2020 natures'!AA2</f>
        <v>264.95</v>
      </c>
      <c r="AB113" s="4">
        <f>'4.1 Comptes 2020 natures'!AB113/'4.1 Comptes 2020 natures'!AB2</f>
        <v>0</v>
      </c>
      <c r="AC113" s="4">
        <f>'4.1 Comptes 2020 natures'!AC113/'4.1 Comptes 2020 natures'!AC2</f>
        <v>79.585271317829452</v>
      </c>
      <c r="AD113" s="4">
        <f>'4.1 Comptes 2020 natures'!AD113/'4.1 Comptes 2020 natures'!AD2</f>
        <v>95.852459016393439</v>
      </c>
      <c r="AE113" s="4">
        <f>'4.1 Comptes 2020 natures'!AE113/'4.1 Comptes 2020 natures'!AE2</f>
        <v>15.716783216783217</v>
      </c>
      <c r="AF113" s="4">
        <f>'4.1 Comptes 2020 natures'!AF113/'4.1 Comptes 2020 natures'!AF2</f>
        <v>98.234693877551024</v>
      </c>
      <c r="AG113" s="4">
        <f>'4.1 Comptes 2020 natures'!AG113/'4.1 Comptes 2020 natures'!AG2</f>
        <v>41.095350052246602</v>
      </c>
      <c r="AH113" s="4">
        <f>'4.1 Comptes 2020 natures'!AH113/'4.1 Comptes 2020 natures'!AH2</f>
        <v>69.310038240917777</v>
      </c>
      <c r="AI113" s="4">
        <f>'4.1 Comptes 2020 natures'!AI113/'4.1 Comptes 2020 natures'!AI2</f>
        <v>61.298678414096912</v>
      </c>
      <c r="AJ113" s="4">
        <f>'4.1 Comptes 2020 natures'!AJ113/'4.1 Comptes 2020 natures'!AJ2</f>
        <v>4.5801526717557248</v>
      </c>
      <c r="AK113" s="4">
        <f>'4.1 Comptes 2020 natures'!AK113/'4.1 Comptes 2020 natures'!AK2</f>
        <v>9.9376517150395767</v>
      </c>
      <c r="AL113" s="4">
        <f>'4.1 Comptes 2020 natures'!AL113/'4.1 Comptes 2020 natures'!AL2</f>
        <v>231.6881938325991</v>
      </c>
      <c r="AM113" s="4">
        <f>'4.1 Comptes 2020 natures'!AM113/'4.1 Comptes 2020 natures'!AM2</f>
        <v>39.564061240934727</v>
      </c>
      <c r="AN113" s="4">
        <f>'4.1 Comptes 2020 natures'!AN113/'4.1 Comptes 2020 natures'!AN2</f>
        <v>73</v>
      </c>
      <c r="AO113" s="4">
        <f>'4.1 Comptes 2020 natures'!AO113/'4.1 Comptes 2020 natures'!AO2</f>
        <v>32.282594142259413</v>
      </c>
      <c r="AP113" s="4">
        <f>'4.1 Comptes 2020 natures'!AP113/'4.1 Comptes 2020 natures'!AP2</f>
        <v>103.94879336349925</v>
      </c>
      <c r="AQ113" s="4">
        <f>'4.1 Comptes 2020 natures'!AQ113/'4.1 Comptes 2020 natures'!AQ2</f>
        <v>27.276666666666667</v>
      </c>
      <c r="AR113" s="4">
        <f>'4.1 Comptes 2020 natures'!AR113/'4.1 Comptes 2020 natures'!AR2</f>
        <v>99.831116389548697</v>
      </c>
      <c r="AS113" s="4">
        <f>'4.1 Comptes 2020 natures'!AS113/'4.1 Comptes 2020 natures'!AS2</f>
        <v>60.693851351351348</v>
      </c>
      <c r="AT113" s="4">
        <f>'4.1 Comptes 2020 natures'!AT113/'4.1 Comptes 2020 natures'!AT2</f>
        <v>66.466974708171207</v>
      </c>
      <c r="AU113" s="4">
        <f>'4.1 Comptes 2020 natures'!AU113/'4.1 Comptes 2020 natures'!AU2</f>
        <v>42.038216560509554</v>
      </c>
      <c r="AV113" s="4">
        <f>'4.1 Comptes 2020 natures'!AV113/'4.1 Comptes 2020 natures'!AV2</f>
        <v>33.832750000000004</v>
      </c>
      <c r="AW113" s="4">
        <f>'4.1 Comptes 2020 natures'!AW113/'4.1 Comptes 2020 natures'!AW2</f>
        <v>13.721854304635762</v>
      </c>
      <c r="AX113" s="4">
        <f>'4.1 Comptes 2020 natures'!AX113/'4.1 Comptes 2020 natures'!AX2</f>
        <v>61.179005524861878</v>
      </c>
      <c r="AY113" s="4">
        <f>'4.1 Comptes 2020 natures'!AY113/'4.1 Comptes 2020 natures'!AY2</f>
        <v>22.697406340057636</v>
      </c>
      <c r="AZ113" s="4">
        <f>'4.1 Comptes 2020 natures'!AZ113/'4.1 Comptes 2020 natures'!AZ2</f>
        <v>18.497041420118343</v>
      </c>
      <c r="BA113" s="4">
        <f>'4.1 Comptes 2020 natures'!BA113/'4.1 Comptes 2020 natures'!BA2</f>
        <v>0.77519379844961245</v>
      </c>
      <c r="BB113" s="4">
        <f>'4.1 Comptes 2020 natures'!BB113/'4.1 Comptes 2020 natures'!BB2</f>
        <v>92.806341240875909</v>
      </c>
      <c r="BC113" s="4">
        <f>'4.1 Comptes 2020 natures'!BC113/'4.1 Comptes 2020 natures'!BC2</f>
        <v>39.939627659574469</v>
      </c>
      <c r="BD113" s="4">
        <f>'4.1 Comptes 2020 natures'!BD113/'4.1 Comptes 2020 natures'!BD2</f>
        <v>167.72146409698476</v>
      </c>
      <c r="BE113" s="4">
        <f>'4.1 Comptes 2020 natures'!BE113/'4.1 Comptes 2020 natures'!BE2</f>
        <v>18.959821428571427</v>
      </c>
      <c r="BF113" s="4">
        <f t="shared" si="68"/>
        <v>2866.4037466177538</v>
      </c>
      <c r="BG113" s="4">
        <f t="shared" si="69"/>
        <v>707.25586294133586</v>
      </c>
      <c r="BH113" s="4">
        <f t="shared" si="70"/>
        <v>902.28925789170898</v>
      </c>
      <c r="BI113" s="4">
        <f t="shared" si="71"/>
        <v>1256.8586257847094</v>
      </c>
    </row>
    <row r="114" spans="2:61" x14ac:dyDescent="0.3">
      <c r="C114">
        <v>448</v>
      </c>
      <c r="D114" t="s">
        <v>170</v>
      </c>
      <c r="E114" s="4">
        <f>'4.1 Comptes 2020 natures'!E114/'4.1 Comptes 2020 natures'!E2</f>
        <v>0</v>
      </c>
      <c r="F114" s="4">
        <f>'4.1 Comptes 2020 natures'!F114/'4.1 Comptes 2020 natures'!F2</f>
        <v>0</v>
      </c>
      <c r="G114" s="4">
        <f>'4.1 Comptes 2020 natures'!G114/'4.1 Comptes 2020 natures'!G2</f>
        <v>0</v>
      </c>
      <c r="H114" s="4">
        <f>'4.1 Comptes 2020 natures'!H114/'4.1 Comptes 2020 natures'!H2</f>
        <v>0</v>
      </c>
      <c r="I114" s="4">
        <f>'4.1 Comptes 2020 natures'!I114/'4.1 Comptes 2020 natures'!I2</f>
        <v>0</v>
      </c>
      <c r="J114" s="4">
        <f>'4.1 Comptes 2020 natures'!J114/'4.1 Comptes 2020 natures'!J2</f>
        <v>0</v>
      </c>
      <c r="K114" s="4">
        <f>'4.1 Comptes 2020 natures'!K114/'4.1 Comptes 2020 natures'!K2</f>
        <v>0</v>
      </c>
      <c r="L114" s="4">
        <f>'4.1 Comptes 2020 natures'!L114/'4.1 Comptes 2020 natures'!L2</f>
        <v>0</v>
      </c>
      <c r="M114" s="4">
        <f>'4.1 Comptes 2020 natures'!M114/'4.1 Comptes 2020 natures'!M2</f>
        <v>0</v>
      </c>
      <c r="N114" s="4">
        <f>'4.1 Comptes 2020 natures'!N114/'4.1 Comptes 2020 natures'!N2</f>
        <v>0</v>
      </c>
      <c r="O114" s="4">
        <f>'4.1 Comptes 2020 natures'!O114/'4.1 Comptes 2020 natures'!O2</f>
        <v>0</v>
      </c>
      <c r="P114" s="4">
        <f>'4.1 Comptes 2020 natures'!P114/'4.1 Comptes 2020 natures'!P2</f>
        <v>0</v>
      </c>
      <c r="Q114" s="4">
        <f>'4.1 Comptes 2020 natures'!Q114/'4.1 Comptes 2020 natures'!Q2</f>
        <v>0</v>
      </c>
      <c r="R114" s="4">
        <f>'4.1 Comptes 2020 natures'!R114/'4.1 Comptes 2020 natures'!R2</f>
        <v>0</v>
      </c>
      <c r="S114" s="4">
        <f>'4.1 Comptes 2020 natures'!S114/'4.1 Comptes 2020 natures'!S2</f>
        <v>0</v>
      </c>
      <c r="T114" s="4">
        <f>'4.1 Comptes 2020 natures'!T114/'4.1 Comptes 2020 natures'!T2</f>
        <v>0</v>
      </c>
      <c r="U114" s="4">
        <f>'4.1 Comptes 2020 natures'!U114/'4.1 Comptes 2020 natures'!U2</f>
        <v>0</v>
      </c>
      <c r="V114" s="4">
        <f>'4.1 Comptes 2020 natures'!V114/'4.1 Comptes 2020 natures'!V2</f>
        <v>0</v>
      </c>
      <c r="W114" s="4">
        <f>'4.1 Comptes 2020 natures'!W114/'4.1 Comptes 2020 natures'!W2</f>
        <v>0</v>
      </c>
      <c r="X114" s="4">
        <f>'4.1 Comptes 2020 natures'!X114/'4.1 Comptes 2020 natures'!X2</f>
        <v>0.38580246913580246</v>
      </c>
      <c r="Y114" s="4">
        <f>'4.1 Comptes 2020 natures'!Y114/'4.1 Comptes 2020 natures'!Y2</f>
        <v>0</v>
      </c>
      <c r="Z114" s="4">
        <f>'4.1 Comptes 2020 natures'!Z114/'4.1 Comptes 2020 natures'!Z2</f>
        <v>0</v>
      </c>
      <c r="AA114" s="4">
        <f>'4.1 Comptes 2020 natures'!AA114/'4.1 Comptes 2020 natures'!AA2</f>
        <v>0</v>
      </c>
      <c r="AB114" s="4">
        <f>'4.1 Comptes 2020 natures'!AB114/'4.1 Comptes 2020 natures'!AB2</f>
        <v>0</v>
      </c>
      <c r="AC114" s="4">
        <f>'4.1 Comptes 2020 natures'!AC114/'4.1 Comptes 2020 natures'!AC2</f>
        <v>0</v>
      </c>
      <c r="AD114" s="4">
        <f>'4.1 Comptes 2020 natures'!AD114/'4.1 Comptes 2020 natures'!AD2</f>
        <v>0</v>
      </c>
      <c r="AE114" s="4">
        <f>'4.1 Comptes 2020 natures'!AE114/'4.1 Comptes 2020 natures'!AE2</f>
        <v>0</v>
      </c>
      <c r="AF114" s="4">
        <f>'4.1 Comptes 2020 natures'!AF114/'4.1 Comptes 2020 natures'!AF2</f>
        <v>0</v>
      </c>
      <c r="AG114" s="4">
        <f>'4.1 Comptes 2020 natures'!AG114/'4.1 Comptes 2020 natures'!AG2</f>
        <v>0</v>
      </c>
      <c r="AH114" s="4">
        <f>'4.1 Comptes 2020 natures'!AH114/'4.1 Comptes 2020 natures'!AH2</f>
        <v>0</v>
      </c>
      <c r="AI114" s="4">
        <f>'4.1 Comptes 2020 natures'!AI114/'4.1 Comptes 2020 natures'!AI2</f>
        <v>0</v>
      </c>
      <c r="AJ114" s="4">
        <f>'4.1 Comptes 2020 natures'!AJ114/'4.1 Comptes 2020 natures'!AJ2</f>
        <v>0</v>
      </c>
      <c r="AK114" s="4">
        <f>'4.1 Comptes 2020 natures'!AK114/'4.1 Comptes 2020 natures'!AK2</f>
        <v>0</v>
      </c>
      <c r="AL114" s="4">
        <f>'4.1 Comptes 2020 natures'!AL114/'4.1 Comptes 2020 natures'!AL2</f>
        <v>0</v>
      </c>
      <c r="AM114" s="4">
        <f>'4.1 Comptes 2020 natures'!AM114/'4.1 Comptes 2020 natures'!AM2</f>
        <v>0</v>
      </c>
      <c r="AN114" s="4">
        <f>'4.1 Comptes 2020 natures'!AN114/'4.1 Comptes 2020 natures'!AN2</f>
        <v>0</v>
      </c>
      <c r="AO114" s="4">
        <f>'4.1 Comptes 2020 natures'!AO114/'4.1 Comptes 2020 natures'!AO2</f>
        <v>0</v>
      </c>
      <c r="AP114" s="4">
        <f>'4.1 Comptes 2020 natures'!AP114/'4.1 Comptes 2020 natures'!AP2</f>
        <v>0</v>
      </c>
      <c r="AQ114" s="4">
        <f>'4.1 Comptes 2020 natures'!AQ114/'4.1 Comptes 2020 natures'!AQ2</f>
        <v>0</v>
      </c>
      <c r="AR114" s="4">
        <f>'4.1 Comptes 2020 natures'!AR114/'4.1 Comptes 2020 natures'!AR2</f>
        <v>0</v>
      </c>
      <c r="AS114" s="4">
        <f>'4.1 Comptes 2020 natures'!AS114/'4.1 Comptes 2020 natures'!AS2</f>
        <v>0</v>
      </c>
      <c r="AT114" s="4">
        <f>'4.1 Comptes 2020 natures'!AT114/'4.1 Comptes 2020 natures'!AT2</f>
        <v>0</v>
      </c>
      <c r="AU114" s="4">
        <f>'4.1 Comptes 2020 natures'!AU114/'4.1 Comptes 2020 natures'!AU2</f>
        <v>0</v>
      </c>
      <c r="AV114" s="4">
        <f>'4.1 Comptes 2020 natures'!AV114/'4.1 Comptes 2020 natures'!AV2</f>
        <v>0</v>
      </c>
      <c r="AW114" s="4">
        <f>'4.1 Comptes 2020 natures'!AW114/'4.1 Comptes 2020 natures'!AW2</f>
        <v>0</v>
      </c>
      <c r="AX114" s="4">
        <f>'4.1 Comptes 2020 natures'!AX114/'4.1 Comptes 2020 natures'!AX2</f>
        <v>0</v>
      </c>
      <c r="AY114" s="4">
        <f>'4.1 Comptes 2020 natures'!AY114/'4.1 Comptes 2020 natures'!AY2</f>
        <v>0</v>
      </c>
      <c r="AZ114" s="4">
        <f>'4.1 Comptes 2020 natures'!AZ114/'4.1 Comptes 2020 natures'!AZ2</f>
        <v>0</v>
      </c>
      <c r="BA114" s="4">
        <f>'4.1 Comptes 2020 natures'!BA114/'4.1 Comptes 2020 natures'!BA2</f>
        <v>0</v>
      </c>
      <c r="BB114" s="4">
        <f>'4.1 Comptes 2020 natures'!BB114/'4.1 Comptes 2020 natures'!BB2</f>
        <v>0</v>
      </c>
      <c r="BC114" s="4">
        <f>'4.1 Comptes 2020 natures'!BC114/'4.1 Comptes 2020 natures'!BC2</f>
        <v>0</v>
      </c>
      <c r="BD114" s="4">
        <f>'4.1 Comptes 2020 natures'!BD114/'4.1 Comptes 2020 natures'!BD2</f>
        <v>0</v>
      </c>
      <c r="BE114" s="4">
        <f>'4.1 Comptes 2020 natures'!BE114/'4.1 Comptes 2020 natures'!BE2</f>
        <v>0</v>
      </c>
      <c r="BF114" s="4">
        <f t="shared" si="68"/>
        <v>0.38580246913580246</v>
      </c>
      <c r="BG114" s="4">
        <f t="shared" si="69"/>
        <v>0</v>
      </c>
      <c r="BH114" s="4">
        <f t="shared" si="70"/>
        <v>0.38580246913580246</v>
      </c>
      <c r="BI114" s="4">
        <f t="shared" si="71"/>
        <v>0</v>
      </c>
    </row>
    <row r="115" spans="2:61" x14ac:dyDescent="0.3">
      <c r="C115">
        <v>449</v>
      </c>
      <c r="D115" t="s">
        <v>171</v>
      </c>
      <c r="E115" s="4">
        <f>'4.1 Comptes 2020 natures'!E115/'4.1 Comptes 2020 natures'!E2</f>
        <v>0</v>
      </c>
      <c r="F115" s="4">
        <f>'4.1 Comptes 2020 natures'!F115/'4.1 Comptes 2020 natures'!F2</f>
        <v>0</v>
      </c>
      <c r="G115" s="4">
        <f>'4.1 Comptes 2020 natures'!G115/'4.1 Comptes 2020 natures'!G2</f>
        <v>0</v>
      </c>
      <c r="H115" s="4">
        <f>'4.1 Comptes 2020 natures'!H115/'4.1 Comptes 2020 natures'!H2</f>
        <v>0</v>
      </c>
      <c r="I115" s="4">
        <f>'4.1 Comptes 2020 natures'!I115/'4.1 Comptes 2020 natures'!I2</f>
        <v>0</v>
      </c>
      <c r="J115" s="4">
        <f>'4.1 Comptes 2020 natures'!J115/'4.1 Comptes 2020 natures'!J2</f>
        <v>0</v>
      </c>
      <c r="K115" s="4">
        <f>'4.1 Comptes 2020 natures'!K115/'4.1 Comptes 2020 natures'!K2</f>
        <v>0</v>
      </c>
      <c r="L115" s="4">
        <f>'4.1 Comptes 2020 natures'!L115/'4.1 Comptes 2020 natures'!L2</f>
        <v>0</v>
      </c>
      <c r="M115" s="4">
        <f>'4.1 Comptes 2020 natures'!M115/'4.1 Comptes 2020 natures'!M2</f>
        <v>0</v>
      </c>
      <c r="N115" s="4">
        <f>'4.1 Comptes 2020 natures'!N115/'4.1 Comptes 2020 natures'!N2</f>
        <v>0</v>
      </c>
      <c r="O115" s="4">
        <f>'4.1 Comptes 2020 natures'!O115/'4.1 Comptes 2020 natures'!O2</f>
        <v>0.35630249755825311</v>
      </c>
      <c r="P115" s="4">
        <f>'4.1 Comptes 2020 natures'!P115/'4.1 Comptes 2020 natures'!P2</f>
        <v>0</v>
      </c>
      <c r="Q115" s="4">
        <f>'4.1 Comptes 2020 natures'!Q115/'4.1 Comptes 2020 natures'!Q2</f>
        <v>0</v>
      </c>
      <c r="R115" s="4">
        <f>'4.1 Comptes 2020 natures'!R115/'4.1 Comptes 2020 natures'!R2</f>
        <v>0</v>
      </c>
      <c r="S115" s="4">
        <f>'4.1 Comptes 2020 natures'!S115/'4.1 Comptes 2020 natures'!S2</f>
        <v>0</v>
      </c>
      <c r="T115" s="4">
        <f>'4.1 Comptes 2020 natures'!T115/'4.1 Comptes 2020 natures'!T2</f>
        <v>0</v>
      </c>
      <c r="U115" s="4">
        <f>'4.1 Comptes 2020 natures'!U115/'4.1 Comptes 2020 natures'!U2</f>
        <v>0</v>
      </c>
      <c r="V115" s="4">
        <f>'4.1 Comptes 2020 natures'!V115/'4.1 Comptes 2020 natures'!V2</f>
        <v>0</v>
      </c>
      <c r="W115" s="4">
        <f>'4.1 Comptes 2020 natures'!W115/'4.1 Comptes 2020 natures'!W2</f>
        <v>0</v>
      </c>
      <c r="X115" s="4">
        <f>'4.1 Comptes 2020 natures'!X115/'4.1 Comptes 2020 natures'!X2</f>
        <v>0</v>
      </c>
      <c r="Y115" s="4">
        <f>'4.1 Comptes 2020 natures'!Y115/'4.1 Comptes 2020 natures'!Y2</f>
        <v>0</v>
      </c>
      <c r="Z115" s="4">
        <f>'4.1 Comptes 2020 natures'!Z115/'4.1 Comptes 2020 natures'!Z2</f>
        <v>54.973821989528794</v>
      </c>
      <c r="AA115" s="4">
        <f>'4.1 Comptes 2020 natures'!AA115/'4.1 Comptes 2020 natures'!AA2</f>
        <v>0</v>
      </c>
      <c r="AB115" s="4">
        <f>'4.1 Comptes 2020 natures'!AB115/'4.1 Comptes 2020 natures'!AB2</f>
        <v>0</v>
      </c>
      <c r="AC115" s="4">
        <f>'4.1 Comptes 2020 natures'!AC115/'4.1 Comptes 2020 natures'!AC2</f>
        <v>0</v>
      </c>
      <c r="AD115" s="4">
        <f>'4.1 Comptes 2020 natures'!AD115/'4.1 Comptes 2020 natures'!AD2</f>
        <v>0</v>
      </c>
      <c r="AE115" s="4">
        <f>'4.1 Comptes 2020 natures'!AE115/'4.1 Comptes 2020 natures'!AE2</f>
        <v>0</v>
      </c>
      <c r="AF115" s="4">
        <f>'4.1 Comptes 2020 natures'!AF115/'4.1 Comptes 2020 natures'!AF2</f>
        <v>0</v>
      </c>
      <c r="AG115" s="4">
        <f>'4.1 Comptes 2020 natures'!AG115/'4.1 Comptes 2020 natures'!AG2</f>
        <v>1.6248693834900732E-3</v>
      </c>
      <c r="AH115" s="4">
        <f>'4.1 Comptes 2020 natures'!AH115/'4.1 Comptes 2020 natures'!AH2</f>
        <v>0</v>
      </c>
      <c r="AI115" s="4">
        <f>'4.1 Comptes 2020 natures'!AI115/'4.1 Comptes 2020 natures'!AI2</f>
        <v>0</v>
      </c>
      <c r="AJ115" s="4">
        <f>'4.1 Comptes 2020 natures'!AJ115/'4.1 Comptes 2020 natures'!AJ2</f>
        <v>0</v>
      </c>
      <c r="AK115" s="4">
        <f>'4.1 Comptes 2020 natures'!AK115/'4.1 Comptes 2020 natures'!AK2</f>
        <v>0</v>
      </c>
      <c r="AL115" s="4">
        <f>'4.1 Comptes 2020 natures'!AL115/'4.1 Comptes 2020 natures'!AL2</f>
        <v>1.4158590308370045</v>
      </c>
      <c r="AM115" s="4">
        <f>'4.1 Comptes 2020 natures'!AM115/'4.1 Comptes 2020 natures'!AM2</f>
        <v>0</v>
      </c>
      <c r="AN115" s="4">
        <f>'4.1 Comptes 2020 natures'!AN115/'4.1 Comptes 2020 natures'!AN2</f>
        <v>0</v>
      </c>
      <c r="AO115" s="4">
        <f>'4.1 Comptes 2020 natures'!AO115/'4.1 Comptes 2020 natures'!AO2</f>
        <v>0</v>
      </c>
      <c r="AP115" s="4">
        <f>'4.1 Comptes 2020 natures'!AP115/'4.1 Comptes 2020 natures'!AP2</f>
        <v>0</v>
      </c>
      <c r="AQ115" s="4">
        <f>'4.1 Comptes 2020 natures'!AQ115/'4.1 Comptes 2020 natures'!AQ2</f>
        <v>0</v>
      </c>
      <c r="AR115" s="4">
        <f>'4.1 Comptes 2020 natures'!AR115/'4.1 Comptes 2020 natures'!AR2</f>
        <v>0</v>
      </c>
      <c r="AS115" s="4">
        <f>'4.1 Comptes 2020 natures'!AS115/'4.1 Comptes 2020 natures'!AS2</f>
        <v>0</v>
      </c>
      <c r="AT115" s="4">
        <f>'4.1 Comptes 2020 natures'!AT115/'4.1 Comptes 2020 natures'!AT2</f>
        <v>0</v>
      </c>
      <c r="AU115" s="4">
        <f>'4.1 Comptes 2020 natures'!AU115/'4.1 Comptes 2020 natures'!AU2</f>
        <v>0.29633757961783441</v>
      </c>
      <c r="AV115" s="4">
        <f>'4.1 Comptes 2020 natures'!AV115/'4.1 Comptes 2020 natures'!AV2</f>
        <v>125.04342083333334</v>
      </c>
      <c r="AW115" s="4">
        <f>'4.1 Comptes 2020 natures'!AW115/'4.1 Comptes 2020 natures'!AW2</f>
        <v>0</v>
      </c>
      <c r="AX115" s="4">
        <f>'4.1 Comptes 2020 natures'!AX115/'4.1 Comptes 2020 natures'!AX2</f>
        <v>0</v>
      </c>
      <c r="AY115" s="4">
        <f>'4.1 Comptes 2020 natures'!AY115/'4.1 Comptes 2020 natures'!AY2</f>
        <v>0</v>
      </c>
      <c r="AZ115" s="4">
        <f>'4.1 Comptes 2020 natures'!AZ115/'4.1 Comptes 2020 natures'!AZ2</f>
        <v>0</v>
      </c>
      <c r="BA115" s="4">
        <f>'4.1 Comptes 2020 natures'!BA115/'4.1 Comptes 2020 natures'!BA2</f>
        <v>0.51679586563307489</v>
      </c>
      <c r="BB115" s="4">
        <f>'4.1 Comptes 2020 natures'!BB115/'4.1 Comptes 2020 natures'!BB2</f>
        <v>0</v>
      </c>
      <c r="BC115" s="4">
        <f>'4.1 Comptes 2020 natures'!BC115/'4.1 Comptes 2020 natures'!BC2</f>
        <v>0</v>
      </c>
      <c r="BD115" s="4">
        <f>'4.1 Comptes 2020 natures'!BD115/'4.1 Comptes 2020 natures'!BD2</f>
        <v>0.11715573515697855</v>
      </c>
      <c r="BE115" s="4">
        <f>'4.1 Comptes 2020 natures'!BE115/'4.1 Comptes 2020 natures'!BE2</f>
        <v>0</v>
      </c>
      <c r="BF115" s="4">
        <f t="shared" si="68"/>
        <v>182.72131840104879</v>
      </c>
      <c r="BG115" s="4">
        <f t="shared" si="69"/>
        <v>0.35630249755825311</v>
      </c>
      <c r="BH115" s="4">
        <f t="shared" si="70"/>
        <v>54.975446858912285</v>
      </c>
      <c r="BI115" s="4">
        <f t="shared" si="71"/>
        <v>127.38956904457824</v>
      </c>
    </row>
    <row r="116" spans="2:61" x14ac:dyDescent="0.3">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3">
      <c r="B117" s="96">
        <v>45</v>
      </c>
      <c r="C117" s="96"/>
      <c r="D117" s="96" t="s">
        <v>174</v>
      </c>
      <c r="E117" s="91">
        <f>E118+E119</f>
        <v>2.8303900325027085</v>
      </c>
      <c r="F117" s="91">
        <f t="shared" ref="F117:BI117" si="72">F118+F119</f>
        <v>0</v>
      </c>
      <c r="G117" s="91">
        <f t="shared" si="72"/>
        <v>108.3261855670103</v>
      </c>
      <c r="H117" s="91">
        <f t="shared" si="72"/>
        <v>198.85708520179372</v>
      </c>
      <c r="I117" s="91">
        <f t="shared" si="72"/>
        <v>3.5916001101624895</v>
      </c>
      <c r="J117" s="91">
        <f t="shared" si="72"/>
        <v>2.791306972532448</v>
      </c>
      <c r="K117" s="91">
        <f t="shared" si="72"/>
        <v>9.6671142208774583</v>
      </c>
      <c r="L117" s="91">
        <f t="shared" si="72"/>
        <v>3.2660762402916466</v>
      </c>
      <c r="M117" s="91">
        <f t="shared" si="72"/>
        <v>2.8419766593727207</v>
      </c>
      <c r="N117" s="91">
        <f t="shared" si="72"/>
        <v>0</v>
      </c>
      <c r="O117" s="91">
        <f t="shared" si="72"/>
        <v>2.7741732942653829</v>
      </c>
      <c r="P117" s="91">
        <f t="shared" si="72"/>
        <v>54.618560606060605</v>
      </c>
      <c r="Q117" s="91">
        <f t="shared" si="72"/>
        <v>346.16666666666669</v>
      </c>
      <c r="R117" s="91">
        <f t="shared" si="72"/>
        <v>0</v>
      </c>
      <c r="S117" s="91">
        <f t="shared" si="72"/>
        <v>0</v>
      </c>
      <c r="T117" s="91">
        <f t="shared" si="72"/>
        <v>2.7783114992721982</v>
      </c>
      <c r="U117" s="91">
        <f t="shared" si="72"/>
        <v>2.9833333333333334</v>
      </c>
      <c r="V117" s="91">
        <f t="shared" si="72"/>
        <v>2.7889908256880735</v>
      </c>
      <c r="W117" s="91">
        <f t="shared" si="72"/>
        <v>2.8355799373040753</v>
      </c>
      <c r="X117" s="91">
        <f t="shared" si="72"/>
        <v>127.23364197530863</v>
      </c>
      <c r="Y117" s="91">
        <f t="shared" si="72"/>
        <v>2.7891653290529694</v>
      </c>
      <c r="Z117" s="91">
        <f t="shared" si="72"/>
        <v>2.8528664921465974</v>
      </c>
      <c r="AA117" s="91">
        <f t="shared" si="72"/>
        <v>0</v>
      </c>
      <c r="AB117" s="91">
        <f t="shared" si="72"/>
        <v>12.259731543624159</v>
      </c>
      <c r="AC117" s="91">
        <f t="shared" si="72"/>
        <v>34.413856589147287</v>
      </c>
      <c r="AD117" s="91">
        <f t="shared" si="72"/>
        <v>2.8260804769001489</v>
      </c>
      <c r="AE117" s="91">
        <f t="shared" si="72"/>
        <v>2.8372377622377623</v>
      </c>
      <c r="AF117" s="91">
        <f t="shared" si="72"/>
        <v>207.53955102040817</v>
      </c>
      <c r="AG117" s="91">
        <f t="shared" si="72"/>
        <v>30.6598223615465</v>
      </c>
      <c r="AH117" s="91">
        <f t="shared" si="72"/>
        <v>7.1952581261950286</v>
      </c>
      <c r="AI117" s="91">
        <f t="shared" si="72"/>
        <v>1.2378854625550662E-2</v>
      </c>
      <c r="AJ117" s="91">
        <f t="shared" si="72"/>
        <v>104.44274809160305</v>
      </c>
      <c r="AK117" s="91">
        <f t="shared" si="72"/>
        <v>10.267915567282321</v>
      </c>
      <c r="AL117" s="91">
        <f t="shared" si="72"/>
        <v>32.955506607929514</v>
      </c>
      <c r="AM117" s="91">
        <f t="shared" si="72"/>
        <v>0</v>
      </c>
      <c r="AN117" s="91">
        <f t="shared" si="72"/>
        <v>2.7655462184873953</v>
      </c>
      <c r="AO117" s="91">
        <f t="shared" si="72"/>
        <v>25.423138075313808</v>
      </c>
      <c r="AP117" s="91">
        <f t="shared" si="72"/>
        <v>15.796153846153846</v>
      </c>
      <c r="AQ117" s="91">
        <f t="shared" si="72"/>
        <v>2.8322480620155037</v>
      </c>
      <c r="AR117" s="91">
        <f t="shared" si="72"/>
        <v>332.29228028503564</v>
      </c>
      <c r="AS117" s="91">
        <f t="shared" si="72"/>
        <v>104.22027027027028</v>
      </c>
      <c r="AT117" s="91">
        <f t="shared" si="72"/>
        <v>19.513929961089492</v>
      </c>
      <c r="AU117" s="91">
        <f t="shared" si="72"/>
        <v>224.74299363057327</v>
      </c>
      <c r="AV117" s="91">
        <f t="shared" si="72"/>
        <v>2.7920208333333334</v>
      </c>
      <c r="AW117" s="91">
        <f t="shared" si="72"/>
        <v>2.887350993377483</v>
      </c>
      <c r="AX117" s="91">
        <f t="shared" si="72"/>
        <v>2.9279005524861876</v>
      </c>
      <c r="AY117" s="91">
        <f t="shared" si="72"/>
        <v>0</v>
      </c>
      <c r="AZ117" s="91">
        <f t="shared" si="72"/>
        <v>5.7651775147928994</v>
      </c>
      <c r="BA117" s="91">
        <f t="shared" si="72"/>
        <v>0</v>
      </c>
      <c r="BB117" s="91">
        <f t="shared" si="72"/>
        <v>0</v>
      </c>
      <c r="BC117" s="91">
        <f t="shared" si="72"/>
        <v>0</v>
      </c>
      <c r="BD117" s="91">
        <f t="shared" si="72"/>
        <v>0.12759558594964271</v>
      </c>
      <c r="BE117" s="91">
        <f t="shared" si="72"/>
        <v>0.17142857142857143</v>
      </c>
      <c r="BF117" s="91">
        <f t="shared" si="72"/>
        <v>2067.661146365449</v>
      </c>
      <c r="BG117" s="91">
        <f t="shared" si="72"/>
        <v>747.11735116713385</v>
      </c>
      <c r="BH117" s="91">
        <f t="shared" si="72"/>
        <v>535.06233862279578</v>
      </c>
      <c r="BI117" s="91">
        <f t="shared" si="72"/>
        <v>785.48145657551925</v>
      </c>
    </row>
    <row r="118" spans="2:61" x14ac:dyDescent="0.3">
      <c r="C118">
        <v>450</v>
      </c>
      <c r="D118" t="s">
        <v>172</v>
      </c>
      <c r="E118" s="4">
        <f>'4.1 Comptes 2020 natures'!E118/'4.1 Comptes 2020 natures'!E2</f>
        <v>2.8303900325027085</v>
      </c>
      <c r="F118" s="4">
        <f>'4.1 Comptes 2020 natures'!F118/'4.1 Comptes 2020 natures'!F2</f>
        <v>0</v>
      </c>
      <c r="G118" s="4">
        <f>'4.1 Comptes 2020 natures'!G118/'4.1 Comptes 2020 natures'!G2</f>
        <v>0</v>
      </c>
      <c r="H118" s="4">
        <f>'4.1 Comptes 2020 natures'!H118/'4.1 Comptes 2020 natures'!H2</f>
        <v>2.7690582959641254</v>
      </c>
      <c r="I118" s="4">
        <f>'4.1 Comptes 2020 natures'!I118/'4.1 Comptes 2020 natures'!I2</f>
        <v>2.7333654640594878</v>
      </c>
      <c r="J118" s="4">
        <f>'4.1 Comptes 2020 natures'!J118/'4.1 Comptes 2020 natures'!J2</f>
        <v>2.791306972532448</v>
      </c>
      <c r="K118" s="4">
        <f>'4.1 Comptes 2020 natures'!K118/'4.1 Comptes 2020 natures'!K2</f>
        <v>4.8333963691376702</v>
      </c>
      <c r="L118" s="4">
        <f>'4.1 Comptes 2020 natures'!L118/'4.1 Comptes 2020 natures'!L2</f>
        <v>3.2660762402916466</v>
      </c>
      <c r="M118" s="4">
        <f>'4.1 Comptes 2020 natures'!M118/'4.1 Comptes 2020 natures'!M2</f>
        <v>2.8419766593727207</v>
      </c>
      <c r="N118" s="4">
        <f>'4.1 Comptes 2020 natures'!N118/'4.1 Comptes 2020 natures'!N2</f>
        <v>0</v>
      </c>
      <c r="O118" s="4">
        <f>'4.1 Comptes 2020 natures'!O118/'4.1 Comptes 2020 natures'!O2</f>
        <v>2.7741732942653829</v>
      </c>
      <c r="P118" s="4">
        <f>'4.1 Comptes 2020 natures'!P118/'4.1 Comptes 2020 natures'!P2</f>
        <v>0</v>
      </c>
      <c r="Q118" s="4">
        <f>'4.1 Comptes 2020 natures'!Q118/'4.1 Comptes 2020 natures'!Q2</f>
        <v>0</v>
      </c>
      <c r="R118" s="4">
        <f>'4.1 Comptes 2020 natures'!R118/'4.1 Comptes 2020 natures'!R2</f>
        <v>0</v>
      </c>
      <c r="S118" s="4">
        <f>'4.1 Comptes 2020 natures'!S118/'4.1 Comptes 2020 natures'!S2</f>
        <v>0</v>
      </c>
      <c r="T118" s="4">
        <f>'4.1 Comptes 2020 natures'!T118/'4.1 Comptes 2020 natures'!T2</f>
        <v>2.7783114992721982</v>
      </c>
      <c r="U118" s="4">
        <f>'4.1 Comptes 2020 natures'!U118/'4.1 Comptes 2020 natures'!U2</f>
        <v>2.9833333333333334</v>
      </c>
      <c r="V118" s="4">
        <f>'4.1 Comptes 2020 natures'!V118/'4.1 Comptes 2020 natures'!V2</f>
        <v>2.7889908256880735</v>
      </c>
      <c r="W118" s="4">
        <f>'4.1 Comptes 2020 natures'!W118/'4.1 Comptes 2020 natures'!W2</f>
        <v>2.8355799373040753</v>
      </c>
      <c r="X118" s="4">
        <f>'4.1 Comptes 2020 natures'!X118/'4.1 Comptes 2020 natures'!X2</f>
        <v>6.0493827160493829</v>
      </c>
      <c r="Y118" s="4">
        <f>'4.1 Comptes 2020 natures'!Y118/'4.1 Comptes 2020 natures'!Y2</f>
        <v>2.7891653290529694</v>
      </c>
      <c r="Z118" s="4">
        <f>'4.1 Comptes 2020 natures'!Z118/'4.1 Comptes 2020 natures'!Z2</f>
        <v>2.8321989528795815</v>
      </c>
      <c r="AA118" s="4">
        <f>'4.1 Comptes 2020 natures'!AA118/'4.1 Comptes 2020 natures'!AA2</f>
        <v>0</v>
      </c>
      <c r="AB118" s="4">
        <f>'4.1 Comptes 2020 natures'!AB118/'4.1 Comptes 2020 natures'!AB2</f>
        <v>2.841275167785235</v>
      </c>
      <c r="AC118" s="4">
        <f>'4.1 Comptes 2020 natures'!AC118/'4.1 Comptes 2020 natures'!AC2</f>
        <v>0</v>
      </c>
      <c r="AD118" s="4">
        <f>'4.1 Comptes 2020 natures'!AD118/'4.1 Comptes 2020 natures'!AD2</f>
        <v>2.8260804769001489</v>
      </c>
      <c r="AE118" s="4">
        <f>'4.1 Comptes 2020 natures'!AE118/'4.1 Comptes 2020 natures'!AE2</f>
        <v>2.8372377622377623</v>
      </c>
      <c r="AF118" s="4">
        <f>'4.1 Comptes 2020 natures'!AF118/'4.1 Comptes 2020 natures'!AF2</f>
        <v>0</v>
      </c>
      <c r="AG118" s="4">
        <f>'4.1 Comptes 2020 natures'!AG118/'4.1 Comptes 2020 natures'!AG2</f>
        <v>7.9600313479623823</v>
      </c>
      <c r="AH118" s="4">
        <f>'4.1 Comptes 2020 natures'!AH118/'4.1 Comptes 2020 natures'!AH2</f>
        <v>2.8313384321223709</v>
      </c>
      <c r="AI118" s="4">
        <f>'4.1 Comptes 2020 natures'!AI118/'4.1 Comptes 2020 natures'!AI2</f>
        <v>2.2026431718061676E-3</v>
      </c>
      <c r="AJ118" s="4">
        <f>'4.1 Comptes 2020 natures'!AJ118/'4.1 Comptes 2020 natures'!AJ2</f>
        <v>0</v>
      </c>
      <c r="AK118" s="4">
        <f>'4.1 Comptes 2020 natures'!AK118/'4.1 Comptes 2020 natures'!AK2</f>
        <v>9.7402110817941949</v>
      </c>
      <c r="AL118" s="4">
        <f>'4.1 Comptes 2020 natures'!AL118/'4.1 Comptes 2020 natures'!AL2</f>
        <v>0</v>
      </c>
      <c r="AM118" s="4">
        <f>'4.1 Comptes 2020 natures'!AM118/'4.1 Comptes 2020 natures'!AM2</f>
        <v>0</v>
      </c>
      <c r="AN118" s="4">
        <f>'4.1 Comptes 2020 natures'!AN118/'4.1 Comptes 2020 natures'!AN2</f>
        <v>2.7655462184873953</v>
      </c>
      <c r="AO118" s="4">
        <f>'4.1 Comptes 2020 natures'!AO118/'4.1 Comptes 2020 natures'!AO2</f>
        <v>0</v>
      </c>
      <c r="AP118" s="4">
        <f>'4.1 Comptes 2020 natures'!AP118/'4.1 Comptes 2020 natures'!AP2</f>
        <v>0</v>
      </c>
      <c r="AQ118" s="4">
        <f>'4.1 Comptes 2020 natures'!AQ118/'4.1 Comptes 2020 natures'!AQ2</f>
        <v>2.8322480620155037</v>
      </c>
      <c r="AR118" s="4">
        <f>'4.1 Comptes 2020 natures'!AR118/'4.1 Comptes 2020 natures'!AR2</f>
        <v>16.871654790182106</v>
      </c>
      <c r="AS118" s="4">
        <f>'4.1 Comptes 2020 natures'!AS118/'4.1 Comptes 2020 natures'!AS2</f>
        <v>0</v>
      </c>
      <c r="AT118" s="4">
        <f>'4.1 Comptes 2020 natures'!AT118/'4.1 Comptes 2020 natures'!AT2</f>
        <v>19.455252918287936</v>
      </c>
      <c r="AU118" s="4">
        <f>'4.1 Comptes 2020 natures'!AU118/'4.1 Comptes 2020 natures'!AU2</f>
        <v>12.28248407643312</v>
      </c>
      <c r="AV118" s="4">
        <f>'4.1 Comptes 2020 natures'!AV118/'4.1 Comptes 2020 natures'!AV2</f>
        <v>2.7916041666666667</v>
      </c>
      <c r="AW118" s="4">
        <f>'4.1 Comptes 2020 natures'!AW118/'4.1 Comptes 2020 natures'!AW2</f>
        <v>2.887350993377483</v>
      </c>
      <c r="AX118" s="4">
        <f>'4.1 Comptes 2020 natures'!AX118/'4.1 Comptes 2020 natures'!AX2</f>
        <v>2.7939226519337015</v>
      </c>
      <c r="AY118" s="4">
        <f>'4.1 Comptes 2020 natures'!AY118/'4.1 Comptes 2020 natures'!AY2</f>
        <v>0</v>
      </c>
      <c r="AZ118" s="4">
        <f>'4.1 Comptes 2020 natures'!AZ118/'4.1 Comptes 2020 natures'!AZ2</f>
        <v>2.8298816568047336</v>
      </c>
      <c r="BA118" s="4">
        <f>'4.1 Comptes 2020 natures'!BA118/'4.1 Comptes 2020 natures'!BA2</f>
        <v>0</v>
      </c>
      <c r="BB118" s="4">
        <f>'4.1 Comptes 2020 natures'!BB118/'4.1 Comptes 2020 natures'!BB2</f>
        <v>0</v>
      </c>
      <c r="BC118" s="4">
        <f>'4.1 Comptes 2020 natures'!BC118/'4.1 Comptes 2020 natures'!BC2</f>
        <v>0</v>
      </c>
      <c r="BD118" s="4">
        <f>'4.1 Comptes 2020 natures'!BD118/'4.1 Comptes 2020 natures'!BD2</f>
        <v>1.284170034193348</v>
      </c>
      <c r="BE118" s="4">
        <f>'4.1 Comptes 2020 natures'!BE118/'4.1 Comptes 2020 natures'!BE2</f>
        <v>0</v>
      </c>
      <c r="BF118" s="4">
        <f t="shared" ref="BF118:BF119" si="73">SUM(E118:BE118)</f>
        <v>143.72919840206174</v>
      </c>
      <c r="BG118" s="4">
        <f t="shared" ref="BG118:BG119" si="74">SUM(E118:W118)</f>
        <v>36.225958923723873</v>
      </c>
      <c r="BH118" s="4">
        <f t="shared" ref="BH118:BH119" si="75">SUM(X118:AJ118)</f>
        <v>30.968912828161642</v>
      </c>
      <c r="BI118" s="4">
        <f t="shared" ref="BI118:BI119" si="76">SUM(AK118:BE118)</f>
        <v>76.534326650176197</v>
      </c>
    </row>
    <row r="119" spans="2:61" x14ac:dyDescent="0.3">
      <c r="C119">
        <v>451</v>
      </c>
      <c r="D119" t="s">
        <v>173</v>
      </c>
      <c r="E119" s="4">
        <f>'4.1 Comptes 2020 natures'!E119/'4.1 Comptes 2020 natures'!E2</f>
        <v>0</v>
      </c>
      <c r="F119" s="4">
        <f>'4.1 Comptes 2020 natures'!F119/'4.1 Comptes 2020 natures'!F2</f>
        <v>0</v>
      </c>
      <c r="G119" s="4">
        <f>'4.1 Comptes 2020 natures'!G119/'4.1 Comptes 2020 natures'!G2</f>
        <v>108.3261855670103</v>
      </c>
      <c r="H119" s="4">
        <f>'4.1 Comptes 2020 natures'!H119/'4.1 Comptes 2020 natures'!H2</f>
        <v>196.08802690582959</v>
      </c>
      <c r="I119" s="4">
        <f>'4.1 Comptes 2020 natures'!I119/'4.1 Comptes 2020 natures'!I2</f>
        <v>0.85823464610300193</v>
      </c>
      <c r="J119" s="4">
        <f>'4.1 Comptes 2020 natures'!J119/'4.1 Comptes 2020 natures'!J2</f>
        <v>0</v>
      </c>
      <c r="K119" s="4">
        <f>'4.1 Comptes 2020 natures'!K119/'4.1 Comptes 2020 natures'!K2</f>
        <v>4.8337178517397881</v>
      </c>
      <c r="L119" s="4">
        <f>'4.1 Comptes 2020 natures'!L119/'4.1 Comptes 2020 natures'!L2</f>
        <v>0</v>
      </c>
      <c r="M119" s="4">
        <f>'4.1 Comptes 2020 natures'!M119/'4.1 Comptes 2020 natures'!M2</f>
        <v>0</v>
      </c>
      <c r="N119" s="4">
        <f>'4.1 Comptes 2020 natures'!N119/'4.1 Comptes 2020 natures'!N2</f>
        <v>0</v>
      </c>
      <c r="O119" s="4">
        <f>'4.1 Comptes 2020 natures'!O119/'4.1 Comptes 2020 natures'!O2</f>
        <v>0</v>
      </c>
      <c r="P119" s="4">
        <f>'4.1 Comptes 2020 natures'!P119/'4.1 Comptes 2020 natures'!P2</f>
        <v>54.618560606060605</v>
      </c>
      <c r="Q119" s="4">
        <f>'4.1 Comptes 2020 natures'!Q119/'4.1 Comptes 2020 natures'!Q2</f>
        <v>346.16666666666669</v>
      </c>
      <c r="R119" s="4">
        <f>'4.1 Comptes 2020 natures'!R119/'4.1 Comptes 2020 natures'!R2</f>
        <v>0</v>
      </c>
      <c r="S119" s="4">
        <f>'4.1 Comptes 2020 natures'!S119/'4.1 Comptes 2020 natures'!S2</f>
        <v>0</v>
      </c>
      <c r="T119" s="4">
        <f>'4.1 Comptes 2020 natures'!T119/'4.1 Comptes 2020 natures'!T2</f>
        <v>0</v>
      </c>
      <c r="U119" s="4">
        <f>'4.1 Comptes 2020 natures'!U119/'4.1 Comptes 2020 natures'!U2</f>
        <v>0</v>
      </c>
      <c r="V119" s="4">
        <f>'4.1 Comptes 2020 natures'!V119/'4.1 Comptes 2020 natures'!V2</f>
        <v>0</v>
      </c>
      <c r="W119" s="4">
        <f>'4.1 Comptes 2020 natures'!W119/'4.1 Comptes 2020 natures'!W2</f>
        <v>0</v>
      </c>
      <c r="X119" s="4">
        <f>'4.1 Comptes 2020 natures'!X119/'4.1 Comptes 2020 natures'!X2</f>
        <v>121.18425925925925</v>
      </c>
      <c r="Y119" s="4">
        <f>'4.1 Comptes 2020 natures'!Y119/'4.1 Comptes 2020 natures'!Y2</f>
        <v>0</v>
      </c>
      <c r="Z119" s="4">
        <f>'4.1 Comptes 2020 natures'!Z119/'4.1 Comptes 2020 natures'!Z2</f>
        <v>2.0667539267015707E-2</v>
      </c>
      <c r="AA119" s="4">
        <f>'4.1 Comptes 2020 natures'!AA119/'4.1 Comptes 2020 natures'!AA2</f>
        <v>0</v>
      </c>
      <c r="AB119" s="4">
        <f>'4.1 Comptes 2020 natures'!AB119/'4.1 Comptes 2020 natures'!AB2</f>
        <v>9.4184563758389253</v>
      </c>
      <c r="AC119" s="4">
        <f>'4.1 Comptes 2020 natures'!AC119/'4.1 Comptes 2020 natures'!AC2</f>
        <v>34.413856589147287</v>
      </c>
      <c r="AD119" s="4">
        <f>'4.1 Comptes 2020 natures'!AD119/'4.1 Comptes 2020 natures'!AD2</f>
        <v>0</v>
      </c>
      <c r="AE119" s="4">
        <f>'4.1 Comptes 2020 natures'!AE119/'4.1 Comptes 2020 natures'!AE2</f>
        <v>0</v>
      </c>
      <c r="AF119" s="4">
        <f>'4.1 Comptes 2020 natures'!AF119/'4.1 Comptes 2020 natures'!AF2</f>
        <v>207.53955102040817</v>
      </c>
      <c r="AG119" s="4">
        <f>'4.1 Comptes 2020 natures'!AG119/'4.1 Comptes 2020 natures'!AG2</f>
        <v>22.699791013584118</v>
      </c>
      <c r="AH119" s="4">
        <f>'4.1 Comptes 2020 natures'!AH119/'4.1 Comptes 2020 natures'!AH2</f>
        <v>4.3639196940726572</v>
      </c>
      <c r="AI119" s="4">
        <f>'4.1 Comptes 2020 natures'!AI119/'4.1 Comptes 2020 natures'!AI2</f>
        <v>1.0176211453744494E-2</v>
      </c>
      <c r="AJ119" s="4">
        <f>'4.1 Comptes 2020 natures'!AJ119/'4.1 Comptes 2020 natures'!AJ2</f>
        <v>104.44274809160305</v>
      </c>
      <c r="AK119" s="4">
        <f>'4.1 Comptes 2020 natures'!AK119/'4.1 Comptes 2020 natures'!AK2</f>
        <v>0.52770448548812665</v>
      </c>
      <c r="AL119" s="4">
        <f>'4.1 Comptes 2020 natures'!AL119/'4.1 Comptes 2020 natures'!AL2</f>
        <v>32.955506607929514</v>
      </c>
      <c r="AM119" s="4">
        <f>'4.1 Comptes 2020 natures'!AM119/'4.1 Comptes 2020 natures'!AM2</f>
        <v>0</v>
      </c>
      <c r="AN119" s="4">
        <f>'4.1 Comptes 2020 natures'!AN119/'4.1 Comptes 2020 natures'!AN2</f>
        <v>0</v>
      </c>
      <c r="AO119" s="4">
        <f>'4.1 Comptes 2020 natures'!AO119/'4.1 Comptes 2020 natures'!AO2</f>
        <v>25.423138075313808</v>
      </c>
      <c r="AP119" s="4">
        <f>'4.1 Comptes 2020 natures'!AP119/'4.1 Comptes 2020 natures'!AP2</f>
        <v>15.796153846153846</v>
      </c>
      <c r="AQ119" s="4">
        <f>'4.1 Comptes 2020 natures'!AQ119/'4.1 Comptes 2020 natures'!AQ2</f>
        <v>0</v>
      </c>
      <c r="AR119" s="4">
        <f>'4.1 Comptes 2020 natures'!AR119/'4.1 Comptes 2020 natures'!AR2</f>
        <v>315.42062549485354</v>
      </c>
      <c r="AS119" s="4">
        <f>'4.1 Comptes 2020 natures'!AS119/'4.1 Comptes 2020 natures'!AS2</f>
        <v>104.22027027027028</v>
      </c>
      <c r="AT119" s="4">
        <f>'4.1 Comptes 2020 natures'!AT119/'4.1 Comptes 2020 natures'!AT2</f>
        <v>5.8677042801556417E-2</v>
      </c>
      <c r="AU119" s="4">
        <f>'4.1 Comptes 2020 natures'!AU119/'4.1 Comptes 2020 natures'!AU2</f>
        <v>212.46050955414015</v>
      </c>
      <c r="AV119" s="4">
        <f>'4.1 Comptes 2020 natures'!AV119/'4.1 Comptes 2020 natures'!AV2</f>
        <v>4.1666666666666669E-4</v>
      </c>
      <c r="AW119" s="4">
        <f>'4.1 Comptes 2020 natures'!AW119/'4.1 Comptes 2020 natures'!AW2</f>
        <v>0</v>
      </c>
      <c r="AX119" s="4">
        <f>'4.1 Comptes 2020 natures'!AX119/'4.1 Comptes 2020 natures'!AX2</f>
        <v>0.13397790055248618</v>
      </c>
      <c r="AY119" s="4">
        <f>'4.1 Comptes 2020 natures'!AY119/'4.1 Comptes 2020 natures'!AY2</f>
        <v>0</v>
      </c>
      <c r="AZ119" s="4">
        <f>'4.1 Comptes 2020 natures'!AZ119/'4.1 Comptes 2020 natures'!AZ2</f>
        <v>2.9352958579881654</v>
      </c>
      <c r="BA119" s="4">
        <f>'4.1 Comptes 2020 natures'!BA119/'4.1 Comptes 2020 natures'!BA2</f>
        <v>0</v>
      </c>
      <c r="BB119" s="4">
        <f>'4.1 Comptes 2020 natures'!BB119/'4.1 Comptes 2020 natures'!BB2</f>
        <v>0</v>
      </c>
      <c r="BC119" s="4">
        <f>'4.1 Comptes 2020 natures'!BC119/'4.1 Comptes 2020 natures'!BC2</f>
        <v>0</v>
      </c>
      <c r="BD119" s="4">
        <f>'4.1 Comptes 2020 natures'!BD119/'4.1 Comptes 2020 natures'!BD2</f>
        <v>-1.1565744482437053</v>
      </c>
      <c r="BE119" s="4">
        <f>'4.1 Comptes 2020 natures'!BE119/'4.1 Comptes 2020 natures'!BE2</f>
        <v>0.17142857142857143</v>
      </c>
      <c r="BF119" s="4">
        <f t="shared" si="73"/>
        <v>1923.9319479633871</v>
      </c>
      <c r="BG119" s="4">
        <f t="shared" si="74"/>
        <v>710.89139224341</v>
      </c>
      <c r="BH119" s="4">
        <f t="shared" si="75"/>
        <v>504.09342579463419</v>
      </c>
      <c r="BI119" s="4">
        <f t="shared" si="76"/>
        <v>708.94712992534301</v>
      </c>
    </row>
    <row r="120" spans="2:61" x14ac:dyDescent="0.3">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3">
      <c r="B121" s="96">
        <v>46</v>
      </c>
      <c r="C121" s="96"/>
      <c r="D121" s="96" t="s">
        <v>175</v>
      </c>
      <c r="E121" s="91">
        <f>E122+E123+E124+E125+E126</f>
        <v>311.6065005417118</v>
      </c>
      <c r="F121" s="91">
        <f t="shared" ref="F121:BI121" si="77">F122+F123+F124+F125+F126</f>
        <v>878.09222222222229</v>
      </c>
      <c r="G121" s="91">
        <f t="shared" si="77"/>
        <v>418.81742268041239</v>
      </c>
      <c r="H121" s="91">
        <f t="shared" si="77"/>
        <v>520.4524663677131</v>
      </c>
      <c r="I121" s="91">
        <f t="shared" si="77"/>
        <v>526.38431561553284</v>
      </c>
      <c r="J121" s="91">
        <f t="shared" si="77"/>
        <v>573.52658617567147</v>
      </c>
      <c r="K121" s="91">
        <f t="shared" si="77"/>
        <v>338.58107034795768</v>
      </c>
      <c r="L121" s="91">
        <f t="shared" si="77"/>
        <v>1796.249156760184</v>
      </c>
      <c r="M121" s="91">
        <f t="shared" si="77"/>
        <v>927.46348650619996</v>
      </c>
      <c r="N121" s="91">
        <f t="shared" si="77"/>
        <v>1002.8419491525424</v>
      </c>
      <c r="O121" s="91">
        <f t="shared" si="77"/>
        <v>443.82198409376309</v>
      </c>
      <c r="P121" s="91">
        <f t="shared" si="77"/>
        <v>605.03390151515157</v>
      </c>
      <c r="Q121" s="91">
        <f t="shared" si="77"/>
        <v>351.73796296296291</v>
      </c>
      <c r="R121" s="91">
        <f t="shared" si="77"/>
        <v>484.64963855421689</v>
      </c>
      <c r="S121" s="91">
        <f t="shared" si="77"/>
        <v>749.78409742120334</v>
      </c>
      <c r="T121" s="91">
        <f t="shared" si="77"/>
        <v>42.004949053857352</v>
      </c>
      <c r="U121" s="91">
        <f t="shared" si="77"/>
        <v>628.89352941176469</v>
      </c>
      <c r="V121" s="91">
        <f t="shared" si="77"/>
        <v>1216.976490825688</v>
      </c>
      <c r="W121" s="91">
        <f t="shared" si="77"/>
        <v>654.11495297805641</v>
      </c>
      <c r="X121" s="91">
        <f t="shared" si="77"/>
        <v>1640.6137345679015</v>
      </c>
      <c r="Y121" s="91">
        <f t="shared" si="77"/>
        <v>765.75402086677377</v>
      </c>
      <c r="Z121" s="91">
        <f t="shared" si="77"/>
        <v>1183.7968193717279</v>
      </c>
      <c r="AA121" s="91">
        <f t="shared" si="77"/>
        <v>977.49010416666658</v>
      </c>
      <c r="AB121" s="91">
        <f t="shared" si="77"/>
        <v>904.92919463087242</v>
      </c>
      <c r="AC121" s="91">
        <f t="shared" si="77"/>
        <v>460.90077519379844</v>
      </c>
      <c r="AD121" s="91">
        <f t="shared" si="77"/>
        <v>982.59061102831595</v>
      </c>
      <c r="AE121" s="91">
        <f t="shared" si="77"/>
        <v>809.93653846153848</v>
      </c>
      <c r="AF121" s="91">
        <f t="shared" si="77"/>
        <v>690.64918367346934</v>
      </c>
      <c r="AG121" s="91">
        <f t="shared" si="77"/>
        <v>432.16334900731459</v>
      </c>
      <c r="AH121" s="91">
        <f t="shared" si="77"/>
        <v>488.8976290630975</v>
      </c>
      <c r="AI121" s="91">
        <f t="shared" si="77"/>
        <v>1232.223127753304</v>
      </c>
      <c r="AJ121" s="91">
        <f t="shared" si="77"/>
        <v>645.31870229007632</v>
      </c>
      <c r="AK121" s="91">
        <f t="shared" si="77"/>
        <v>600.3352242744063</v>
      </c>
      <c r="AL121" s="91">
        <f t="shared" si="77"/>
        <v>1323.459268722467</v>
      </c>
      <c r="AM121" s="91">
        <f t="shared" si="77"/>
        <v>682.68344077356971</v>
      </c>
      <c r="AN121" s="91">
        <f t="shared" si="77"/>
        <v>742.86176470588236</v>
      </c>
      <c r="AO121" s="91">
        <f t="shared" si="77"/>
        <v>238.4875481171548</v>
      </c>
      <c r="AP121" s="91">
        <f t="shared" si="77"/>
        <v>1365.437963800905</v>
      </c>
      <c r="AQ121" s="91">
        <f t="shared" si="77"/>
        <v>243.69961240310076</v>
      </c>
      <c r="AR121" s="91">
        <f t="shared" si="77"/>
        <v>1427.8977038796515</v>
      </c>
      <c r="AS121" s="91">
        <f t="shared" si="77"/>
        <v>441.71045945945946</v>
      </c>
      <c r="AT121" s="91">
        <f t="shared" si="77"/>
        <v>870.74995136186772</v>
      </c>
      <c r="AU121" s="91">
        <f t="shared" si="77"/>
        <v>257.94044585987263</v>
      </c>
      <c r="AV121" s="91">
        <f t="shared" si="77"/>
        <v>148.925625</v>
      </c>
      <c r="AW121" s="91">
        <f t="shared" si="77"/>
        <v>257.18119205298018</v>
      </c>
      <c r="AX121" s="91">
        <f t="shared" si="77"/>
        <v>872.1764088397789</v>
      </c>
      <c r="AY121" s="91">
        <f t="shared" si="77"/>
        <v>1057.8731988472623</v>
      </c>
      <c r="AZ121" s="91">
        <f t="shared" si="77"/>
        <v>507.8553372781065</v>
      </c>
      <c r="BA121" s="91">
        <f t="shared" si="77"/>
        <v>1416.0239018087855</v>
      </c>
      <c r="BB121" s="91">
        <f t="shared" si="77"/>
        <v>777.940401459854</v>
      </c>
      <c r="BC121" s="91">
        <f t="shared" si="77"/>
        <v>646.27101063829787</v>
      </c>
      <c r="BD121" s="91">
        <f t="shared" si="77"/>
        <v>1327.6684348772146</v>
      </c>
      <c r="BE121" s="91">
        <f t="shared" si="77"/>
        <v>862.9184821428571</v>
      </c>
      <c r="BF121" s="91">
        <f t="shared" si="77"/>
        <v>39756.393849565138</v>
      </c>
      <c r="BG121" s="91">
        <f t="shared" si="77"/>
        <v>12471.032683186813</v>
      </c>
      <c r="BH121" s="91">
        <f t="shared" si="77"/>
        <v>11215.263790074856</v>
      </c>
      <c r="BI121" s="91">
        <f t="shared" si="77"/>
        <v>16070.097376303476</v>
      </c>
    </row>
    <row r="122" spans="2:61" x14ac:dyDescent="0.3">
      <c r="C122">
        <v>460</v>
      </c>
      <c r="D122" t="s">
        <v>176</v>
      </c>
      <c r="E122" s="4">
        <f>'4.1 Comptes 2020 natures'!E122/'4.1 Comptes 2020 natures'!E2</f>
        <v>4.5319609967497287</v>
      </c>
      <c r="F122" s="4">
        <f>'4.1 Comptes 2020 natures'!F122/'4.1 Comptes 2020 natures'!F2</f>
        <v>0.28518518518518521</v>
      </c>
      <c r="G122" s="4">
        <f>'4.1 Comptes 2020 natures'!G122/'4.1 Comptes 2020 natures'!G2</f>
        <v>2.0989690721649485</v>
      </c>
      <c r="H122" s="4">
        <f>'4.1 Comptes 2020 natures'!H122/'4.1 Comptes 2020 natures'!H2</f>
        <v>8.3026905829596416</v>
      </c>
      <c r="I122" s="4">
        <f>'4.1 Comptes 2020 natures'!I122/'4.1 Comptes 2020 natures'!I2</f>
        <v>9.3065271275130819</v>
      </c>
      <c r="J122" s="4">
        <f>'4.1 Comptes 2020 natures'!J122/'4.1 Comptes 2020 natures'!J2</f>
        <v>7.6685783277995778</v>
      </c>
      <c r="K122" s="4">
        <f>'4.1 Comptes 2020 natures'!K122/'4.1 Comptes 2020 natures'!K2</f>
        <v>12.395990922844176</v>
      </c>
      <c r="L122" s="4">
        <f>'4.1 Comptes 2020 natures'!L122/'4.1 Comptes 2020 natures'!L2</f>
        <v>38.369551434458707</v>
      </c>
      <c r="M122" s="4">
        <f>'4.1 Comptes 2020 natures'!M122/'4.1 Comptes 2020 natures'!M2</f>
        <v>22.785557986870899</v>
      </c>
      <c r="N122" s="4">
        <f>'4.1 Comptes 2020 natures'!N122/'4.1 Comptes 2020 natures'!N2</f>
        <v>1.9745762711864407</v>
      </c>
      <c r="O122" s="4">
        <f>'4.1 Comptes 2020 natures'!O122/'4.1 Comptes 2020 natures'!O2</f>
        <v>0</v>
      </c>
      <c r="P122" s="4">
        <f>'4.1 Comptes 2020 natures'!P122/'4.1 Comptes 2020 natures'!P2</f>
        <v>0</v>
      </c>
      <c r="Q122" s="4">
        <f>'4.1 Comptes 2020 natures'!Q122/'4.1 Comptes 2020 natures'!Q2</f>
        <v>0.1388888888888889</v>
      </c>
      <c r="R122" s="4">
        <f>'4.1 Comptes 2020 natures'!R122/'4.1 Comptes 2020 natures'!R2</f>
        <v>0</v>
      </c>
      <c r="S122" s="4">
        <f>'4.1 Comptes 2020 natures'!S122/'4.1 Comptes 2020 natures'!S2</f>
        <v>1.1461318051575931</v>
      </c>
      <c r="T122" s="4">
        <f>'4.1 Comptes 2020 natures'!T122/'4.1 Comptes 2020 natures'!T2</f>
        <v>3.5778748180494904</v>
      </c>
      <c r="U122" s="4">
        <f>'4.1 Comptes 2020 natures'!U122/'4.1 Comptes 2020 natures'!U2</f>
        <v>1.3529411764705883</v>
      </c>
      <c r="V122" s="4">
        <f>'4.1 Comptes 2020 natures'!V122/'4.1 Comptes 2020 natures'!V2</f>
        <v>31.479357798165136</v>
      </c>
      <c r="W122" s="4">
        <f>'4.1 Comptes 2020 natures'!W122/'4.1 Comptes 2020 natures'!W2</f>
        <v>6.1796238244514106</v>
      </c>
      <c r="X122" s="4">
        <f>'4.1 Comptes 2020 natures'!X122/'4.1 Comptes 2020 natures'!X2</f>
        <v>0.24691358024691357</v>
      </c>
      <c r="Y122" s="4">
        <f>'4.1 Comptes 2020 natures'!Y122/'4.1 Comptes 2020 natures'!Y2</f>
        <v>5.1669341894060992</v>
      </c>
      <c r="Z122" s="4">
        <f>'4.1 Comptes 2020 natures'!Z122/'4.1 Comptes 2020 natures'!Z2</f>
        <v>132.97316753926702</v>
      </c>
      <c r="AA122" s="4">
        <f>'4.1 Comptes 2020 natures'!AA122/'4.1 Comptes 2020 natures'!AA2</f>
        <v>0</v>
      </c>
      <c r="AB122" s="4">
        <f>'4.1 Comptes 2020 natures'!AB122/'4.1 Comptes 2020 natures'!AB2</f>
        <v>4.1342281879194633</v>
      </c>
      <c r="AC122" s="4">
        <f>'4.1 Comptes 2020 natures'!AC122/'4.1 Comptes 2020 natures'!AC2</f>
        <v>0</v>
      </c>
      <c r="AD122" s="4">
        <f>'4.1 Comptes 2020 natures'!AD122/'4.1 Comptes 2020 natures'!AD2</f>
        <v>4.3397913561847989</v>
      </c>
      <c r="AE122" s="4">
        <f>'4.1 Comptes 2020 natures'!AE122/'4.1 Comptes 2020 natures'!AE2</f>
        <v>1.8374125874125875</v>
      </c>
      <c r="AF122" s="4">
        <f>'4.1 Comptes 2020 natures'!AF122/'4.1 Comptes 2020 natures'!AF2</f>
        <v>4.9653061224489798</v>
      </c>
      <c r="AG122" s="4">
        <f>'4.1 Comptes 2020 natures'!AG122/'4.1 Comptes 2020 natures'!AG2</f>
        <v>57.463427377220484</v>
      </c>
      <c r="AH122" s="4">
        <f>'4.1 Comptes 2020 natures'!AH122/'4.1 Comptes 2020 natures'!AH2</f>
        <v>13.510516252390058</v>
      </c>
      <c r="AI122" s="4">
        <f>'4.1 Comptes 2020 natures'!AI122/'4.1 Comptes 2020 natures'!AI2</f>
        <v>3.3700440528634363</v>
      </c>
      <c r="AJ122" s="4">
        <f>'4.1 Comptes 2020 natures'!AJ122/'4.1 Comptes 2020 natures'!AJ2</f>
        <v>0</v>
      </c>
      <c r="AK122" s="4">
        <f>'4.1 Comptes 2020 natures'!AK122/'4.1 Comptes 2020 natures'!AK2</f>
        <v>0</v>
      </c>
      <c r="AL122" s="4">
        <f>'4.1 Comptes 2020 natures'!AL122/'4.1 Comptes 2020 natures'!AL2</f>
        <v>1.3726872246696036</v>
      </c>
      <c r="AM122" s="4">
        <f>'4.1 Comptes 2020 natures'!AM122/'4.1 Comptes 2020 natures'!AM2</f>
        <v>2.410153102336825</v>
      </c>
      <c r="AN122" s="4">
        <f>'4.1 Comptes 2020 natures'!AN122/'4.1 Comptes 2020 natures'!AN2</f>
        <v>0</v>
      </c>
      <c r="AO122" s="4">
        <f>'4.1 Comptes 2020 natures'!AO122/'4.1 Comptes 2020 natures'!AO2</f>
        <v>105.60251046025104</v>
      </c>
      <c r="AP122" s="4">
        <f>'4.1 Comptes 2020 natures'!AP122/'4.1 Comptes 2020 natures'!AP2</f>
        <v>21.245852187028657</v>
      </c>
      <c r="AQ122" s="4">
        <f>'4.1 Comptes 2020 natures'!AQ122/'4.1 Comptes 2020 natures'!AQ2</f>
        <v>7.4465116279069772</v>
      </c>
      <c r="AR122" s="4">
        <f>'4.1 Comptes 2020 natures'!AR122/'4.1 Comptes 2020 natures'!AR2</f>
        <v>2.8020585906571656</v>
      </c>
      <c r="AS122" s="4">
        <f>'4.1 Comptes 2020 natures'!AS122/'4.1 Comptes 2020 natures'!AS2</f>
        <v>0.83918918918918917</v>
      </c>
      <c r="AT122" s="4">
        <f>'4.1 Comptes 2020 natures'!AT122/'4.1 Comptes 2020 natures'!AT2</f>
        <v>8.2285992217898833</v>
      </c>
      <c r="AU122" s="4">
        <f>'4.1 Comptes 2020 natures'!AU122/'4.1 Comptes 2020 natures'!AU2</f>
        <v>39.108280254777071</v>
      </c>
      <c r="AV122" s="4">
        <f>'4.1 Comptes 2020 natures'!AV122/'4.1 Comptes 2020 natures'!AV2</f>
        <v>31.485416666666666</v>
      </c>
      <c r="AW122" s="4">
        <f>'4.1 Comptes 2020 natures'!AW122/'4.1 Comptes 2020 natures'!AW2</f>
        <v>25.491390728476823</v>
      </c>
      <c r="AX122" s="4">
        <f>'4.1 Comptes 2020 natures'!AX122/'4.1 Comptes 2020 natures'!AX2</f>
        <v>0</v>
      </c>
      <c r="AY122" s="4">
        <f>'4.1 Comptes 2020 natures'!AY122/'4.1 Comptes 2020 natures'!AY2</f>
        <v>1.420749279538905</v>
      </c>
      <c r="AZ122" s="4">
        <f>'4.1 Comptes 2020 natures'!AZ122/'4.1 Comptes 2020 natures'!AZ2</f>
        <v>0</v>
      </c>
      <c r="BA122" s="4">
        <f>'4.1 Comptes 2020 natures'!BA122/'4.1 Comptes 2020 natures'!BA2</f>
        <v>0.68992248062015504</v>
      </c>
      <c r="BB122" s="4">
        <f>'4.1 Comptes 2020 natures'!BB122/'4.1 Comptes 2020 natures'!BB2</f>
        <v>38.346715328467155</v>
      </c>
      <c r="BC122" s="4">
        <f>'4.1 Comptes 2020 natures'!BC122/'4.1 Comptes 2020 natures'!BC2</f>
        <v>0</v>
      </c>
      <c r="BD122" s="4">
        <f>'4.1 Comptes 2020 natures'!BD122/'4.1 Comptes 2020 natures'!BD2</f>
        <v>29.190861050668325</v>
      </c>
      <c r="BE122" s="4">
        <f>'4.1 Comptes 2020 natures'!BE122/'4.1 Comptes 2020 natures'!BE2</f>
        <v>6.8357142857142854</v>
      </c>
      <c r="BF122" s="4">
        <f t="shared" ref="BF122:BF126" si="78">SUM(E122:BE122)</f>
        <v>702.11875914303391</v>
      </c>
      <c r="BG122" s="4">
        <f t="shared" ref="BG122:BG126" si="79">SUM(E122:W122)</f>
        <v>151.59440621891548</v>
      </c>
      <c r="BH122" s="4">
        <f t="shared" ref="BH122:BH126" si="80">SUM(X122:AJ122)</f>
        <v>228.00774124535988</v>
      </c>
      <c r="BI122" s="4">
        <f t="shared" ref="BI122:BI126" si="81">SUM(AK122:BE122)</f>
        <v>322.51661167875875</v>
      </c>
    </row>
    <row r="123" spans="2:61" x14ac:dyDescent="0.3">
      <c r="C123">
        <v>461</v>
      </c>
      <c r="D123" t="s">
        <v>177</v>
      </c>
      <c r="E123" s="4">
        <f>'4.1 Comptes 2020 natures'!E123/'4.1 Comptes 2020 natures'!E2</f>
        <v>157.79225352112675</v>
      </c>
      <c r="F123" s="4">
        <f>'4.1 Comptes 2020 natures'!F123/'4.1 Comptes 2020 natures'!F2</f>
        <v>33.538333333333334</v>
      </c>
      <c r="G123" s="4">
        <f>'4.1 Comptes 2020 natures'!G123/'4.1 Comptes 2020 natures'!G2</f>
        <v>112.35773195876288</v>
      </c>
      <c r="H123" s="4">
        <f>'4.1 Comptes 2020 natures'!H123/'4.1 Comptes 2020 natures'!H2</f>
        <v>3.9529147982062782</v>
      </c>
      <c r="I123" s="4">
        <f>'4.1 Comptes 2020 natures'!I123/'4.1 Comptes 2020 natures'!I2</f>
        <v>154.5975901955384</v>
      </c>
      <c r="J123" s="4">
        <f>'4.1 Comptes 2020 natures'!J123/'4.1 Comptes 2020 natures'!J2</f>
        <v>243.51651977060067</v>
      </c>
      <c r="K123" s="4">
        <f>'4.1 Comptes 2020 natures'!K123/'4.1 Comptes 2020 natures'!K2</f>
        <v>255.57500000000002</v>
      </c>
      <c r="L123" s="4">
        <f>'4.1 Comptes 2020 natures'!L123/'4.1 Comptes 2020 natures'!L2</f>
        <v>975.66409098113809</v>
      </c>
      <c r="M123" s="4">
        <f>'4.1 Comptes 2020 natures'!M123/'4.1 Comptes 2020 natures'!M2</f>
        <v>518.7903719912473</v>
      </c>
      <c r="N123" s="4">
        <f>'4.1 Comptes 2020 natures'!N123/'4.1 Comptes 2020 natures'!N2</f>
        <v>1.1440677966101696</v>
      </c>
      <c r="O123" s="4">
        <f>'4.1 Comptes 2020 natures'!O123/'4.1 Comptes 2020 natures'!O2</f>
        <v>146.61641691084137</v>
      </c>
      <c r="P123" s="4">
        <f>'4.1 Comptes 2020 natures'!P123/'4.1 Comptes 2020 natures'!P2</f>
        <v>18.207859848484848</v>
      </c>
      <c r="Q123" s="4">
        <f>'4.1 Comptes 2020 natures'!Q123/'4.1 Comptes 2020 natures'!Q2</f>
        <v>27.25185185185185</v>
      </c>
      <c r="R123" s="4">
        <f>'4.1 Comptes 2020 natures'!R123/'4.1 Comptes 2020 natures'!R2</f>
        <v>90.195662650602401</v>
      </c>
      <c r="S123" s="4">
        <f>'4.1 Comptes 2020 natures'!S123/'4.1 Comptes 2020 natures'!S2</f>
        <v>171.36633237822349</v>
      </c>
      <c r="T123" s="4">
        <f>'4.1 Comptes 2020 natures'!T123/'4.1 Comptes 2020 natures'!T2</f>
        <v>2.3469432314410481</v>
      </c>
      <c r="U123" s="4">
        <f>'4.1 Comptes 2020 natures'!U123/'4.1 Comptes 2020 natures'!U2</f>
        <v>1.2031372549019608</v>
      </c>
      <c r="V123" s="4">
        <f>'4.1 Comptes 2020 natures'!V123/'4.1 Comptes 2020 natures'!V2</f>
        <v>954.04827981651374</v>
      </c>
      <c r="W123" s="4">
        <f>'4.1 Comptes 2020 natures'!W123/'4.1 Comptes 2020 natures'!W2</f>
        <v>121.87517241379309</v>
      </c>
      <c r="X123" s="4">
        <f>'4.1 Comptes 2020 natures'!X123/'4.1 Comptes 2020 natures'!X2</f>
        <v>1.9226851851851854</v>
      </c>
      <c r="Y123" s="4">
        <f>'4.1 Comptes 2020 natures'!Y123/'4.1 Comptes 2020 natures'!Y2</f>
        <v>623.62986356340298</v>
      </c>
      <c r="Z123" s="4">
        <f>'4.1 Comptes 2020 natures'!Z123/'4.1 Comptes 2020 natures'!Z2</f>
        <v>646.02545157068062</v>
      </c>
      <c r="AA123" s="4">
        <f>'4.1 Comptes 2020 natures'!AA123/'4.1 Comptes 2020 natures'!AA2</f>
        <v>4.7973958333333337</v>
      </c>
      <c r="AB123" s="4">
        <f>'4.1 Comptes 2020 natures'!AB123/'4.1 Comptes 2020 natures'!AB2</f>
        <v>252.92114093959731</v>
      </c>
      <c r="AC123" s="4">
        <f>'4.1 Comptes 2020 natures'!AC123/'4.1 Comptes 2020 natures'!AC2</f>
        <v>71.916569767441857</v>
      </c>
      <c r="AD123" s="4">
        <f>'4.1 Comptes 2020 natures'!AD123/'4.1 Comptes 2020 natures'!AD2</f>
        <v>568.35842026825628</v>
      </c>
      <c r="AE123" s="4">
        <f>'4.1 Comptes 2020 natures'!AE123/'4.1 Comptes 2020 natures'!AE2</f>
        <v>230.28330419580416</v>
      </c>
      <c r="AF123" s="4">
        <f>'4.1 Comptes 2020 natures'!AF123/'4.1 Comptes 2020 natures'!AF2</f>
        <v>2.4591836734693877</v>
      </c>
      <c r="AG123" s="4">
        <f>'4.1 Comptes 2020 natures'!AG123/'4.1 Comptes 2020 natures'!AG2</f>
        <v>165.86922675026125</v>
      </c>
      <c r="AH123" s="4">
        <f>'4.1 Comptes 2020 natures'!AH123/'4.1 Comptes 2020 natures'!AH2</f>
        <v>127.21242829827916</v>
      </c>
      <c r="AI123" s="4">
        <f>'4.1 Comptes 2020 natures'!AI123/'4.1 Comptes 2020 natures'!AI2</f>
        <v>133.21211453744493</v>
      </c>
      <c r="AJ123" s="4">
        <f>'4.1 Comptes 2020 natures'!AJ123/'4.1 Comptes 2020 natures'!AJ2</f>
        <v>118.01870229007635</v>
      </c>
      <c r="AK123" s="4">
        <f>'4.1 Comptes 2020 natures'!AK123/'4.1 Comptes 2020 natures'!AK2</f>
        <v>412.22786279683379</v>
      </c>
      <c r="AL123" s="4">
        <f>'4.1 Comptes 2020 natures'!AL123/'4.1 Comptes 2020 natures'!AL2</f>
        <v>454.19962114537446</v>
      </c>
      <c r="AM123" s="4">
        <f>'4.1 Comptes 2020 natures'!AM123/'4.1 Comptes 2020 natures'!AM2</f>
        <v>173.42401289282839</v>
      </c>
      <c r="AN123" s="4">
        <f>'4.1 Comptes 2020 natures'!AN123/'4.1 Comptes 2020 natures'!AN2</f>
        <v>0</v>
      </c>
      <c r="AO123" s="4">
        <f>'4.1 Comptes 2020 natures'!AO123/'4.1 Comptes 2020 natures'!AO2</f>
        <v>12.807071129707113</v>
      </c>
      <c r="AP123" s="4">
        <f>'4.1 Comptes 2020 natures'!AP123/'4.1 Comptes 2020 natures'!AP2</f>
        <v>1160.2874358974359</v>
      </c>
      <c r="AQ123" s="4">
        <f>'4.1 Comptes 2020 natures'!AQ123/'4.1 Comptes 2020 natures'!AQ2</f>
        <v>8.6133333333333333</v>
      </c>
      <c r="AR123" s="4">
        <f>'4.1 Comptes 2020 natures'!AR123/'4.1 Comptes 2020 natures'!AR2</f>
        <v>719.45233570863024</v>
      </c>
      <c r="AS123" s="4">
        <f>'4.1 Comptes 2020 natures'!AS123/'4.1 Comptes 2020 natures'!AS2</f>
        <v>87.670256756756757</v>
      </c>
      <c r="AT123" s="4">
        <f>'4.1 Comptes 2020 natures'!AT123/'4.1 Comptes 2020 natures'!AT2</f>
        <v>307.19630350194552</v>
      </c>
      <c r="AU123" s="4">
        <f>'4.1 Comptes 2020 natures'!AU123/'4.1 Comptes 2020 natures'!AU2</f>
        <v>80.873885350318474</v>
      </c>
      <c r="AV123" s="4">
        <f>'4.1 Comptes 2020 natures'!AV123/'4.1 Comptes 2020 natures'!AV2</f>
        <v>70.706604166666665</v>
      </c>
      <c r="AW123" s="4">
        <f>'4.1 Comptes 2020 natures'!AW123/'4.1 Comptes 2020 natures'!AW2</f>
        <v>63.548807947019867</v>
      </c>
      <c r="AX123" s="4">
        <f>'4.1 Comptes 2020 natures'!AX123/'4.1 Comptes 2020 natures'!AX2</f>
        <v>6.4590055248618778</v>
      </c>
      <c r="AY123" s="4">
        <f>'4.1 Comptes 2020 natures'!AY123/'4.1 Comptes 2020 natures'!AY2</f>
        <v>10.724495677233429</v>
      </c>
      <c r="AZ123" s="4">
        <f>'4.1 Comptes 2020 natures'!AZ123/'4.1 Comptes 2020 natures'!AZ2</f>
        <v>205.57983431952661</v>
      </c>
      <c r="BA123" s="4">
        <f>'4.1 Comptes 2020 natures'!BA123/'4.1 Comptes 2020 natures'!BA2</f>
        <v>554.33100775193805</v>
      </c>
      <c r="BB123" s="4">
        <f>'4.1 Comptes 2020 natures'!BB123/'4.1 Comptes 2020 natures'!BB2</f>
        <v>657.12105839416063</v>
      </c>
      <c r="BC123" s="4">
        <f>'4.1 Comptes 2020 natures'!BC123/'4.1 Comptes 2020 natures'!BC2</f>
        <v>9.3829787234042552</v>
      </c>
      <c r="BD123" s="4">
        <f>'4.1 Comptes 2020 natures'!BD123/'4.1 Comptes 2020 natures'!BD2</f>
        <v>1046.9751787379546</v>
      </c>
      <c r="BE123" s="4">
        <f>'4.1 Comptes 2020 natures'!BE123/'4.1 Comptes 2020 natures'!BE2</f>
        <v>288.67062499999997</v>
      </c>
      <c r="BF123" s="4">
        <f t="shared" si="78"/>
        <v>13266.91873233238</v>
      </c>
      <c r="BG123" s="4">
        <f t="shared" si="79"/>
        <v>3990.0405307032183</v>
      </c>
      <c r="BH123" s="4">
        <f t="shared" si="80"/>
        <v>2946.6264868732328</v>
      </c>
      <c r="BI123" s="4">
        <f t="shared" si="81"/>
        <v>6330.2517147559302</v>
      </c>
    </row>
    <row r="124" spans="2:61" x14ac:dyDescent="0.3">
      <c r="C124">
        <v>462</v>
      </c>
      <c r="D124" t="s">
        <v>113</v>
      </c>
      <c r="E124" s="4">
        <f>'4.1 Comptes 2020 natures'!E124/'4.1 Comptes 2020 natures'!E2</f>
        <v>101.02058504875406</v>
      </c>
      <c r="F124" s="4">
        <f>'4.1 Comptes 2020 natures'!F124/'4.1 Comptes 2020 natures'!F2</f>
        <v>784.78518518518524</v>
      </c>
      <c r="G124" s="4">
        <f>'4.1 Comptes 2020 natures'!G124/'4.1 Comptes 2020 natures'!G2</f>
        <v>167.19175257731959</v>
      </c>
      <c r="H124" s="4">
        <f>'4.1 Comptes 2020 natures'!H124/'4.1 Comptes 2020 natures'!H2</f>
        <v>357.06726457399105</v>
      </c>
      <c r="I124" s="4">
        <f>'4.1 Comptes 2020 natures'!I124/'4.1 Comptes 2020 natures'!I2</f>
        <v>323.33241531258608</v>
      </c>
      <c r="J124" s="4">
        <f>'4.1 Comptes 2020 natures'!J124/'4.1 Comptes 2020 natures'!J2</f>
        <v>161.27044974343497</v>
      </c>
      <c r="K124" s="4">
        <f>'4.1 Comptes 2020 natures'!K124/'4.1 Comptes 2020 natures'!K2</f>
        <v>0</v>
      </c>
      <c r="L124" s="4">
        <f>'4.1 Comptes 2020 natures'!L124/'4.1 Comptes 2020 natures'!L2</f>
        <v>76.273129656046919</v>
      </c>
      <c r="M124" s="4">
        <f>'4.1 Comptes 2020 natures'!M124/'4.1 Comptes 2020 natures'!M2</f>
        <v>0</v>
      </c>
      <c r="N124" s="4">
        <f>'4.1 Comptes 2020 natures'!N124/'4.1 Comptes 2020 natures'!N2</f>
        <v>833.15254237288138</v>
      </c>
      <c r="O124" s="4">
        <f>'4.1 Comptes 2020 natures'!O124/'4.1 Comptes 2020 natures'!O2</f>
        <v>197.31868285196038</v>
      </c>
      <c r="P124" s="4">
        <f>'4.1 Comptes 2020 natures'!P124/'4.1 Comptes 2020 natures'!P2</f>
        <v>536.38636363636363</v>
      </c>
      <c r="Q124" s="4">
        <f>'4.1 Comptes 2020 natures'!Q124/'4.1 Comptes 2020 natures'!Q2</f>
        <v>267.08333333333331</v>
      </c>
      <c r="R124" s="4">
        <f>'4.1 Comptes 2020 natures'!R124/'4.1 Comptes 2020 natures'!R2</f>
        <v>380.23614457831326</v>
      </c>
      <c r="S124" s="4">
        <f>'4.1 Comptes 2020 natures'!S124/'4.1 Comptes 2020 natures'!S2</f>
        <v>502.33237822349571</v>
      </c>
      <c r="T124" s="4">
        <f>'4.1 Comptes 2020 natures'!T124/'4.1 Comptes 2020 natures'!T2</f>
        <v>0</v>
      </c>
      <c r="U124" s="4">
        <f>'4.1 Comptes 2020 natures'!U124/'4.1 Comptes 2020 natures'!U2</f>
        <v>535.30196078431368</v>
      </c>
      <c r="V124" s="4">
        <f>'4.1 Comptes 2020 natures'!V124/'4.1 Comptes 2020 natures'!V2</f>
        <v>0</v>
      </c>
      <c r="W124" s="4">
        <f>'4.1 Comptes 2020 natures'!W124/'4.1 Comptes 2020 natures'!W2</f>
        <v>420.53793103448277</v>
      </c>
      <c r="X124" s="4">
        <f>'4.1 Comptes 2020 natures'!X124/'4.1 Comptes 2020 natures'!X2</f>
        <v>96.555555555555557</v>
      </c>
      <c r="Y124" s="4">
        <f>'4.1 Comptes 2020 natures'!Y124/'4.1 Comptes 2020 natures'!Y2</f>
        <v>59.940609951845907</v>
      </c>
      <c r="Z124" s="4">
        <f>'4.1 Comptes 2020 natures'!Z124/'4.1 Comptes 2020 natures'!Z2</f>
        <v>18.390052356020941</v>
      </c>
      <c r="AA124" s="4">
        <f>'4.1 Comptes 2020 natures'!AA124/'4.1 Comptes 2020 natures'!AA2</f>
        <v>864.97916666666663</v>
      </c>
      <c r="AB124" s="4">
        <f>'4.1 Comptes 2020 natures'!AB124/'4.1 Comptes 2020 natures'!AB2</f>
        <v>412.83221476510067</v>
      </c>
      <c r="AC124" s="4">
        <f>'4.1 Comptes 2020 natures'!AC124/'4.1 Comptes 2020 natures'!AC2</f>
        <v>0</v>
      </c>
      <c r="AD124" s="4">
        <f>'4.1 Comptes 2020 natures'!AD124/'4.1 Comptes 2020 natures'!AD2</f>
        <v>280.61102831594633</v>
      </c>
      <c r="AE124" s="4">
        <f>'4.1 Comptes 2020 natures'!AE124/'4.1 Comptes 2020 natures'!AE2</f>
        <v>330.92657342657344</v>
      </c>
      <c r="AF124" s="4">
        <f>'4.1 Comptes 2020 natures'!AF124/'4.1 Comptes 2020 natures'!AF2</f>
        <v>58.057142857142857</v>
      </c>
      <c r="AG124" s="4">
        <f>'4.1 Comptes 2020 natures'!AG124/'4.1 Comptes 2020 natures'!AG2</f>
        <v>0</v>
      </c>
      <c r="AH124" s="4">
        <f>'4.1 Comptes 2020 natures'!AH124/'4.1 Comptes 2020 natures'!AH2</f>
        <v>36.914722753346084</v>
      </c>
      <c r="AI124" s="4">
        <f>'4.1 Comptes 2020 natures'!AI124/'4.1 Comptes 2020 natures'!AI2</f>
        <v>961.85022026431716</v>
      </c>
      <c r="AJ124" s="4">
        <f>'4.1 Comptes 2020 natures'!AJ124/'4.1 Comptes 2020 natures'!AJ2</f>
        <v>401.00763358778624</v>
      </c>
      <c r="AK124" s="4">
        <f>'4.1 Comptes 2020 natures'!AK124/'4.1 Comptes 2020 natures'!AK2</f>
        <v>115.1514511873351</v>
      </c>
      <c r="AL124" s="4">
        <f>'4.1 Comptes 2020 natures'!AL124/'4.1 Comptes 2020 natures'!AL2</f>
        <v>583.66343612334799</v>
      </c>
      <c r="AM124" s="4">
        <f>'4.1 Comptes 2020 natures'!AM124/'4.1 Comptes 2020 natures'!AM2</f>
        <v>389.08944399677677</v>
      </c>
      <c r="AN124" s="4">
        <f>'4.1 Comptes 2020 natures'!AN124/'4.1 Comptes 2020 natures'!AN2</f>
        <v>560.35294117647061</v>
      </c>
      <c r="AO124" s="4">
        <f>'4.1 Comptes 2020 natures'!AO124/'4.1 Comptes 2020 natures'!AO2</f>
        <v>0</v>
      </c>
      <c r="AP124" s="4">
        <f>'4.1 Comptes 2020 natures'!AP124/'4.1 Comptes 2020 natures'!AP2</f>
        <v>0.78883861236802411</v>
      </c>
      <c r="AQ124" s="4">
        <f>'4.1 Comptes 2020 natures'!AQ124/'4.1 Comptes 2020 natures'!AQ2</f>
        <v>126.71782945736435</v>
      </c>
      <c r="AR124" s="4">
        <f>'4.1 Comptes 2020 natures'!AR124/'4.1 Comptes 2020 natures'!AR2</f>
        <v>542.20744259699131</v>
      </c>
      <c r="AS124" s="4">
        <f>'4.1 Comptes 2020 natures'!AS124/'4.1 Comptes 2020 natures'!AS2</f>
        <v>260.04324324324324</v>
      </c>
      <c r="AT124" s="4">
        <f>'4.1 Comptes 2020 natures'!AT124/'4.1 Comptes 2020 natures'!AT2</f>
        <v>242.54669260700391</v>
      </c>
      <c r="AU124" s="4">
        <f>'4.1 Comptes 2020 natures'!AU124/'4.1 Comptes 2020 natures'!AU2</f>
        <v>0</v>
      </c>
      <c r="AV124" s="4">
        <f>'4.1 Comptes 2020 natures'!AV124/'4.1 Comptes 2020 natures'!AV2</f>
        <v>0</v>
      </c>
      <c r="AW124" s="4">
        <f>'4.1 Comptes 2020 natures'!AW124/'4.1 Comptes 2020 natures'!AW2</f>
        <v>0</v>
      </c>
      <c r="AX124" s="4">
        <f>'4.1 Comptes 2020 natures'!AX124/'4.1 Comptes 2020 natures'!AX2</f>
        <v>778.98342541436466</v>
      </c>
      <c r="AY124" s="4">
        <f>'4.1 Comptes 2020 natures'!AY124/'4.1 Comptes 2020 natures'!AY2</f>
        <v>795.68299711815564</v>
      </c>
      <c r="AZ124" s="4">
        <f>'4.1 Comptes 2020 natures'!AZ124/'4.1 Comptes 2020 natures'!AZ2</f>
        <v>241.55266272189348</v>
      </c>
      <c r="BA124" s="4">
        <f>'4.1 Comptes 2020 natures'!BA124/'4.1 Comptes 2020 natures'!BA2</f>
        <v>763.21963824289401</v>
      </c>
      <c r="BB124" s="4">
        <f>'4.1 Comptes 2020 natures'!BB124/'4.1 Comptes 2020 natures'!BB2</f>
        <v>0</v>
      </c>
      <c r="BC124" s="4">
        <f>'4.1 Comptes 2020 natures'!BC124/'4.1 Comptes 2020 natures'!BC2</f>
        <v>494.35106382978722</v>
      </c>
      <c r="BD124" s="4">
        <f>'4.1 Comptes 2020 natures'!BD124/'4.1 Comptes 2020 natures'!BD2</f>
        <v>51.631644389182469</v>
      </c>
      <c r="BE124" s="4">
        <f>'4.1 Comptes 2020 natures'!BE124/'4.1 Comptes 2020 natures'!BE2</f>
        <v>326.10000000000002</v>
      </c>
      <c r="BF124" s="4">
        <f t="shared" si="78"/>
        <v>15437.437790129939</v>
      </c>
      <c r="BG124" s="4">
        <f t="shared" si="79"/>
        <v>5643.2901189124614</v>
      </c>
      <c r="BH124" s="4">
        <f t="shared" si="80"/>
        <v>3522.0649205003015</v>
      </c>
      <c r="BI124" s="4">
        <f t="shared" si="81"/>
        <v>6272.0827507171798</v>
      </c>
    </row>
    <row r="125" spans="2:61" x14ac:dyDescent="0.3">
      <c r="C125">
        <v>463</v>
      </c>
      <c r="D125" t="s">
        <v>178</v>
      </c>
      <c r="E125" s="4">
        <f>'4.1 Comptes 2020 natures'!E125/'4.1 Comptes 2020 natures'!E2</f>
        <v>48.048916576381366</v>
      </c>
      <c r="F125" s="4">
        <f>'4.1 Comptes 2020 natures'!F125/'4.1 Comptes 2020 natures'!F2</f>
        <v>59.396296296296299</v>
      </c>
      <c r="G125" s="4">
        <f>'4.1 Comptes 2020 natures'!G125/'4.1 Comptes 2020 natures'!G2</f>
        <v>137.16896907216494</v>
      </c>
      <c r="H125" s="4">
        <f>'4.1 Comptes 2020 natures'!H125/'4.1 Comptes 2020 natures'!H2</f>
        <v>150.90459641255606</v>
      </c>
      <c r="I125" s="4">
        <f>'4.1 Comptes 2020 natures'!I125/'4.1 Comptes 2020 natures'!I2</f>
        <v>39.102051776370146</v>
      </c>
      <c r="J125" s="4">
        <f>'4.1 Comptes 2020 natures'!J125/'4.1 Comptes 2020 natures'!J2</f>
        <v>160.68357983700571</v>
      </c>
      <c r="K125" s="4">
        <f>'4.1 Comptes 2020 natures'!K125/'4.1 Comptes 2020 natures'!K2</f>
        <v>70.472730711043866</v>
      </c>
      <c r="L125" s="4">
        <f>'4.1 Comptes 2020 natures'!L125/'4.1 Comptes 2020 natures'!L2</f>
        <v>144.69733079727374</v>
      </c>
      <c r="M125" s="4">
        <f>'4.1 Comptes 2020 natures'!M125/'4.1 Comptes 2020 natures'!M2</f>
        <v>145.67439095550694</v>
      </c>
      <c r="N125" s="4">
        <f>'4.1 Comptes 2020 natures'!N125/'4.1 Comptes 2020 natures'!N2</f>
        <v>166.5707627118644</v>
      </c>
      <c r="O125" s="4">
        <f>'4.1 Comptes 2020 natures'!O125/'4.1 Comptes 2020 natures'!O2</f>
        <v>95.994670015348134</v>
      </c>
      <c r="P125" s="4">
        <f>'4.1 Comptes 2020 natures'!P125/'4.1 Comptes 2020 natures'!P2</f>
        <v>50.439678030303035</v>
      </c>
      <c r="Q125" s="4">
        <f>'4.1 Comptes 2020 natures'!Q125/'4.1 Comptes 2020 natures'!Q2</f>
        <v>57.101851851851855</v>
      </c>
      <c r="R125" s="4">
        <f>'4.1 Comptes 2020 natures'!R125/'4.1 Comptes 2020 natures'!R2</f>
        <v>13.966265060240964</v>
      </c>
      <c r="S125" s="4">
        <f>'4.1 Comptes 2020 natures'!S125/'4.1 Comptes 2020 natures'!S2</f>
        <v>74.939255014326648</v>
      </c>
      <c r="T125" s="4">
        <f>'4.1 Comptes 2020 natures'!T125/'4.1 Comptes 2020 natures'!T2</f>
        <v>36.080131004366812</v>
      </c>
      <c r="U125" s="4">
        <f>'4.1 Comptes 2020 natures'!U125/'4.1 Comptes 2020 natures'!U2</f>
        <v>90.71843137254902</v>
      </c>
      <c r="V125" s="4">
        <f>'4.1 Comptes 2020 natures'!V125/'4.1 Comptes 2020 natures'!V2</f>
        <v>231.11662844036698</v>
      </c>
      <c r="W125" s="4">
        <f>'4.1 Comptes 2020 natures'!W125/'4.1 Comptes 2020 natures'!W2</f>
        <v>105.25452978056427</v>
      </c>
      <c r="X125" s="4">
        <f>'4.1 Comptes 2020 natures'!X125/'4.1 Comptes 2020 natures'!X2</f>
        <v>1540.0631172839508</v>
      </c>
      <c r="Y125" s="4">
        <f>'4.1 Comptes 2020 natures'!Y125/'4.1 Comptes 2020 natures'!Y2</f>
        <v>73.909069020866767</v>
      </c>
      <c r="Z125" s="4">
        <f>'4.1 Comptes 2020 natures'!Z125/'4.1 Comptes 2020 natures'!Z2</f>
        <v>385.93854712041883</v>
      </c>
      <c r="AA125" s="4">
        <f>'4.1 Comptes 2020 natures'!AA125/'4.1 Comptes 2020 natures'!AA2</f>
        <v>105.57291666666667</v>
      </c>
      <c r="AB125" s="4">
        <f>'4.1 Comptes 2020 natures'!AB125/'4.1 Comptes 2020 natures'!AB2</f>
        <v>227.74496644295303</v>
      </c>
      <c r="AC125" s="4">
        <f>'4.1 Comptes 2020 natures'!AC125/'4.1 Comptes 2020 natures'!AC2</f>
        <v>386.78653100775193</v>
      </c>
      <c r="AD125" s="4">
        <f>'4.1 Comptes 2020 natures'!AD125/'4.1 Comptes 2020 natures'!AD2</f>
        <v>128.04128166915052</v>
      </c>
      <c r="AE125" s="4">
        <f>'4.1 Comptes 2020 natures'!AE125/'4.1 Comptes 2020 natures'!AE2</f>
        <v>246.6673076923077</v>
      </c>
      <c r="AF125" s="4">
        <f>'4.1 Comptes 2020 natures'!AF125/'4.1 Comptes 2020 natures'!AF2</f>
        <v>625.16755102040815</v>
      </c>
      <c r="AG125" s="4">
        <f>'4.1 Comptes 2020 natures'!AG125/'4.1 Comptes 2020 natures'!AG2</f>
        <v>207.17933646812958</v>
      </c>
      <c r="AH125" s="4">
        <f>'4.1 Comptes 2020 natures'!AH125/'4.1 Comptes 2020 natures'!AH2</f>
        <v>310.94856596558316</v>
      </c>
      <c r="AI125" s="4">
        <f>'4.1 Comptes 2020 natures'!AI125/'4.1 Comptes 2020 natures'!AI2</f>
        <v>132.93656387665197</v>
      </c>
      <c r="AJ125" s="4">
        <f>'4.1 Comptes 2020 natures'!AJ125/'4.1 Comptes 2020 natures'!AJ2</f>
        <v>122.93358778625954</v>
      </c>
      <c r="AK125" s="4">
        <f>'4.1 Comptes 2020 natures'!AK125/'4.1 Comptes 2020 natures'!AK2</f>
        <v>71.999261213720317</v>
      </c>
      <c r="AL125" s="4">
        <f>'4.1 Comptes 2020 natures'!AL125/'4.1 Comptes 2020 natures'!AL2</f>
        <v>264.28964757709252</v>
      </c>
      <c r="AM125" s="4">
        <f>'4.1 Comptes 2020 natures'!AM125/'4.1 Comptes 2020 natures'!AM2</f>
        <v>108.67219983883966</v>
      </c>
      <c r="AN125" s="4">
        <f>'4.1 Comptes 2020 natures'!AN125/'4.1 Comptes 2020 natures'!AN2</f>
        <v>179.17605042016808</v>
      </c>
      <c r="AO125" s="4">
        <f>'4.1 Comptes 2020 natures'!AO125/'4.1 Comptes 2020 natures'!AO2</f>
        <v>119.67650209205021</v>
      </c>
      <c r="AP125" s="4">
        <f>'4.1 Comptes 2020 natures'!AP125/'4.1 Comptes 2020 natures'!AP2</f>
        <v>179.83371040723981</v>
      </c>
      <c r="AQ125" s="4">
        <f>'4.1 Comptes 2020 natures'!AQ125/'4.1 Comptes 2020 natures'!AQ2</f>
        <v>89.714651162790688</v>
      </c>
      <c r="AR125" s="4">
        <f>'4.1 Comptes 2020 natures'!AR125/'4.1 Comptes 2020 natures'!AR2</f>
        <v>153.39441805225653</v>
      </c>
      <c r="AS125" s="4">
        <f>'4.1 Comptes 2020 natures'!AS125/'4.1 Comptes 2020 natures'!AS2</f>
        <v>91.166216216216213</v>
      </c>
      <c r="AT125" s="4">
        <f>'4.1 Comptes 2020 natures'!AT125/'4.1 Comptes 2020 natures'!AT2</f>
        <v>312.62699416342411</v>
      </c>
      <c r="AU125" s="4">
        <f>'4.1 Comptes 2020 natures'!AU125/'4.1 Comptes 2020 natures'!AU2</f>
        <v>137.82579617834395</v>
      </c>
      <c r="AV125" s="4">
        <f>'4.1 Comptes 2020 natures'!AV125/'4.1 Comptes 2020 natures'!AV2</f>
        <v>46.557916666666664</v>
      </c>
      <c r="AW125" s="4">
        <f>'4.1 Comptes 2020 natures'!AW125/'4.1 Comptes 2020 natures'!AW2</f>
        <v>166.43185430463578</v>
      </c>
      <c r="AX125" s="4">
        <f>'4.1 Comptes 2020 natures'!AX125/'4.1 Comptes 2020 natures'!AX2</f>
        <v>76.237569060773481</v>
      </c>
      <c r="AY125" s="4">
        <f>'4.1 Comptes 2020 natures'!AY125/'4.1 Comptes 2020 natures'!AY2</f>
        <v>239.56181556195963</v>
      </c>
      <c r="AZ125" s="4">
        <f>'4.1 Comptes 2020 natures'!AZ125/'4.1 Comptes 2020 natures'!AZ2</f>
        <v>51.818698224852078</v>
      </c>
      <c r="BA125" s="4">
        <f>'4.1 Comptes 2020 natures'!BA125/'4.1 Comptes 2020 natures'!BA2</f>
        <v>97.632816537467704</v>
      </c>
      <c r="BB125" s="4">
        <f>'4.1 Comptes 2020 natures'!BB125/'4.1 Comptes 2020 natures'!BB2</f>
        <v>81.998722627737237</v>
      </c>
      <c r="BC125" s="4">
        <f>'4.1 Comptes 2020 natures'!BC125/'4.1 Comptes 2020 natures'!BC2</f>
        <v>133.97579787234042</v>
      </c>
      <c r="BD125" s="4">
        <f>'4.1 Comptes 2020 natures'!BD125/'4.1 Comptes 2020 natures'!BD2</f>
        <v>189.43527510102581</v>
      </c>
      <c r="BE125" s="4">
        <f>'4.1 Comptes 2020 natures'!BE125/'4.1 Comptes 2020 natures'!BE2</f>
        <v>229.3988392857143</v>
      </c>
      <c r="BF125" s="4">
        <f t="shared" si="78"/>
        <v>9393.6451603027945</v>
      </c>
      <c r="BG125" s="4">
        <f t="shared" si="79"/>
        <v>1878.3310657163813</v>
      </c>
      <c r="BH125" s="4">
        <f t="shared" si="80"/>
        <v>4493.8893420210989</v>
      </c>
      <c r="BI125" s="4">
        <f t="shared" si="81"/>
        <v>3021.4247525653154</v>
      </c>
    </row>
    <row r="126" spans="2:61" x14ac:dyDescent="0.3">
      <c r="C126">
        <v>469</v>
      </c>
      <c r="D126" t="s">
        <v>179</v>
      </c>
      <c r="E126" s="4">
        <f>'4.1 Comptes 2020 natures'!E126/'4.1 Comptes 2020 natures'!E2</f>
        <v>0.21278439869989166</v>
      </c>
      <c r="F126" s="4">
        <f>'4.1 Comptes 2020 natures'!F126/'4.1 Comptes 2020 natures'!F2</f>
        <v>8.7222222222222229E-2</v>
      </c>
      <c r="G126" s="4">
        <f>'4.1 Comptes 2020 natures'!G126/'4.1 Comptes 2020 natures'!G2</f>
        <v>0</v>
      </c>
      <c r="H126" s="4">
        <f>'4.1 Comptes 2020 natures'!H126/'4.1 Comptes 2020 natures'!H2</f>
        <v>0.22499999999999998</v>
      </c>
      <c r="I126" s="4">
        <f>'4.1 Comptes 2020 natures'!I126/'4.1 Comptes 2020 natures'!I2</f>
        <v>4.5731203525199673E-2</v>
      </c>
      <c r="J126" s="4">
        <f>'4.1 Comptes 2020 natures'!J126/'4.1 Comptes 2020 natures'!J2</f>
        <v>0.38745849683066708</v>
      </c>
      <c r="K126" s="4">
        <f>'4.1 Comptes 2020 natures'!K126/'4.1 Comptes 2020 natures'!K2</f>
        <v>0.13734871406959151</v>
      </c>
      <c r="L126" s="4">
        <f>'4.1 Comptes 2020 natures'!L126/'4.1 Comptes 2020 natures'!L2</f>
        <v>561.24505389126648</v>
      </c>
      <c r="M126" s="4">
        <f>'4.1 Comptes 2020 natures'!M126/'4.1 Comptes 2020 natures'!M2</f>
        <v>240.21316557257475</v>
      </c>
      <c r="N126" s="4">
        <f>'4.1 Comptes 2020 natures'!N126/'4.1 Comptes 2020 natures'!N2</f>
        <v>0</v>
      </c>
      <c r="O126" s="4">
        <f>'4.1 Comptes 2020 natures'!O126/'4.1 Comptes 2020 natures'!O2</f>
        <v>3.8922143156132272</v>
      </c>
      <c r="P126" s="4">
        <f>'4.1 Comptes 2020 natures'!P126/'4.1 Comptes 2020 natures'!P2</f>
        <v>0</v>
      </c>
      <c r="Q126" s="4">
        <f>'4.1 Comptes 2020 natures'!Q126/'4.1 Comptes 2020 natures'!Q2</f>
        <v>0.16203703703703703</v>
      </c>
      <c r="R126" s="4">
        <f>'4.1 Comptes 2020 natures'!R126/'4.1 Comptes 2020 natures'!R2</f>
        <v>0.25156626506024099</v>
      </c>
      <c r="S126" s="4">
        <f>'4.1 Comptes 2020 natures'!S126/'4.1 Comptes 2020 natures'!S2</f>
        <v>0</v>
      </c>
      <c r="T126" s="4">
        <f>'4.1 Comptes 2020 natures'!T126/'4.1 Comptes 2020 natures'!T2</f>
        <v>0</v>
      </c>
      <c r="U126" s="4">
        <f>'4.1 Comptes 2020 natures'!U126/'4.1 Comptes 2020 natures'!U2</f>
        <v>0.31705882352941173</v>
      </c>
      <c r="V126" s="4">
        <f>'4.1 Comptes 2020 natures'!V126/'4.1 Comptes 2020 natures'!V2</f>
        <v>0.33222477064220179</v>
      </c>
      <c r="W126" s="4">
        <f>'4.1 Comptes 2020 natures'!W126/'4.1 Comptes 2020 natures'!W2</f>
        <v>0.26769592476489029</v>
      </c>
      <c r="X126" s="4">
        <f>'4.1 Comptes 2020 natures'!X126/'4.1 Comptes 2020 natures'!X2</f>
        <v>1.8254629629629631</v>
      </c>
      <c r="Y126" s="4">
        <f>'4.1 Comptes 2020 natures'!Y126/'4.1 Comptes 2020 natures'!Y2</f>
        <v>3.1075441412520064</v>
      </c>
      <c r="Z126" s="4">
        <f>'4.1 Comptes 2020 natures'!Z126/'4.1 Comptes 2020 natures'!Z2</f>
        <v>0.46960078534031413</v>
      </c>
      <c r="AA126" s="4">
        <f>'4.1 Comptes 2020 natures'!AA126/'4.1 Comptes 2020 natures'!AA2</f>
        <v>2.140625</v>
      </c>
      <c r="AB126" s="4">
        <f>'4.1 Comptes 2020 natures'!AB126/'4.1 Comptes 2020 natures'!AB2</f>
        <v>7.2966442953020136</v>
      </c>
      <c r="AC126" s="4">
        <f>'4.1 Comptes 2020 natures'!AC126/'4.1 Comptes 2020 natures'!AC2</f>
        <v>2.1976744186046511</v>
      </c>
      <c r="AD126" s="4">
        <f>'4.1 Comptes 2020 natures'!AD126/'4.1 Comptes 2020 natures'!AD2</f>
        <v>1.2400894187779434</v>
      </c>
      <c r="AE126" s="4">
        <f>'4.1 Comptes 2020 natures'!AE126/'4.1 Comptes 2020 natures'!AE2</f>
        <v>0.22194055944055943</v>
      </c>
      <c r="AF126" s="4">
        <f>'4.1 Comptes 2020 natures'!AF126/'4.1 Comptes 2020 natures'!AF2</f>
        <v>0</v>
      </c>
      <c r="AG126" s="4">
        <f>'4.1 Comptes 2020 natures'!AG126/'4.1 Comptes 2020 natures'!AG2</f>
        <v>1.6513584117032392</v>
      </c>
      <c r="AH126" s="4">
        <f>'4.1 Comptes 2020 natures'!AH126/'4.1 Comptes 2020 natures'!AH2</f>
        <v>0.31139579349904395</v>
      </c>
      <c r="AI126" s="4">
        <f>'4.1 Comptes 2020 natures'!AI126/'4.1 Comptes 2020 natures'!AI2</f>
        <v>0.85418502202643176</v>
      </c>
      <c r="AJ126" s="4">
        <f>'4.1 Comptes 2020 natures'!AJ126/'4.1 Comptes 2020 natures'!AJ2</f>
        <v>3.3587786259541983</v>
      </c>
      <c r="AK126" s="4">
        <f>'4.1 Comptes 2020 natures'!AK126/'4.1 Comptes 2020 natures'!AK2</f>
        <v>0.95664907651715037</v>
      </c>
      <c r="AL126" s="4">
        <f>'4.1 Comptes 2020 natures'!AL126/'4.1 Comptes 2020 natures'!AL2</f>
        <v>19.933876651982381</v>
      </c>
      <c r="AM126" s="4">
        <f>'4.1 Comptes 2020 natures'!AM126/'4.1 Comptes 2020 natures'!AM2</f>
        <v>9.0876309427880742</v>
      </c>
      <c r="AN126" s="4">
        <f>'4.1 Comptes 2020 natures'!AN126/'4.1 Comptes 2020 natures'!AN2</f>
        <v>3.3327731092436976</v>
      </c>
      <c r="AO126" s="4">
        <f>'4.1 Comptes 2020 natures'!AO126/'4.1 Comptes 2020 natures'!AO2</f>
        <v>0.40146443514644353</v>
      </c>
      <c r="AP126" s="4">
        <f>'4.1 Comptes 2020 natures'!AP126/'4.1 Comptes 2020 natures'!AP2</f>
        <v>3.2821266968325795</v>
      </c>
      <c r="AQ126" s="4">
        <f>'4.1 Comptes 2020 natures'!AQ126/'4.1 Comptes 2020 natures'!AQ2</f>
        <v>11.207286821705425</v>
      </c>
      <c r="AR126" s="4">
        <f>'4.1 Comptes 2020 natures'!AR126/'4.1 Comptes 2020 natures'!AR2</f>
        <v>10.04144893111639</v>
      </c>
      <c r="AS126" s="4">
        <f>'4.1 Comptes 2020 natures'!AS126/'4.1 Comptes 2020 natures'!AS2</f>
        <v>1.9915540540540539</v>
      </c>
      <c r="AT126" s="4">
        <f>'4.1 Comptes 2020 natures'!AT126/'4.1 Comptes 2020 natures'!AT2</f>
        <v>0.15136186770428015</v>
      </c>
      <c r="AU126" s="4">
        <f>'4.1 Comptes 2020 natures'!AU126/'4.1 Comptes 2020 natures'!AU2</f>
        <v>0.13248407643312102</v>
      </c>
      <c r="AV126" s="4">
        <f>'4.1 Comptes 2020 natures'!AV126/'4.1 Comptes 2020 natures'!AV2</f>
        <v>0.1756875</v>
      </c>
      <c r="AW126" s="4">
        <f>'4.1 Comptes 2020 natures'!AW126/'4.1 Comptes 2020 natures'!AW2</f>
        <v>1.7091390728476823</v>
      </c>
      <c r="AX126" s="4">
        <f>'4.1 Comptes 2020 natures'!AX126/'4.1 Comptes 2020 natures'!AX2</f>
        <v>10.496408839779004</v>
      </c>
      <c r="AY126" s="4">
        <f>'4.1 Comptes 2020 natures'!AY126/'4.1 Comptes 2020 natures'!AY2</f>
        <v>10.48314121037464</v>
      </c>
      <c r="AZ126" s="4">
        <f>'4.1 Comptes 2020 natures'!AZ126/'4.1 Comptes 2020 natures'!AZ2</f>
        <v>8.9041420118343204</v>
      </c>
      <c r="BA126" s="4">
        <f>'4.1 Comptes 2020 natures'!BA126/'4.1 Comptes 2020 natures'!BA2</f>
        <v>0.15051679586563307</v>
      </c>
      <c r="BB126" s="4">
        <f>'4.1 Comptes 2020 natures'!BB126/'4.1 Comptes 2020 natures'!BB2</f>
        <v>0.47390510948905107</v>
      </c>
      <c r="BC126" s="4">
        <f>'4.1 Comptes 2020 natures'!BC126/'4.1 Comptes 2020 natures'!BC2</f>
        <v>8.5611702127659566</v>
      </c>
      <c r="BD126" s="4">
        <f>'4.1 Comptes 2020 natures'!BD126/'4.1 Comptes 2020 natures'!BD2</f>
        <v>10.435475598383588</v>
      </c>
      <c r="BE126" s="4">
        <f>'4.1 Comptes 2020 natures'!BE126/'4.1 Comptes 2020 natures'!BE2</f>
        <v>11.913303571428571</v>
      </c>
      <c r="BF126" s="4">
        <f t="shared" si="78"/>
        <v>956.27340765699137</v>
      </c>
      <c r="BG126" s="4">
        <f t="shared" si="79"/>
        <v>807.77656163583595</v>
      </c>
      <c r="BH126" s="4">
        <f t="shared" si="80"/>
        <v>24.675299434863366</v>
      </c>
      <c r="BI126" s="4">
        <f t="shared" si="81"/>
        <v>123.82154658629206</v>
      </c>
    </row>
    <row r="127" spans="2:61" x14ac:dyDescent="0.3">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3">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1.2144420131291029</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280.54698952879579</v>
      </c>
      <c r="AA128" s="91">
        <f t="shared" si="82"/>
        <v>1661.3697916666667</v>
      </c>
      <c r="AB128" s="91">
        <f t="shared" si="82"/>
        <v>1354.7120805369127</v>
      </c>
      <c r="AC128" s="91">
        <f t="shared" si="82"/>
        <v>301.5538759689922</v>
      </c>
      <c r="AD128" s="91">
        <f t="shared" si="82"/>
        <v>0</v>
      </c>
      <c r="AE128" s="91">
        <f t="shared" si="82"/>
        <v>0</v>
      </c>
      <c r="AF128" s="91">
        <f t="shared" si="82"/>
        <v>1165.0985714285716</v>
      </c>
      <c r="AG128" s="91">
        <f t="shared" si="82"/>
        <v>219.03834900731454</v>
      </c>
      <c r="AH128" s="91">
        <f t="shared" si="82"/>
        <v>0</v>
      </c>
      <c r="AI128" s="91">
        <f t="shared" si="82"/>
        <v>23.315638766519822</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45.170229612034838</v>
      </c>
      <c r="AS128" s="91">
        <f t="shared" si="82"/>
        <v>0</v>
      </c>
      <c r="AT128" s="91">
        <f t="shared" si="82"/>
        <v>0</v>
      </c>
      <c r="AU128" s="91">
        <f t="shared" si="82"/>
        <v>0</v>
      </c>
      <c r="AV128" s="91">
        <f t="shared" si="82"/>
        <v>33.145125</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5085.1650935289363</v>
      </c>
      <c r="BG128" s="91">
        <f t="shared" si="82"/>
        <v>1.2144420131291029</v>
      </c>
      <c r="BH128" s="91">
        <f t="shared" si="82"/>
        <v>5005.6352969037735</v>
      </c>
      <c r="BI128" s="91">
        <f t="shared" si="82"/>
        <v>78.315354612034838</v>
      </c>
    </row>
    <row r="129" spans="2:61" x14ac:dyDescent="0.3">
      <c r="C129">
        <v>470</v>
      </c>
      <c r="D129" t="s">
        <v>180</v>
      </c>
      <c r="E129" s="4">
        <f>'4.1 Comptes 2020 natures'!E129/'4.1 Comptes 2020 natures'!E2</f>
        <v>0</v>
      </c>
      <c r="F129" s="4">
        <f>'4.1 Comptes 2020 natures'!F129/'4.1 Comptes 2020 natures'!F2</f>
        <v>0</v>
      </c>
      <c r="G129" s="4">
        <f>'4.1 Comptes 2020 natures'!G129/'4.1 Comptes 2020 natures'!G2</f>
        <v>0</v>
      </c>
      <c r="H129" s="4">
        <f>'4.1 Comptes 2020 natures'!H129/'4.1 Comptes 2020 natures'!H2</f>
        <v>0</v>
      </c>
      <c r="I129" s="4">
        <f>'4.1 Comptes 2020 natures'!I129/'4.1 Comptes 2020 natures'!I2</f>
        <v>0</v>
      </c>
      <c r="J129" s="4">
        <f>'4.1 Comptes 2020 natures'!J129/'4.1 Comptes 2020 natures'!J2</f>
        <v>0</v>
      </c>
      <c r="K129" s="4">
        <f>'4.1 Comptes 2020 natures'!K129/'4.1 Comptes 2020 natures'!K2</f>
        <v>0</v>
      </c>
      <c r="L129" s="4">
        <f>'4.1 Comptes 2020 natures'!L129/'4.1 Comptes 2020 natures'!L2</f>
        <v>0</v>
      </c>
      <c r="M129" s="4">
        <f>'4.1 Comptes 2020 natures'!M129/'4.1 Comptes 2020 natures'!M2</f>
        <v>1.2144420131291029</v>
      </c>
      <c r="N129" s="4">
        <f>'4.1 Comptes 2020 natures'!N129/'4.1 Comptes 2020 natures'!N2</f>
        <v>0</v>
      </c>
      <c r="O129" s="4">
        <f>'4.1 Comptes 2020 natures'!O129/'4.1 Comptes 2020 natures'!O2</f>
        <v>0</v>
      </c>
      <c r="P129" s="4">
        <f>'4.1 Comptes 2020 natures'!P129/'4.1 Comptes 2020 natures'!P2</f>
        <v>0</v>
      </c>
      <c r="Q129" s="4">
        <f>'4.1 Comptes 2020 natures'!Q129/'4.1 Comptes 2020 natures'!Q2</f>
        <v>0</v>
      </c>
      <c r="R129" s="4">
        <f>'4.1 Comptes 2020 natures'!R129/'4.1 Comptes 2020 natures'!R2</f>
        <v>0</v>
      </c>
      <c r="S129" s="4">
        <f>'4.1 Comptes 2020 natures'!S129/'4.1 Comptes 2020 natures'!S2</f>
        <v>0</v>
      </c>
      <c r="T129" s="4">
        <f>'4.1 Comptes 2020 natures'!T129/'4.1 Comptes 2020 natures'!T2</f>
        <v>0</v>
      </c>
      <c r="U129" s="4">
        <f>'4.1 Comptes 2020 natures'!U129/'4.1 Comptes 2020 natures'!U2</f>
        <v>0</v>
      </c>
      <c r="V129" s="4">
        <f>'4.1 Comptes 2020 natures'!V129/'4.1 Comptes 2020 natures'!V2</f>
        <v>0</v>
      </c>
      <c r="W129" s="4">
        <f>'4.1 Comptes 2020 natures'!W129/'4.1 Comptes 2020 natures'!W2</f>
        <v>0</v>
      </c>
      <c r="X129" s="4">
        <f>'4.1 Comptes 2020 natures'!X129/'4.1 Comptes 2020 natures'!X2</f>
        <v>0</v>
      </c>
      <c r="Y129" s="4">
        <f>'4.1 Comptes 2020 natures'!Y129/'4.1 Comptes 2020 natures'!Y2</f>
        <v>0</v>
      </c>
      <c r="Z129" s="4">
        <f>'4.1 Comptes 2020 natures'!Z129/'4.1 Comptes 2020 natures'!Z2</f>
        <v>280.54698952879579</v>
      </c>
      <c r="AA129" s="4">
        <f>'4.1 Comptes 2020 natures'!AA129/'4.1 Comptes 2020 natures'!AA2</f>
        <v>1661.3697916666667</v>
      </c>
      <c r="AB129" s="4">
        <f>'4.1 Comptes 2020 natures'!AB129/'4.1 Comptes 2020 natures'!AB2</f>
        <v>1354.7120805369127</v>
      </c>
      <c r="AC129" s="4">
        <f>'4.1 Comptes 2020 natures'!AC129/'4.1 Comptes 2020 natures'!AC2</f>
        <v>301.5538759689922</v>
      </c>
      <c r="AD129" s="4">
        <f>'4.1 Comptes 2020 natures'!AD129/'4.1 Comptes 2020 natures'!AD2</f>
        <v>0</v>
      </c>
      <c r="AE129" s="4">
        <f>'4.1 Comptes 2020 natures'!AE129/'4.1 Comptes 2020 natures'!AE2</f>
        <v>0</v>
      </c>
      <c r="AF129" s="4">
        <f>'4.1 Comptes 2020 natures'!AF129/'4.1 Comptes 2020 natures'!AF2</f>
        <v>1165.0985714285716</v>
      </c>
      <c r="AG129" s="4">
        <f>'4.1 Comptes 2020 natures'!AG129/'4.1 Comptes 2020 natures'!AG2</f>
        <v>219.03834900731454</v>
      </c>
      <c r="AH129" s="4">
        <f>'4.1 Comptes 2020 natures'!AH129/'4.1 Comptes 2020 natures'!AH2</f>
        <v>0</v>
      </c>
      <c r="AI129" s="4">
        <f>'4.1 Comptes 2020 natures'!AI129/'4.1 Comptes 2020 natures'!AI2</f>
        <v>23.315638766519822</v>
      </c>
      <c r="AJ129" s="4">
        <f>'4.1 Comptes 2020 natures'!AJ129/'4.1 Comptes 2020 natures'!AJ2</f>
        <v>0</v>
      </c>
      <c r="AK129" s="4">
        <f>'4.1 Comptes 2020 natures'!AK129/'4.1 Comptes 2020 natures'!AK2</f>
        <v>0</v>
      </c>
      <c r="AL129" s="4">
        <f>'4.1 Comptes 2020 natures'!AL129/'4.1 Comptes 2020 natures'!AL2</f>
        <v>0</v>
      </c>
      <c r="AM129" s="4">
        <f>'4.1 Comptes 2020 natures'!AM129/'4.1 Comptes 2020 natures'!AM2</f>
        <v>0</v>
      </c>
      <c r="AN129" s="4">
        <f>'4.1 Comptes 2020 natures'!AN129/'4.1 Comptes 2020 natures'!AN2</f>
        <v>0</v>
      </c>
      <c r="AO129" s="4">
        <f>'4.1 Comptes 2020 natures'!AO129/'4.1 Comptes 2020 natures'!AO2</f>
        <v>0</v>
      </c>
      <c r="AP129" s="4">
        <f>'4.1 Comptes 2020 natures'!AP129/'4.1 Comptes 2020 natures'!AP2</f>
        <v>0</v>
      </c>
      <c r="AQ129" s="4">
        <f>'4.1 Comptes 2020 natures'!AQ129/'4.1 Comptes 2020 natures'!AQ2</f>
        <v>0</v>
      </c>
      <c r="AR129" s="4">
        <f>'4.1 Comptes 2020 natures'!AR129/'4.1 Comptes 2020 natures'!AR2</f>
        <v>45.170229612034838</v>
      </c>
      <c r="AS129" s="4">
        <f>'4.1 Comptes 2020 natures'!AS129/'4.1 Comptes 2020 natures'!AS2</f>
        <v>0</v>
      </c>
      <c r="AT129" s="4">
        <f>'4.1 Comptes 2020 natures'!AT129/'4.1 Comptes 2020 natures'!AT2</f>
        <v>0</v>
      </c>
      <c r="AU129" s="4">
        <f>'4.1 Comptes 2020 natures'!AU129/'4.1 Comptes 2020 natures'!AU2</f>
        <v>0</v>
      </c>
      <c r="AV129" s="4">
        <f>'4.1 Comptes 2020 natures'!AV129/'4.1 Comptes 2020 natures'!AV2</f>
        <v>33.145125</v>
      </c>
      <c r="AW129" s="4">
        <f>'4.1 Comptes 2020 natures'!AW129/'4.1 Comptes 2020 natures'!AW2</f>
        <v>0</v>
      </c>
      <c r="AX129" s="4">
        <f>'4.1 Comptes 2020 natures'!AX129/'4.1 Comptes 2020 natures'!AX2</f>
        <v>0</v>
      </c>
      <c r="AY129" s="4">
        <f>'4.1 Comptes 2020 natures'!AY129/'4.1 Comptes 2020 natures'!AY2</f>
        <v>0</v>
      </c>
      <c r="AZ129" s="4">
        <f>'4.1 Comptes 2020 natures'!AZ129/'4.1 Comptes 2020 natures'!AZ2</f>
        <v>0</v>
      </c>
      <c r="BA129" s="4">
        <f>'4.1 Comptes 2020 natures'!BA129/'4.1 Comptes 2020 natures'!BA2</f>
        <v>0</v>
      </c>
      <c r="BB129" s="4">
        <f>'4.1 Comptes 2020 natures'!BB129/'4.1 Comptes 2020 natures'!BB2</f>
        <v>0</v>
      </c>
      <c r="BC129" s="4">
        <f>'4.1 Comptes 2020 natures'!BC129/'4.1 Comptes 2020 natures'!BC2</f>
        <v>0</v>
      </c>
      <c r="BD129" s="4">
        <f>'4.1 Comptes 2020 natures'!BD129/'4.1 Comptes 2020 natures'!BD2</f>
        <v>0</v>
      </c>
      <c r="BE129" s="4">
        <f>'4.1 Comptes 2020 natures'!BE129/'4.1 Comptes 2020 natures'!BE2</f>
        <v>0</v>
      </c>
      <c r="BF129" s="4">
        <f t="shared" ref="BF129" si="83">SUM(E129:BE129)</f>
        <v>5085.1650935289363</v>
      </c>
      <c r="BG129" s="4">
        <f t="shared" ref="BG129" si="84">SUM(E129:W129)</f>
        <v>1.2144420131291029</v>
      </c>
      <c r="BH129" s="4">
        <f t="shared" ref="BH129" si="85">SUM(X129:AJ129)</f>
        <v>5005.6352969037735</v>
      </c>
      <c r="BI129" s="4">
        <f t="shared" ref="BI129" si="86">SUM(AK129:BE129)</f>
        <v>78.315354612034838</v>
      </c>
    </row>
    <row r="130" spans="2:61" x14ac:dyDescent="0.3">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3">
      <c r="B131" s="96">
        <v>48</v>
      </c>
      <c r="C131" s="96"/>
      <c r="D131" s="96" t="s">
        <v>181</v>
      </c>
      <c r="E131" s="91">
        <f>E132+E133+E134+E135+E136+E137+E138</f>
        <v>0</v>
      </c>
      <c r="F131" s="91">
        <f t="shared" ref="F131:BI131" si="87">F132+F133+F134+F135+F136+F137+F138</f>
        <v>0</v>
      </c>
      <c r="G131" s="91">
        <f t="shared" si="87"/>
        <v>0</v>
      </c>
      <c r="H131" s="91">
        <f t="shared" si="87"/>
        <v>0</v>
      </c>
      <c r="I131" s="91">
        <f t="shared" si="87"/>
        <v>82.621867254199941</v>
      </c>
      <c r="J131" s="91">
        <f t="shared" si="87"/>
        <v>8.5481436764262</v>
      </c>
      <c r="K131" s="91">
        <f t="shared" si="87"/>
        <v>0.47457639939485624</v>
      </c>
      <c r="L131" s="91">
        <f t="shared" si="87"/>
        <v>87.177048660643521</v>
      </c>
      <c r="M131" s="91">
        <f t="shared" si="87"/>
        <v>29.175784099197667</v>
      </c>
      <c r="N131" s="91">
        <f t="shared" si="87"/>
        <v>0</v>
      </c>
      <c r="O131" s="91">
        <f t="shared" si="87"/>
        <v>3.8874424445374633</v>
      </c>
      <c r="P131" s="91">
        <f t="shared" si="87"/>
        <v>0</v>
      </c>
      <c r="Q131" s="91">
        <f t="shared" si="87"/>
        <v>185.18518518518519</v>
      </c>
      <c r="R131" s="91">
        <f t="shared" si="87"/>
        <v>0</v>
      </c>
      <c r="S131" s="91">
        <f t="shared" si="87"/>
        <v>0</v>
      </c>
      <c r="T131" s="91">
        <f t="shared" si="87"/>
        <v>14.112008733624455</v>
      </c>
      <c r="U131" s="91">
        <f t="shared" si="87"/>
        <v>0</v>
      </c>
      <c r="V131" s="91">
        <f t="shared" si="87"/>
        <v>0</v>
      </c>
      <c r="W131" s="91">
        <f t="shared" si="87"/>
        <v>0</v>
      </c>
      <c r="X131" s="91">
        <f t="shared" si="87"/>
        <v>0</v>
      </c>
      <c r="Y131" s="91">
        <f t="shared" si="87"/>
        <v>0</v>
      </c>
      <c r="Z131" s="91">
        <f t="shared" si="87"/>
        <v>0</v>
      </c>
      <c r="AA131" s="91">
        <f t="shared" si="87"/>
        <v>0</v>
      </c>
      <c r="AB131" s="91">
        <f t="shared" si="87"/>
        <v>0</v>
      </c>
      <c r="AC131" s="91">
        <f t="shared" si="87"/>
        <v>414.62465116279071</v>
      </c>
      <c r="AD131" s="91">
        <f t="shared" si="87"/>
        <v>240.13934426229508</v>
      </c>
      <c r="AE131" s="91">
        <f t="shared" si="87"/>
        <v>2.395104895104895E-2</v>
      </c>
      <c r="AF131" s="91">
        <f t="shared" si="87"/>
        <v>0</v>
      </c>
      <c r="AG131" s="91">
        <f t="shared" si="87"/>
        <v>0</v>
      </c>
      <c r="AH131" s="91">
        <f t="shared" si="87"/>
        <v>0</v>
      </c>
      <c r="AI131" s="91">
        <f t="shared" si="87"/>
        <v>0</v>
      </c>
      <c r="AJ131" s="91">
        <f t="shared" si="87"/>
        <v>0</v>
      </c>
      <c r="AK131" s="91">
        <f t="shared" si="87"/>
        <v>0</v>
      </c>
      <c r="AL131" s="91">
        <f t="shared" si="87"/>
        <v>0</v>
      </c>
      <c r="AM131" s="91">
        <f t="shared" si="87"/>
        <v>0</v>
      </c>
      <c r="AN131" s="91">
        <f t="shared" si="87"/>
        <v>0</v>
      </c>
      <c r="AO131" s="91">
        <f t="shared" si="87"/>
        <v>0</v>
      </c>
      <c r="AP131" s="91">
        <f t="shared" si="87"/>
        <v>0</v>
      </c>
      <c r="AQ131" s="91">
        <f t="shared" si="87"/>
        <v>0</v>
      </c>
      <c r="AR131" s="91">
        <f t="shared" si="87"/>
        <v>0</v>
      </c>
      <c r="AS131" s="91">
        <f t="shared" si="87"/>
        <v>0</v>
      </c>
      <c r="AT131" s="91">
        <f t="shared" si="87"/>
        <v>63.804620622568095</v>
      </c>
      <c r="AU131" s="91">
        <f t="shared" si="87"/>
        <v>0</v>
      </c>
      <c r="AV131" s="91">
        <f t="shared" si="87"/>
        <v>177.23291666666665</v>
      </c>
      <c r="AW131" s="91">
        <f t="shared" si="87"/>
        <v>0</v>
      </c>
      <c r="AX131" s="91">
        <f t="shared" si="87"/>
        <v>110.49723756906077</v>
      </c>
      <c r="AY131" s="91">
        <f t="shared" si="87"/>
        <v>0</v>
      </c>
      <c r="AZ131" s="91">
        <f t="shared" si="87"/>
        <v>0</v>
      </c>
      <c r="BA131" s="91">
        <f t="shared" si="87"/>
        <v>0</v>
      </c>
      <c r="BB131" s="91">
        <f t="shared" si="87"/>
        <v>0</v>
      </c>
      <c r="BC131" s="91">
        <f t="shared" si="87"/>
        <v>5.3191489361702126E-3</v>
      </c>
      <c r="BD131" s="91">
        <f t="shared" si="87"/>
        <v>23.935343487721479</v>
      </c>
      <c r="BE131" s="91">
        <f t="shared" si="87"/>
        <v>0</v>
      </c>
      <c r="BF131" s="91">
        <f t="shared" si="87"/>
        <v>1441.4454404221992</v>
      </c>
      <c r="BG131" s="91">
        <f t="shared" si="87"/>
        <v>411.18205645320927</v>
      </c>
      <c r="BH131" s="91">
        <f t="shared" si="87"/>
        <v>654.78794647403686</v>
      </c>
      <c r="BI131" s="91">
        <f t="shared" si="87"/>
        <v>375.47543749495316</v>
      </c>
    </row>
    <row r="132" spans="2:61" x14ac:dyDescent="0.3">
      <c r="C132">
        <v>481</v>
      </c>
      <c r="D132" t="s">
        <v>182</v>
      </c>
      <c r="E132" s="4">
        <f>'4.1 Comptes 2020 natures'!E132/'4.1 Comptes 2020 natures'!E2</f>
        <v>0</v>
      </c>
      <c r="F132" s="4">
        <f>'4.1 Comptes 2020 natures'!F132/'4.1 Comptes 2020 natures'!F2</f>
        <v>0</v>
      </c>
      <c r="G132" s="4">
        <f>'4.1 Comptes 2020 natures'!G132/'4.1 Comptes 2020 natures'!G2</f>
        <v>0</v>
      </c>
      <c r="H132" s="4">
        <f>'4.1 Comptes 2020 natures'!H132/'4.1 Comptes 2020 natures'!H2</f>
        <v>0</v>
      </c>
      <c r="I132" s="4">
        <f>'4.1 Comptes 2020 natures'!I132/'4.1 Comptes 2020 natures'!I2</f>
        <v>0</v>
      </c>
      <c r="J132" s="4">
        <f>'4.1 Comptes 2020 natures'!J132/'4.1 Comptes 2020 natures'!J2</f>
        <v>0</v>
      </c>
      <c r="K132" s="4">
        <f>'4.1 Comptes 2020 natures'!K132/'4.1 Comptes 2020 natures'!K2</f>
        <v>0</v>
      </c>
      <c r="L132" s="4">
        <f>'4.1 Comptes 2020 natures'!L132/'4.1 Comptes 2020 natures'!L2</f>
        <v>0</v>
      </c>
      <c r="M132" s="4">
        <f>'4.1 Comptes 2020 natures'!M132/'4.1 Comptes 2020 natures'!M2</f>
        <v>0</v>
      </c>
      <c r="N132" s="4">
        <f>'4.1 Comptes 2020 natures'!N132/'4.1 Comptes 2020 natures'!N2</f>
        <v>0</v>
      </c>
      <c r="O132" s="4">
        <f>'4.1 Comptes 2020 natures'!O132/'4.1 Comptes 2020 natures'!O2</f>
        <v>0</v>
      </c>
      <c r="P132" s="4">
        <f>'4.1 Comptes 2020 natures'!P132/'4.1 Comptes 2020 natures'!P2</f>
        <v>0</v>
      </c>
      <c r="Q132" s="4">
        <f>'4.1 Comptes 2020 natures'!Q132/'4.1 Comptes 2020 natures'!Q2</f>
        <v>0</v>
      </c>
      <c r="R132" s="4">
        <f>'4.1 Comptes 2020 natures'!R132/'4.1 Comptes 2020 natures'!R2</f>
        <v>0</v>
      </c>
      <c r="S132" s="4">
        <f>'4.1 Comptes 2020 natures'!S132/'4.1 Comptes 2020 natures'!S2</f>
        <v>0</v>
      </c>
      <c r="T132" s="4">
        <f>'4.1 Comptes 2020 natures'!T132/'4.1 Comptes 2020 natures'!T2</f>
        <v>0</v>
      </c>
      <c r="U132" s="4">
        <f>'4.1 Comptes 2020 natures'!U132/'4.1 Comptes 2020 natures'!U2</f>
        <v>0</v>
      </c>
      <c r="V132" s="4">
        <f>'4.1 Comptes 2020 natures'!V132/'4.1 Comptes 2020 natures'!V2</f>
        <v>0</v>
      </c>
      <c r="W132" s="4">
        <f>'4.1 Comptes 2020 natures'!W132/'4.1 Comptes 2020 natures'!W2</f>
        <v>0</v>
      </c>
      <c r="X132" s="4">
        <f>'4.1 Comptes 2020 natures'!X132/'4.1 Comptes 2020 natures'!X2</f>
        <v>0</v>
      </c>
      <c r="Y132" s="4">
        <f>'4.1 Comptes 2020 natures'!Y132/'4.1 Comptes 2020 natures'!Y2</f>
        <v>0</v>
      </c>
      <c r="Z132" s="4">
        <f>'4.1 Comptes 2020 natures'!Z132/'4.1 Comptes 2020 natures'!Z2</f>
        <v>0</v>
      </c>
      <c r="AA132" s="4">
        <f>'4.1 Comptes 2020 natures'!AA132/'4.1 Comptes 2020 natures'!AA2</f>
        <v>0</v>
      </c>
      <c r="AB132" s="4">
        <f>'4.1 Comptes 2020 natures'!AB132/'4.1 Comptes 2020 natures'!AB2</f>
        <v>0</v>
      </c>
      <c r="AC132" s="4">
        <f>'4.1 Comptes 2020 natures'!AC132/'4.1 Comptes 2020 natures'!AC2</f>
        <v>0</v>
      </c>
      <c r="AD132" s="4">
        <f>'4.1 Comptes 2020 natures'!AD132/'4.1 Comptes 2020 natures'!AD2</f>
        <v>0</v>
      </c>
      <c r="AE132" s="4">
        <f>'4.1 Comptes 2020 natures'!AE132/'4.1 Comptes 2020 natures'!AE2</f>
        <v>0</v>
      </c>
      <c r="AF132" s="4">
        <f>'4.1 Comptes 2020 natures'!AF132/'4.1 Comptes 2020 natures'!AF2</f>
        <v>0</v>
      </c>
      <c r="AG132" s="4">
        <f>'4.1 Comptes 2020 natures'!AG132/'4.1 Comptes 2020 natures'!AG2</f>
        <v>0</v>
      </c>
      <c r="AH132" s="4">
        <f>'4.1 Comptes 2020 natures'!AH132/'4.1 Comptes 2020 natures'!AH2</f>
        <v>0</v>
      </c>
      <c r="AI132" s="4">
        <f>'4.1 Comptes 2020 natures'!AI132/'4.1 Comptes 2020 natures'!AI2</f>
        <v>0</v>
      </c>
      <c r="AJ132" s="4">
        <f>'4.1 Comptes 2020 natures'!AJ132/'4.1 Comptes 2020 natures'!AJ2</f>
        <v>0</v>
      </c>
      <c r="AK132" s="4">
        <f>'4.1 Comptes 2020 natures'!AK132/'4.1 Comptes 2020 natures'!AK2</f>
        <v>0</v>
      </c>
      <c r="AL132" s="4">
        <f>'4.1 Comptes 2020 natures'!AL132/'4.1 Comptes 2020 natures'!AL2</f>
        <v>0</v>
      </c>
      <c r="AM132" s="4">
        <f>'4.1 Comptes 2020 natures'!AM132/'4.1 Comptes 2020 natures'!AM2</f>
        <v>0</v>
      </c>
      <c r="AN132" s="4">
        <f>'4.1 Comptes 2020 natures'!AN132/'4.1 Comptes 2020 natures'!AN2</f>
        <v>0</v>
      </c>
      <c r="AO132" s="4">
        <f>'4.1 Comptes 2020 natures'!AO132/'4.1 Comptes 2020 natures'!AO2</f>
        <v>0</v>
      </c>
      <c r="AP132" s="4">
        <f>'4.1 Comptes 2020 natures'!AP132/'4.1 Comptes 2020 natures'!AP2</f>
        <v>0</v>
      </c>
      <c r="AQ132" s="4">
        <f>'4.1 Comptes 2020 natures'!AQ132/'4.1 Comptes 2020 natures'!AQ2</f>
        <v>0</v>
      </c>
      <c r="AR132" s="4">
        <f>'4.1 Comptes 2020 natures'!AR132/'4.1 Comptes 2020 natures'!AR2</f>
        <v>0</v>
      </c>
      <c r="AS132" s="4">
        <f>'4.1 Comptes 2020 natures'!AS132/'4.1 Comptes 2020 natures'!AS2</f>
        <v>0</v>
      </c>
      <c r="AT132" s="4">
        <f>'4.1 Comptes 2020 natures'!AT132/'4.1 Comptes 2020 natures'!AT2</f>
        <v>0</v>
      </c>
      <c r="AU132" s="4">
        <f>'4.1 Comptes 2020 natures'!AU132/'4.1 Comptes 2020 natures'!AU2</f>
        <v>0</v>
      </c>
      <c r="AV132" s="4">
        <f>'4.1 Comptes 2020 natures'!AV132/'4.1 Comptes 2020 natures'!AV2</f>
        <v>0</v>
      </c>
      <c r="AW132" s="4">
        <f>'4.1 Comptes 2020 natures'!AW132/'4.1 Comptes 2020 natures'!AW2</f>
        <v>0</v>
      </c>
      <c r="AX132" s="4">
        <f>'4.1 Comptes 2020 natures'!AX132/'4.1 Comptes 2020 natures'!AX2</f>
        <v>0</v>
      </c>
      <c r="AY132" s="4">
        <f>'4.1 Comptes 2020 natures'!AY132/'4.1 Comptes 2020 natures'!AY2</f>
        <v>0</v>
      </c>
      <c r="AZ132" s="4">
        <f>'4.1 Comptes 2020 natures'!AZ132/'4.1 Comptes 2020 natures'!AZ2</f>
        <v>0</v>
      </c>
      <c r="BA132" s="4">
        <f>'4.1 Comptes 2020 natures'!BA132/'4.1 Comptes 2020 natures'!BA2</f>
        <v>0</v>
      </c>
      <c r="BB132" s="4">
        <f>'4.1 Comptes 2020 natures'!BB132/'4.1 Comptes 2020 natures'!BB2</f>
        <v>0</v>
      </c>
      <c r="BC132" s="4">
        <f>'4.1 Comptes 2020 natures'!BC132/'4.1 Comptes 2020 natures'!BC2</f>
        <v>0</v>
      </c>
      <c r="BD132" s="4">
        <f>'4.1 Comptes 2020 natures'!BD132/'4.1 Comptes 2020 natures'!BD2</f>
        <v>0</v>
      </c>
      <c r="BE132" s="4">
        <f>'4.1 Comptes 2020 natures'!BE132/'4.1 Comptes 2020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3">
      <c r="C133">
        <v>482</v>
      </c>
      <c r="D133" t="s">
        <v>183</v>
      </c>
      <c r="E133" s="4">
        <f>'4.1 Comptes 2020 natures'!E133/'4.1 Comptes 2020 natures'!E2</f>
        <v>0</v>
      </c>
      <c r="F133" s="4">
        <f>'4.1 Comptes 2020 natures'!F133/'4.1 Comptes 2020 natures'!F2</f>
        <v>0</v>
      </c>
      <c r="G133" s="4">
        <f>'4.1 Comptes 2020 natures'!G133/'4.1 Comptes 2020 natures'!G2</f>
        <v>0</v>
      </c>
      <c r="H133" s="4">
        <f>'4.1 Comptes 2020 natures'!H133/'4.1 Comptes 2020 natures'!H2</f>
        <v>0</v>
      </c>
      <c r="I133" s="4">
        <f>'4.1 Comptes 2020 natures'!I133/'4.1 Comptes 2020 natures'!I2</f>
        <v>0</v>
      </c>
      <c r="J133" s="4">
        <f>'4.1 Comptes 2020 natures'!J133/'4.1 Comptes 2020 natures'!J2</f>
        <v>0</v>
      </c>
      <c r="K133" s="4">
        <f>'4.1 Comptes 2020 natures'!K133/'4.1 Comptes 2020 natures'!K2</f>
        <v>0</v>
      </c>
      <c r="L133" s="4">
        <f>'4.1 Comptes 2020 natures'!L133/'4.1 Comptes 2020 natures'!L2</f>
        <v>0</v>
      </c>
      <c r="M133" s="4">
        <f>'4.1 Comptes 2020 natures'!M133/'4.1 Comptes 2020 natures'!M2</f>
        <v>0</v>
      </c>
      <c r="N133" s="4">
        <f>'4.1 Comptes 2020 natures'!N133/'4.1 Comptes 2020 natures'!N2</f>
        <v>0</v>
      </c>
      <c r="O133" s="4">
        <f>'4.1 Comptes 2020 natures'!O133/'4.1 Comptes 2020 natures'!O2</f>
        <v>0</v>
      </c>
      <c r="P133" s="4">
        <f>'4.1 Comptes 2020 natures'!P133/'4.1 Comptes 2020 natures'!P2</f>
        <v>0</v>
      </c>
      <c r="Q133" s="4">
        <f>'4.1 Comptes 2020 natures'!Q133/'4.1 Comptes 2020 natures'!Q2</f>
        <v>0</v>
      </c>
      <c r="R133" s="4">
        <f>'4.1 Comptes 2020 natures'!R133/'4.1 Comptes 2020 natures'!R2</f>
        <v>0</v>
      </c>
      <c r="S133" s="4">
        <f>'4.1 Comptes 2020 natures'!S133/'4.1 Comptes 2020 natures'!S2</f>
        <v>0</v>
      </c>
      <c r="T133" s="4">
        <f>'4.1 Comptes 2020 natures'!T133/'4.1 Comptes 2020 natures'!T2</f>
        <v>0</v>
      </c>
      <c r="U133" s="4">
        <f>'4.1 Comptes 2020 natures'!U133/'4.1 Comptes 2020 natures'!U2</f>
        <v>0</v>
      </c>
      <c r="V133" s="4">
        <f>'4.1 Comptes 2020 natures'!V133/'4.1 Comptes 2020 natures'!V2</f>
        <v>0</v>
      </c>
      <c r="W133" s="4">
        <f>'4.1 Comptes 2020 natures'!W133/'4.1 Comptes 2020 natures'!W2</f>
        <v>0</v>
      </c>
      <c r="X133" s="4">
        <f>'4.1 Comptes 2020 natures'!X133/'4.1 Comptes 2020 natures'!X2</f>
        <v>0</v>
      </c>
      <c r="Y133" s="4">
        <f>'4.1 Comptes 2020 natures'!Y133/'4.1 Comptes 2020 natures'!Y2</f>
        <v>0</v>
      </c>
      <c r="Z133" s="4">
        <f>'4.1 Comptes 2020 natures'!Z133/'4.1 Comptes 2020 natures'!Z2</f>
        <v>0</v>
      </c>
      <c r="AA133" s="4">
        <f>'4.1 Comptes 2020 natures'!AA133/'4.1 Comptes 2020 natures'!AA2</f>
        <v>0</v>
      </c>
      <c r="AB133" s="4">
        <f>'4.1 Comptes 2020 natures'!AB133/'4.1 Comptes 2020 natures'!AB2</f>
        <v>0</v>
      </c>
      <c r="AC133" s="4">
        <f>'4.1 Comptes 2020 natures'!AC133/'4.1 Comptes 2020 natures'!AC2</f>
        <v>0</v>
      </c>
      <c r="AD133" s="4">
        <f>'4.1 Comptes 2020 natures'!AD133/'4.1 Comptes 2020 natures'!AD2</f>
        <v>14.903129657228018</v>
      </c>
      <c r="AE133" s="4">
        <f>'4.1 Comptes 2020 natures'!AE133/'4.1 Comptes 2020 natures'!AE2</f>
        <v>0</v>
      </c>
      <c r="AF133" s="4">
        <f>'4.1 Comptes 2020 natures'!AF133/'4.1 Comptes 2020 natures'!AF2</f>
        <v>0</v>
      </c>
      <c r="AG133" s="4">
        <f>'4.1 Comptes 2020 natures'!AG133/'4.1 Comptes 2020 natures'!AG2</f>
        <v>0</v>
      </c>
      <c r="AH133" s="4">
        <f>'4.1 Comptes 2020 natures'!AH133/'4.1 Comptes 2020 natures'!AH2</f>
        <v>0</v>
      </c>
      <c r="AI133" s="4">
        <f>'4.1 Comptes 2020 natures'!AI133/'4.1 Comptes 2020 natures'!AI2</f>
        <v>0</v>
      </c>
      <c r="AJ133" s="4">
        <f>'4.1 Comptes 2020 natures'!AJ133/'4.1 Comptes 2020 natures'!AJ2</f>
        <v>0</v>
      </c>
      <c r="AK133" s="4">
        <f>'4.1 Comptes 2020 natures'!AK133/'4.1 Comptes 2020 natures'!AK2</f>
        <v>0</v>
      </c>
      <c r="AL133" s="4">
        <f>'4.1 Comptes 2020 natures'!AL133/'4.1 Comptes 2020 natures'!AL2</f>
        <v>0</v>
      </c>
      <c r="AM133" s="4">
        <f>'4.1 Comptes 2020 natures'!AM133/'4.1 Comptes 2020 natures'!AM2</f>
        <v>0</v>
      </c>
      <c r="AN133" s="4">
        <f>'4.1 Comptes 2020 natures'!AN133/'4.1 Comptes 2020 natures'!AN2</f>
        <v>0</v>
      </c>
      <c r="AO133" s="4">
        <f>'4.1 Comptes 2020 natures'!AO133/'4.1 Comptes 2020 natures'!AO2</f>
        <v>0</v>
      </c>
      <c r="AP133" s="4">
        <f>'4.1 Comptes 2020 natures'!AP133/'4.1 Comptes 2020 natures'!AP2</f>
        <v>0</v>
      </c>
      <c r="AQ133" s="4">
        <f>'4.1 Comptes 2020 natures'!AQ133/'4.1 Comptes 2020 natures'!AQ2</f>
        <v>0</v>
      </c>
      <c r="AR133" s="4">
        <f>'4.1 Comptes 2020 natures'!AR133/'4.1 Comptes 2020 natures'!AR2</f>
        <v>0</v>
      </c>
      <c r="AS133" s="4">
        <f>'4.1 Comptes 2020 natures'!AS133/'4.1 Comptes 2020 natures'!AS2</f>
        <v>0</v>
      </c>
      <c r="AT133" s="4">
        <f>'4.1 Comptes 2020 natures'!AT133/'4.1 Comptes 2020 natures'!AT2</f>
        <v>0</v>
      </c>
      <c r="AU133" s="4">
        <f>'4.1 Comptes 2020 natures'!AU133/'4.1 Comptes 2020 natures'!AU2</f>
        <v>0</v>
      </c>
      <c r="AV133" s="4">
        <f>'4.1 Comptes 2020 natures'!AV133/'4.1 Comptes 2020 natures'!AV2</f>
        <v>0</v>
      </c>
      <c r="AW133" s="4">
        <f>'4.1 Comptes 2020 natures'!AW133/'4.1 Comptes 2020 natures'!AW2</f>
        <v>0</v>
      </c>
      <c r="AX133" s="4">
        <f>'4.1 Comptes 2020 natures'!AX133/'4.1 Comptes 2020 natures'!AX2</f>
        <v>0</v>
      </c>
      <c r="AY133" s="4">
        <f>'4.1 Comptes 2020 natures'!AY133/'4.1 Comptes 2020 natures'!AY2</f>
        <v>0</v>
      </c>
      <c r="AZ133" s="4">
        <f>'4.1 Comptes 2020 natures'!AZ133/'4.1 Comptes 2020 natures'!AZ2</f>
        <v>0</v>
      </c>
      <c r="BA133" s="4">
        <f>'4.1 Comptes 2020 natures'!BA133/'4.1 Comptes 2020 natures'!BA2</f>
        <v>0</v>
      </c>
      <c r="BB133" s="4">
        <f>'4.1 Comptes 2020 natures'!BB133/'4.1 Comptes 2020 natures'!BB2</f>
        <v>0</v>
      </c>
      <c r="BC133" s="4">
        <f>'4.1 Comptes 2020 natures'!BC133/'4.1 Comptes 2020 natures'!BC2</f>
        <v>0</v>
      </c>
      <c r="BD133" s="4">
        <f>'4.1 Comptes 2020 natures'!BD133/'4.1 Comptes 2020 natures'!BD2</f>
        <v>0</v>
      </c>
      <c r="BE133" s="4">
        <f>'4.1 Comptes 2020 natures'!BE133/'4.1 Comptes 2020 natures'!BE2</f>
        <v>0</v>
      </c>
      <c r="BF133" s="4">
        <f t="shared" si="88"/>
        <v>14.903129657228018</v>
      </c>
      <c r="BG133" s="4">
        <f t="shared" si="89"/>
        <v>0</v>
      </c>
      <c r="BH133" s="4">
        <f t="shared" si="90"/>
        <v>14.903129657228018</v>
      </c>
      <c r="BI133" s="4">
        <f t="shared" si="91"/>
        <v>0</v>
      </c>
    </row>
    <row r="134" spans="2:61" x14ac:dyDescent="0.3">
      <c r="C134">
        <v>483</v>
      </c>
      <c r="D134" t="s">
        <v>184</v>
      </c>
      <c r="E134" s="4">
        <f>'4.1 Comptes 2020 natures'!E134/'4.1 Comptes 2020 natures'!E2</f>
        <v>0</v>
      </c>
      <c r="F134" s="4">
        <f>'4.1 Comptes 2020 natures'!F134/'4.1 Comptes 2020 natures'!F2</f>
        <v>0</v>
      </c>
      <c r="G134" s="4">
        <f>'4.1 Comptes 2020 natures'!G134/'4.1 Comptes 2020 natures'!G2</f>
        <v>0</v>
      </c>
      <c r="H134" s="4">
        <f>'4.1 Comptes 2020 natures'!H134/'4.1 Comptes 2020 natures'!H2</f>
        <v>0</v>
      </c>
      <c r="I134" s="4">
        <f>'4.1 Comptes 2020 natures'!I134/'4.1 Comptes 2020 natures'!I2</f>
        <v>0</v>
      </c>
      <c r="J134" s="4">
        <f>'4.1 Comptes 2020 natures'!J134/'4.1 Comptes 2020 natures'!J2</f>
        <v>8.5481436764262</v>
      </c>
      <c r="K134" s="4">
        <f>'4.1 Comptes 2020 natures'!K134/'4.1 Comptes 2020 natures'!K2</f>
        <v>0</v>
      </c>
      <c r="L134" s="4">
        <f>'4.1 Comptes 2020 natures'!L134/'4.1 Comptes 2020 natures'!L2</f>
        <v>0</v>
      </c>
      <c r="M134" s="4">
        <f>'4.1 Comptes 2020 natures'!M134/'4.1 Comptes 2020 natures'!M2</f>
        <v>0</v>
      </c>
      <c r="N134" s="4">
        <f>'4.1 Comptes 2020 natures'!N134/'4.1 Comptes 2020 natures'!N2</f>
        <v>0</v>
      </c>
      <c r="O134" s="4">
        <f>'4.1 Comptes 2020 natures'!O134/'4.1 Comptes 2020 natures'!O2</f>
        <v>0</v>
      </c>
      <c r="P134" s="4">
        <f>'4.1 Comptes 2020 natures'!P134/'4.1 Comptes 2020 natures'!P2</f>
        <v>0</v>
      </c>
      <c r="Q134" s="4">
        <f>'4.1 Comptes 2020 natures'!Q134/'4.1 Comptes 2020 natures'!Q2</f>
        <v>0</v>
      </c>
      <c r="R134" s="4">
        <f>'4.1 Comptes 2020 natures'!R134/'4.1 Comptes 2020 natures'!R2</f>
        <v>0</v>
      </c>
      <c r="S134" s="4">
        <f>'4.1 Comptes 2020 natures'!S134/'4.1 Comptes 2020 natures'!S2</f>
        <v>0</v>
      </c>
      <c r="T134" s="4">
        <f>'4.1 Comptes 2020 natures'!T134/'4.1 Comptes 2020 natures'!T2</f>
        <v>14.112008733624455</v>
      </c>
      <c r="U134" s="4">
        <f>'4.1 Comptes 2020 natures'!U134/'4.1 Comptes 2020 natures'!U2</f>
        <v>0</v>
      </c>
      <c r="V134" s="4">
        <f>'4.1 Comptes 2020 natures'!V134/'4.1 Comptes 2020 natures'!V2</f>
        <v>0</v>
      </c>
      <c r="W134" s="4">
        <f>'4.1 Comptes 2020 natures'!W134/'4.1 Comptes 2020 natures'!W2</f>
        <v>0</v>
      </c>
      <c r="X134" s="4">
        <f>'4.1 Comptes 2020 natures'!X134/'4.1 Comptes 2020 natures'!X2</f>
        <v>0</v>
      </c>
      <c r="Y134" s="4">
        <f>'4.1 Comptes 2020 natures'!Y134/'4.1 Comptes 2020 natures'!Y2</f>
        <v>0</v>
      </c>
      <c r="Z134" s="4">
        <f>'4.1 Comptes 2020 natures'!Z134/'4.1 Comptes 2020 natures'!Z2</f>
        <v>0</v>
      </c>
      <c r="AA134" s="4">
        <f>'4.1 Comptes 2020 natures'!AA134/'4.1 Comptes 2020 natures'!AA2</f>
        <v>0</v>
      </c>
      <c r="AB134" s="4">
        <f>'4.1 Comptes 2020 natures'!AB134/'4.1 Comptes 2020 natures'!AB2</f>
        <v>0</v>
      </c>
      <c r="AC134" s="4">
        <f>'4.1 Comptes 2020 natures'!AC134/'4.1 Comptes 2020 natures'!AC2</f>
        <v>0</v>
      </c>
      <c r="AD134" s="4">
        <f>'4.1 Comptes 2020 natures'!AD134/'4.1 Comptes 2020 natures'!AD2</f>
        <v>0</v>
      </c>
      <c r="AE134" s="4">
        <f>'4.1 Comptes 2020 natures'!AE134/'4.1 Comptes 2020 natures'!AE2</f>
        <v>0</v>
      </c>
      <c r="AF134" s="4">
        <f>'4.1 Comptes 2020 natures'!AF134/'4.1 Comptes 2020 natures'!AF2</f>
        <v>0</v>
      </c>
      <c r="AG134" s="4">
        <f>'4.1 Comptes 2020 natures'!AG134/'4.1 Comptes 2020 natures'!AG2</f>
        <v>0</v>
      </c>
      <c r="AH134" s="4">
        <f>'4.1 Comptes 2020 natures'!AH134/'4.1 Comptes 2020 natures'!AH2</f>
        <v>0</v>
      </c>
      <c r="AI134" s="4">
        <f>'4.1 Comptes 2020 natures'!AI134/'4.1 Comptes 2020 natures'!AI2</f>
        <v>0</v>
      </c>
      <c r="AJ134" s="4">
        <f>'4.1 Comptes 2020 natures'!AJ134/'4.1 Comptes 2020 natures'!AJ2</f>
        <v>0</v>
      </c>
      <c r="AK134" s="4">
        <f>'4.1 Comptes 2020 natures'!AK134/'4.1 Comptes 2020 natures'!AK2</f>
        <v>0</v>
      </c>
      <c r="AL134" s="4">
        <f>'4.1 Comptes 2020 natures'!AL134/'4.1 Comptes 2020 natures'!AL2</f>
        <v>0</v>
      </c>
      <c r="AM134" s="4">
        <f>'4.1 Comptes 2020 natures'!AM134/'4.1 Comptes 2020 natures'!AM2</f>
        <v>0</v>
      </c>
      <c r="AN134" s="4">
        <f>'4.1 Comptes 2020 natures'!AN134/'4.1 Comptes 2020 natures'!AN2</f>
        <v>0</v>
      </c>
      <c r="AO134" s="4">
        <f>'4.1 Comptes 2020 natures'!AO134/'4.1 Comptes 2020 natures'!AO2</f>
        <v>0</v>
      </c>
      <c r="AP134" s="4">
        <f>'4.1 Comptes 2020 natures'!AP134/'4.1 Comptes 2020 natures'!AP2</f>
        <v>0</v>
      </c>
      <c r="AQ134" s="4">
        <f>'4.1 Comptes 2020 natures'!AQ134/'4.1 Comptes 2020 natures'!AQ2</f>
        <v>0</v>
      </c>
      <c r="AR134" s="4">
        <f>'4.1 Comptes 2020 natures'!AR134/'4.1 Comptes 2020 natures'!AR2</f>
        <v>0</v>
      </c>
      <c r="AS134" s="4">
        <f>'4.1 Comptes 2020 natures'!AS134/'4.1 Comptes 2020 natures'!AS2</f>
        <v>0</v>
      </c>
      <c r="AT134" s="4">
        <f>'4.1 Comptes 2020 natures'!AT134/'4.1 Comptes 2020 natures'!AT2</f>
        <v>0</v>
      </c>
      <c r="AU134" s="4">
        <f>'4.1 Comptes 2020 natures'!AU134/'4.1 Comptes 2020 natures'!AU2</f>
        <v>0</v>
      </c>
      <c r="AV134" s="4">
        <f>'4.1 Comptes 2020 natures'!AV134/'4.1 Comptes 2020 natures'!AV2</f>
        <v>0</v>
      </c>
      <c r="AW134" s="4">
        <f>'4.1 Comptes 2020 natures'!AW134/'4.1 Comptes 2020 natures'!AW2</f>
        <v>0</v>
      </c>
      <c r="AX134" s="4">
        <f>'4.1 Comptes 2020 natures'!AX134/'4.1 Comptes 2020 natures'!AX2</f>
        <v>0</v>
      </c>
      <c r="AY134" s="4">
        <f>'4.1 Comptes 2020 natures'!AY134/'4.1 Comptes 2020 natures'!AY2</f>
        <v>0</v>
      </c>
      <c r="AZ134" s="4">
        <f>'4.1 Comptes 2020 natures'!AZ134/'4.1 Comptes 2020 natures'!AZ2</f>
        <v>0</v>
      </c>
      <c r="BA134" s="4">
        <f>'4.1 Comptes 2020 natures'!BA134/'4.1 Comptes 2020 natures'!BA2</f>
        <v>0</v>
      </c>
      <c r="BB134" s="4">
        <f>'4.1 Comptes 2020 natures'!BB134/'4.1 Comptes 2020 natures'!BB2</f>
        <v>0</v>
      </c>
      <c r="BC134" s="4">
        <f>'4.1 Comptes 2020 natures'!BC134/'4.1 Comptes 2020 natures'!BC2</f>
        <v>0</v>
      </c>
      <c r="BD134" s="4">
        <f>'4.1 Comptes 2020 natures'!BD134/'4.1 Comptes 2020 natures'!BD2</f>
        <v>0</v>
      </c>
      <c r="BE134" s="4">
        <f>'4.1 Comptes 2020 natures'!BE134/'4.1 Comptes 2020 natures'!BE2</f>
        <v>0</v>
      </c>
      <c r="BF134" s="4">
        <f t="shared" si="88"/>
        <v>22.660152410050657</v>
      </c>
      <c r="BG134" s="4">
        <f t="shared" si="89"/>
        <v>22.660152410050657</v>
      </c>
      <c r="BH134" s="4">
        <f t="shared" si="90"/>
        <v>0</v>
      </c>
      <c r="BI134" s="4">
        <f t="shared" si="91"/>
        <v>0</v>
      </c>
    </row>
    <row r="135" spans="2:61" x14ac:dyDescent="0.3">
      <c r="C135">
        <v>484</v>
      </c>
      <c r="D135" t="s">
        <v>185</v>
      </c>
      <c r="E135" s="4">
        <f>'4.1 Comptes 2020 natures'!E135/'4.1 Comptes 2020 natures'!E2</f>
        <v>0</v>
      </c>
      <c r="F135" s="4">
        <f>'4.1 Comptes 2020 natures'!F135/'4.1 Comptes 2020 natures'!F2</f>
        <v>0</v>
      </c>
      <c r="G135" s="4">
        <f>'4.1 Comptes 2020 natures'!G135/'4.1 Comptes 2020 natures'!G2</f>
        <v>0</v>
      </c>
      <c r="H135" s="4">
        <f>'4.1 Comptes 2020 natures'!H135/'4.1 Comptes 2020 natures'!H2</f>
        <v>0</v>
      </c>
      <c r="I135" s="4">
        <f>'4.1 Comptes 2020 natures'!I135/'4.1 Comptes 2020 natures'!I2</f>
        <v>0</v>
      </c>
      <c r="J135" s="4">
        <f>'4.1 Comptes 2020 natures'!J135/'4.1 Comptes 2020 natures'!J2</f>
        <v>0</v>
      </c>
      <c r="K135" s="4">
        <f>'4.1 Comptes 2020 natures'!K135/'4.1 Comptes 2020 natures'!K2</f>
        <v>0.47457639939485624</v>
      </c>
      <c r="L135" s="4">
        <f>'4.1 Comptes 2020 natures'!L135/'4.1 Comptes 2020 natures'!L2</f>
        <v>0</v>
      </c>
      <c r="M135" s="4">
        <f>'4.1 Comptes 2020 natures'!M135/'4.1 Comptes 2020 natures'!M2</f>
        <v>0</v>
      </c>
      <c r="N135" s="4">
        <f>'4.1 Comptes 2020 natures'!N135/'4.1 Comptes 2020 natures'!N2</f>
        <v>0</v>
      </c>
      <c r="O135" s="4">
        <f>'4.1 Comptes 2020 natures'!O135/'4.1 Comptes 2020 natures'!O2</f>
        <v>3.5416492256174132</v>
      </c>
      <c r="P135" s="4">
        <f>'4.1 Comptes 2020 natures'!P135/'4.1 Comptes 2020 natures'!P2</f>
        <v>0</v>
      </c>
      <c r="Q135" s="4">
        <f>'4.1 Comptes 2020 natures'!Q135/'4.1 Comptes 2020 natures'!Q2</f>
        <v>0</v>
      </c>
      <c r="R135" s="4">
        <f>'4.1 Comptes 2020 natures'!R135/'4.1 Comptes 2020 natures'!R2</f>
        <v>0</v>
      </c>
      <c r="S135" s="4">
        <f>'4.1 Comptes 2020 natures'!S135/'4.1 Comptes 2020 natures'!S2</f>
        <v>0</v>
      </c>
      <c r="T135" s="4">
        <f>'4.1 Comptes 2020 natures'!T135/'4.1 Comptes 2020 natures'!T2</f>
        <v>0</v>
      </c>
      <c r="U135" s="4">
        <f>'4.1 Comptes 2020 natures'!U135/'4.1 Comptes 2020 natures'!U2</f>
        <v>0</v>
      </c>
      <c r="V135" s="4">
        <f>'4.1 Comptes 2020 natures'!V135/'4.1 Comptes 2020 natures'!V2</f>
        <v>0</v>
      </c>
      <c r="W135" s="4">
        <f>'4.1 Comptes 2020 natures'!W135/'4.1 Comptes 2020 natures'!W2</f>
        <v>0</v>
      </c>
      <c r="X135" s="4">
        <f>'4.1 Comptes 2020 natures'!X135/'4.1 Comptes 2020 natures'!X2</f>
        <v>0</v>
      </c>
      <c r="Y135" s="4">
        <f>'4.1 Comptes 2020 natures'!Y135/'4.1 Comptes 2020 natures'!Y2</f>
        <v>0</v>
      </c>
      <c r="Z135" s="4">
        <f>'4.1 Comptes 2020 natures'!Z135/'4.1 Comptes 2020 natures'!Z2</f>
        <v>0</v>
      </c>
      <c r="AA135" s="4">
        <f>'4.1 Comptes 2020 natures'!AA135/'4.1 Comptes 2020 natures'!AA2</f>
        <v>0</v>
      </c>
      <c r="AB135" s="4">
        <f>'4.1 Comptes 2020 natures'!AB135/'4.1 Comptes 2020 natures'!AB2</f>
        <v>0</v>
      </c>
      <c r="AC135" s="4">
        <f>'4.1 Comptes 2020 natures'!AC135/'4.1 Comptes 2020 natures'!AC2</f>
        <v>14.486434108527131</v>
      </c>
      <c r="AD135" s="4">
        <f>'4.1 Comptes 2020 natures'!AD135/'4.1 Comptes 2020 natures'!AD2</f>
        <v>0</v>
      </c>
      <c r="AE135" s="4">
        <f>'4.1 Comptes 2020 natures'!AE135/'4.1 Comptes 2020 natures'!AE2</f>
        <v>2.395104895104895E-2</v>
      </c>
      <c r="AF135" s="4">
        <f>'4.1 Comptes 2020 natures'!AF135/'4.1 Comptes 2020 natures'!AF2</f>
        <v>0</v>
      </c>
      <c r="AG135" s="4">
        <f>'4.1 Comptes 2020 natures'!AG135/'4.1 Comptes 2020 natures'!AG2</f>
        <v>0</v>
      </c>
      <c r="AH135" s="4">
        <f>'4.1 Comptes 2020 natures'!AH135/'4.1 Comptes 2020 natures'!AH2</f>
        <v>0</v>
      </c>
      <c r="AI135" s="4">
        <f>'4.1 Comptes 2020 natures'!AI135/'4.1 Comptes 2020 natures'!AI2</f>
        <v>0</v>
      </c>
      <c r="AJ135" s="4">
        <f>'4.1 Comptes 2020 natures'!AJ135/'4.1 Comptes 2020 natures'!AJ2</f>
        <v>0</v>
      </c>
      <c r="AK135" s="4">
        <f>'4.1 Comptes 2020 natures'!AK135/'4.1 Comptes 2020 natures'!AK2</f>
        <v>0</v>
      </c>
      <c r="AL135" s="4">
        <f>'4.1 Comptes 2020 natures'!AL135/'4.1 Comptes 2020 natures'!AL2</f>
        <v>0</v>
      </c>
      <c r="AM135" s="4">
        <f>'4.1 Comptes 2020 natures'!AM135/'4.1 Comptes 2020 natures'!AM2</f>
        <v>0</v>
      </c>
      <c r="AN135" s="4">
        <f>'4.1 Comptes 2020 natures'!AN135/'4.1 Comptes 2020 natures'!AN2</f>
        <v>0</v>
      </c>
      <c r="AO135" s="4">
        <f>'4.1 Comptes 2020 natures'!AO135/'4.1 Comptes 2020 natures'!AO2</f>
        <v>0</v>
      </c>
      <c r="AP135" s="4">
        <f>'4.1 Comptes 2020 natures'!AP135/'4.1 Comptes 2020 natures'!AP2</f>
        <v>0</v>
      </c>
      <c r="AQ135" s="4">
        <f>'4.1 Comptes 2020 natures'!AQ135/'4.1 Comptes 2020 natures'!AQ2</f>
        <v>0</v>
      </c>
      <c r="AR135" s="4">
        <f>'4.1 Comptes 2020 natures'!AR135/'4.1 Comptes 2020 natures'!AR2</f>
        <v>0</v>
      </c>
      <c r="AS135" s="4">
        <f>'4.1 Comptes 2020 natures'!AS135/'4.1 Comptes 2020 natures'!AS2</f>
        <v>0</v>
      </c>
      <c r="AT135" s="4">
        <f>'4.1 Comptes 2020 natures'!AT135/'4.1 Comptes 2020 natures'!AT2</f>
        <v>15.166488326848249</v>
      </c>
      <c r="AU135" s="4">
        <f>'4.1 Comptes 2020 natures'!AU135/'4.1 Comptes 2020 natures'!AU2</f>
        <v>0</v>
      </c>
      <c r="AV135" s="4">
        <f>'4.1 Comptes 2020 natures'!AV135/'4.1 Comptes 2020 natures'!AV2</f>
        <v>0</v>
      </c>
      <c r="AW135" s="4">
        <f>'4.1 Comptes 2020 natures'!AW135/'4.1 Comptes 2020 natures'!AW2</f>
        <v>0</v>
      </c>
      <c r="AX135" s="4">
        <f>'4.1 Comptes 2020 natures'!AX135/'4.1 Comptes 2020 natures'!AX2</f>
        <v>0</v>
      </c>
      <c r="AY135" s="4">
        <f>'4.1 Comptes 2020 natures'!AY135/'4.1 Comptes 2020 natures'!AY2</f>
        <v>0</v>
      </c>
      <c r="AZ135" s="4">
        <f>'4.1 Comptes 2020 natures'!AZ135/'4.1 Comptes 2020 natures'!AZ2</f>
        <v>0</v>
      </c>
      <c r="BA135" s="4">
        <f>'4.1 Comptes 2020 natures'!BA135/'4.1 Comptes 2020 natures'!BA2</f>
        <v>0</v>
      </c>
      <c r="BB135" s="4">
        <f>'4.1 Comptes 2020 natures'!BB135/'4.1 Comptes 2020 natures'!BB2</f>
        <v>0</v>
      </c>
      <c r="BC135" s="4">
        <f>'4.1 Comptes 2020 natures'!BC135/'4.1 Comptes 2020 natures'!BC2</f>
        <v>0</v>
      </c>
      <c r="BD135" s="4">
        <f>'4.1 Comptes 2020 natures'!BD135/'4.1 Comptes 2020 natures'!BD2</f>
        <v>23.935343487721479</v>
      </c>
      <c r="BE135" s="4">
        <f>'4.1 Comptes 2020 natures'!BE135/'4.1 Comptes 2020 natures'!BE2</f>
        <v>0</v>
      </c>
      <c r="BF135" s="4">
        <f t="shared" si="88"/>
        <v>57.628442597060186</v>
      </c>
      <c r="BG135" s="4">
        <f t="shared" si="89"/>
        <v>4.0162256250122699</v>
      </c>
      <c r="BH135" s="4">
        <f t="shared" si="90"/>
        <v>14.510385157478181</v>
      </c>
      <c r="BI135" s="4">
        <f t="shared" si="91"/>
        <v>39.101831814569728</v>
      </c>
    </row>
    <row r="136" spans="2:61" x14ac:dyDescent="0.3">
      <c r="C136">
        <v>485</v>
      </c>
      <c r="D136" t="s">
        <v>186</v>
      </c>
      <c r="E136" s="4">
        <f>'4.1 Comptes 2020 natures'!E136/'4.1 Comptes 2020 natures'!E2</f>
        <v>0</v>
      </c>
      <c r="F136" s="4">
        <f>'4.1 Comptes 2020 natures'!F136/'4.1 Comptes 2020 natures'!F2</f>
        <v>0</v>
      </c>
      <c r="G136" s="4">
        <f>'4.1 Comptes 2020 natures'!G136/'4.1 Comptes 2020 natures'!G2</f>
        <v>0</v>
      </c>
      <c r="H136" s="4">
        <f>'4.1 Comptes 2020 natures'!H136/'4.1 Comptes 2020 natures'!H2</f>
        <v>0</v>
      </c>
      <c r="I136" s="4">
        <f>'4.1 Comptes 2020 natures'!I136/'4.1 Comptes 2020 natures'!I2</f>
        <v>0</v>
      </c>
      <c r="J136" s="4">
        <f>'4.1 Comptes 2020 natures'!J136/'4.1 Comptes 2020 natures'!J2</f>
        <v>0</v>
      </c>
      <c r="K136" s="4">
        <f>'4.1 Comptes 2020 natures'!K136/'4.1 Comptes 2020 natures'!K2</f>
        <v>0</v>
      </c>
      <c r="L136" s="4">
        <f>'4.1 Comptes 2020 natures'!L136/'4.1 Comptes 2020 natures'!L2</f>
        <v>0</v>
      </c>
      <c r="M136" s="4">
        <f>'4.1 Comptes 2020 natures'!M136/'4.1 Comptes 2020 natures'!M2</f>
        <v>0</v>
      </c>
      <c r="N136" s="4">
        <f>'4.1 Comptes 2020 natures'!N136/'4.1 Comptes 2020 natures'!N2</f>
        <v>0</v>
      </c>
      <c r="O136" s="4">
        <f>'4.1 Comptes 2020 natures'!O136/'4.1 Comptes 2020 natures'!O2</f>
        <v>0</v>
      </c>
      <c r="P136" s="4">
        <f>'4.1 Comptes 2020 natures'!P136/'4.1 Comptes 2020 natures'!P2</f>
        <v>0</v>
      </c>
      <c r="Q136" s="4">
        <f>'4.1 Comptes 2020 natures'!Q136/'4.1 Comptes 2020 natures'!Q2</f>
        <v>0</v>
      </c>
      <c r="R136" s="4">
        <f>'4.1 Comptes 2020 natures'!R136/'4.1 Comptes 2020 natures'!R2</f>
        <v>0</v>
      </c>
      <c r="S136" s="4">
        <f>'4.1 Comptes 2020 natures'!S136/'4.1 Comptes 2020 natures'!S2</f>
        <v>0</v>
      </c>
      <c r="T136" s="4">
        <f>'4.1 Comptes 2020 natures'!T136/'4.1 Comptes 2020 natures'!T2</f>
        <v>0</v>
      </c>
      <c r="U136" s="4">
        <f>'4.1 Comptes 2020 natures'!U136/'4.1 Comptes 2020 natures'!U2</f>
        <v>0</v>
      </c>
      <c r="V136" s="4">
        <f>'4.1 Comptes 2020 natures'!V136/'4.1 Comptes 2020 natures'!V2</f>
        <v>0</v>
      </c>
      <c r="W136" s="4">
        <f>'4.1 Comptes 2020 natures'!W136/'4.1 Comptes 2020 natures'!W2</f>
        <v>0</v>
      </c>
      <c r="X136" s="4">
        <f>'4.1 Comptes 2020 natures'!X136/'4.1 Comptes 2020 natures'!X2</f>
        <v>0</v>
      </c>
      <c r="Y136" s="4">
        <f>'4.1 Comptes 2020 natures'!Y136/'4.1 Comptes 2020 natures'!Y2</f>
        <v>0</v>
      </c>
      <c r="Z136" s="4">
        <f>'4.1 Comptes 2020 natures'!Z136/'4.1 Comptes 2020 natures'!Z2</f>
        <v>0</v>
      </c>
      <c r="AA136" s="4">
        <f>'4.1 Comptes 2020 natures'!AA136/'4.1 Comptes 2020 natures'!AA2</f>
        <v>0</v>
      </c>
      <c r="AB136" s="4">
        <f>'4.1 Comptes 2020 natures'!AB136/'4.1 Comptes 2020 natures'!AB2</f>
        <v>0</v>
      </c>
      <c r="AC136" s="4">
        <f>'4.1 Comptes 2020 natures'!AC136/'4.1 Comptes 2020 natures'!AC2</f>
        <v>0</v>
      </c>
      <c r="AD136" s="4">
        <f>'4.1 Comptes 2020 natures'!AD136/'4.1 Comptes 2020 natures'!AD2</f>
        <v>0</v>
      </c>
      <c r="AE136" s="4">
        <f>'4.1 Comptes 2020 natures'!AE136/'4.1 Comptes 2020 natures'!AE2</f>
        <v>0</v>
      </c>
      <c r="AF136" s="4">
        <f>'4.1 Comptes 2020 natures'!AF136/'4.1 Comptes 2020 natures'!AF2</f>
        <v>0</v>
      </c>
      <c r="AG136" s="4">
        <f>'4.1 Comptes 2020 natures'!AG136/'4.1 Comptes 2020 natures'!AG2</f>
        <v>0</v>
      </c>
      <c r="AH136" s="4">
        <f>'4.1 Comptes 2020 natures'!AH136/'4.1 Comptes 2020 natures'!AH2</f>
        <v>0</v>
      </c>
      <c r="AI136" s="4">
        <f>'4.1 Comptes 2020 natures'!AI136/'4.1 Comptes 2020 natures'!AI2</f>
        <v>0</v>
      </c>
      <c r="AJ136" s="4">
        <f>'4.1 Comptes 2020 natures'!AJ136/'4.1 Comptes 2020 natures'!AJ2</f>
        <v>0</v>
      </c>
      <c r="AK136" s="4">
        <f>'4.1 Comptes 2020 natures'!AK136/'4.1 Comptes 2020 natures'!AK2</f>
        <v>0</v>
      </c>
      <c r="AL136" s="4">
        <f>'4.1 Comptes 2020 natures'!AL136/'4.1 Comptes 2020 natures'!AL2</f>
        <v>0</v>
      </c>
      <c r="AM136" s="4">
        <f>'4.1 Comptes 2020 natures'!AM136/'4.1 Comptes 2020 natures'!AM2</f>
        <v>0</v>
      </c>
      <c r="AN136" s="4">
        <f>'4.1 Comptes 2020 natures'!AN136/'4.1 Comptes 2020 natures'!AN2</f>
        <v>0</v>
      </c>
      <c r="AO136" s="4">
        <f>'4.1 Comptes 2020 natures'!AO136/'4.1 Comptes 2020 natures'!AO2</f>
        <v>0</v>
      </c>
      <c r="AP136" s="4">
        <f>'4.1 Comptes 2020 natures'!AP136/'4.1 Comptes 2020 natures'!AP2</f>
        <v>0</v>
      </c>
      <c r="AQ136" s="4">
        <f>'4.1 Comptes 2020 natures'!AQ136/'4.1 Comptes 2020 natures'!AQ2</f>
        <v>0</v>
      </c>
      <c r="AR136" s="4">
        <f>'4.1 Comptes 2020 natures'!AR136/'4.1 Comptes 2020 natures'!AR2</f>
        <v>0</v>
      </c>
      <c r="AS136" s="4">
        <f>'4.1 Comptes 2020 natures'!AS136/'4.1 Comptes 2020 natures'!AS2</f>
        <v>0</v>
      </c>
      <c r="AT136" s="4">
        <f>'4.1 Comptes 2020 natures'!AT136/'4.1 Comptes 2020 natures'!AT2</f>
        <v>0</v>
      </c>
      <c r="AU136" s="4">
        <f>'4.1 Comptes 2020 natures'!AU136/'4.1 Comptes 2020 natures'!AU2</f>
        <v>0</v>
      </c>
      <c r="AV136" s="4">
        <f>'4.1 Comptes 2020 natures'!AV136/'4.1 Comptes 2020 natures'!AV2</f>
        <v>0</v>
      </c>
      <c r="AW136" s="4">
        <f>'4.1 Comptes 2020 natures'!AW136/'4.1 Comptes 2020 natures'!AW2</f>
        <v>0</v>
      </c>
      <c r="AX136" s="4">
        <f>'4.1 Comptes 2020 natures'!AX136/'4.1 Comptes 2020 natures'!AX2</f>
        <v>0</v>
      </c>
      <c r="AY136" s="4">
        <f>'4.1 Comptes 2020 natures'!AY136/'4.1 Comptes 2020 natures'!AY2</f>
        <v>0</v>
      </c>
      <c r="AZ136" s="4">
        <f>'4.1 Comptes 2020 natures'!AZ136/'4.1 Comptes 2020 natures'!AZ2</f>
        <v>0</v>
      </c>
      <c r="BA136" s="4">
        <f>'4.1 Comptes 2020 natures'!BA136/'4.1 Comptes 2020 natures'!BA2</f>
        <v>0</v>
      </c>
      <c r="BB136" s="4">
        <f>'4.1 Comptes 2020 natures'!BB136/'4.1 Comptes 2020 natures'!BB2</f>
        <v>0</v>
      </c>
      <c r="BC136" s="4">
        <f>'4.1 Comptes 2020 natures'!BC136/'4.1 Comptes 2020 natures'!BC2</f>
        <v>0</v>
      </c>
      <c r="BD136" s="4">
        <f>'4.1 Comptes 2020 natures'!BD136/'4.1 Comptes 2020 natures'!BD2</f>
        <v>0</v>
      </c>
      <c r="BE136" s="4">
        <f>'4.1 Comptes 2020 natures'!BE136/'4.1 Comptes 2020 natures'!BE2</f>
        <v>0</v>
      </c>
      <c r="BF136" s="4">
        <f t="shared" si="88"/>
        <v>0</v>
      </c>
      <c r="BG136" s="4">
        <f t="shared" si="89"/>
        <v>0</v>
      </c>
      <c r="BH136" s="4">
        <f t="shared" si="90"/>
        <v>0</v>
      </c>
      <c r="BI136" s="4">
        <f t="shared" si="91"/>
        <v>0</v>
      </c>
    </row>
    <row r="137" spans="2:61" x14ac:dyDescent="0.3">
      <c r="C137">
        <v>486</v>
      </c>
      <c r="D137" t="s">
        <v>187</v>
      </c>
      <c r="E137" s="4">
        <f>'4.1 Comptes 2020 natures'!E137/'4.1 Comptes 2020 natures'!E2</f>
        <v>0</v>
      </c>
      <c r="F137" s="4">
        <f>'4.1 Comptes 2020 natures'!F137/'4.1 Comptes 2020 natures'!F2</f>
        <v>0</v>
      </c>
      <c r="G137" s="4">
        <f>'4.1 Comptes 2020 natures'!G137/'4.1 Comptes 2020 natures'!G2</f>
        <v>0</v>
      </c>
      <c r="H137" s="4">
        <f>'4.1 Comptes 2020 natures'!H137/'4.1 Comptes 2020 natures'!H2</f>
        <v>0</v>
      </c>
      <c r="I137" s="4">
        <f>'4.1 Comptes 2020 natures'!I137/'4.1 Comptes 2020 natures'!I2</f>
        <v>0</v>
      </c>
      <c r="J137" s="4">
        <f>'4.1 Comptes 2020 natures'!J137/'4.1 Comptes 2020 natures'!J2</f>
        <v>0</v>
      </c>
      <c r="K137" s="4">
        <f>'4.1 Comptes 2020 natures'!K137/'4.1 Comptes 2020 natures'!K2</f>
        <v>0</v>
      </c>
      <c r="L137" s="4">
        <f>'4.1 Comptes 2020 natures'!L137/'4.1 Comptes 2020 natures'!L2</f>
        <v>0</v>
      </c>
      <c r="M137" s="4">
        <f>'4.1 Comptes 2020 natures'!M137/'4.1 Comptes 2020 natures'!M2</f>
        <v>0</v>
      </c>
      <c r="N137" s="4">
        <f>'4.1 Comptes 2020 natures'!N137/'4.1 Comptes 2020 natures'!N2</f>
        <v>0</v>
      </c>
      <c r="O137" s="4">
        <f>'4.1 Comptes 2020 natures'!O137/'4.1 Comptes 2020 natures'!O2</f>
        <v>0</v>
      </c>
      <c r="P137" s="4">
        <f>'4.1 Comptes 2020 natures'!P137/'4.1 Comptes 2020 natures'!P2</f>
        <v>0</v>
      </c>
      <c r="Q137" s="4">
        <f>'4.1 Comptes 2020 natures'!Q137/'4.1 Comptes 2020 natures'!Q2</f>
        <v>0</v>
      </c>
      <c r="R137" s="4">
        <f>'4.1 Comptes 2020 natures'!R137/'4.1 Comptes 2020 natures'!R2</f>
        <v>0</v>
      </c>
      <c r="S137" s="4">
        <f>'4.1 Comptes 2020 natures'!S137/'4.1 Comptes 2020 natures'!S2</f>
        <v>0</v>
      </c>
      <c r="T137" s="4">
        <f>'4.1 Comptes 2020 natures'!T137/'4.1 Comptes 2020 natures'!T2</f>
        <v>0</v>
      </c>
      <c r="U137" s="4">
        <f>'4.1 Comptes 2020 natures'!U137/'4.1 Comptes 2020 natures'!U2</f>
        <v>0</v>
      </c>
      <c r="V137" s="4">
        <f>'4.1 Comptes 2020 natures'!V137/'4.1 Comptes 2020 natures'!V2</f>
        <v>0</v>
      </c>
      <c r="W137" s="4">
        <f>'4.1 Comptes 2020 natures'!W137/'4.1 Comptes 2020 natures'!W2</f>
        <v>0</v>
      </c>
      <c r="X137" s="4">
        <f>'4.1 Comptes 2020 natures'!X137/'4.1 Comptes 2020 natures'!X2</f>
        <v>0</v>
      </c>
      <c r="Y137" s="4">
        <f>'4.1 Comptes 2020 natures'!Y137/'4.1 Comptes 2020 natures'!Y2</f>
        <v>0</v>
      </c>
      <c r="Z137" s="4">
        <f>'4.1 Comptes 2020 natures'!Z137/'4.1 Comptes 2020 natures'!Z2</f>
        <v>0</v>
      </c>
      <c r="AA137" s="4">
        <f>'4.1 Comptes 2020 natures'!AA137/'4.1 Comptes 2020 natures'!AA2</f>
        <v>0</v>
      </c>
      <c r="AB137" s="4">
        <f>'4.1 Comptes 2020 natures'!AB137/'4.1 Comptes 2020 natures'!AB2</f>
        <v>0</v>
      </c>
      <c r="AC137" s="4">
        <f>'4.1 Comptes 2020 natures'!AC137/'4.1 Comptes 2020 natures'!AC2</f>
        <v>0</v>
      </c>
      <c r="AD137" s="4">
        <f>'4.1 Comptes 2020 natures'!AD137/'4.1 Comptes 2020 natures'!AD2</f>
        <v>0</v>
      </c>
      <c r="AE137" s="4">
        <f>'4.1 Comptes 2020 natures'!AE137/'4.1 Comptes 2020 natures'!AE2</f>
        <v>0</v>
      </c>
      <c r="AF137" s="4">
        <f>'4.1 Comptes 2020 natures'!AF137/'4.1 Comptes 2020 natures'!AF2</f>
        <v>0</v>
      </c>
      <c r="AG137" s="4">
        <f>'4.1 Comptes 2020 natures'!AG137/'4.1 Comptes 2020 natures'!AG2</f>
        <v>0</v>
      </c>
      <c r="AH137" s="4">
        <f>'4.1 Comptes 2020 natures'!AH137/'4.1 Comptes 2020 natures'!AH2</f>
        <v>0</v>
      </c>
      <c r="AI137" s="4">
        <f>'4.1 Comptes 2020 natures'!AI137/'4.1 Comptes 2020 natures'!AI2</f>
        <v>0</v>
      </c>
      <c r="AJ137" s="4">
        <f>'4.1 Comptes 2020 natures'!AJ137/'4.1 Comptes 2020 natures'!AJ2</f>
        <v>0</v>
      </c>
      <c r="AK137" s="4">
        <f>'4.1 Comptes 2020 natures'!AK137/'4.1 Comptes 2020 natures'!AK2</f>
        <v>0</v>
      </c>
      <c r="AL137" s="4">
        <f>'4.1 Comptes 2020 natures'!AL137/'4.1 Comptes 2020 natures'!AL2</f>
        <v>0</v>
      </c>
      <c r="AM137" s="4">
        <f>'4.1 Comptes 2020 natures'!AM137/'4.1 Comptes 2020 natures'!AM2</f>
        <v>0</v>
      </c>
      <c r="AN137" s="4">
        <f>'4.1 Comptes 2020 natures'!AN137/'4.1 Comptes 2020 natures'!AN2</f>
        <v>0</v>
      </c>
      <c r="AO137" s="4">
        <f>'4.1 Comptes 2020 natures'!AO137/'4.1 Comptes 2020 natures'!AO2</f>
        <v>0</v>
      </c>
      <c r="AP137" s="4">
        <f>'4.1 Comptes 2020 natures'!AP137/'4.1 Comptes 2020 natures'!AP2</f>
        <v>0</v>
      </c>
      <c r="AQ137" s="4">
        <f>'4.1 Comptes 2020 natures'!AQ137/'4.1 Comptes 2020 natures'!AQ2</f>
        <v>0</v>
      </c>
      <c r="AR137" s="4">
        <f>'4.1 Comptes 2020 natures'!AR137/'4.1 Comptes 2020 natures'!AR2</f>
        <v>0</v>
      </c>
      <c r="AS137" s="4">
        <f>'4.1 Comptes 2020 natures'!AS137/'4.1 Comptes 2020 natures'!AS2</f>
        <v>0</v>
      </c>
      <c r="AT137" s="4">
        <f>'4.1 Comptes 2020 natures'!AT137/'4.1 Comptes 2020 natures'!AT2</f>
        <v>0</v>
      </c>
      <c r="AU137" s="4">
        <f>'4.1 Comptes 2020 natures'!AU137/'4.1 Comptes 2020 natures'!AU2</f>
        <v>0</v>
      </c>
      <c r="AV137" s="4">
        <f>'4.1 Comptes 2020 natures'!AV137/'4.1 Comptes 2020 natures'!AV2</f>
        <v>0</v>
      </c>
      <c r="AW137" s="4">
        <f>'4.1 Comptes 2020 natures'!AW137/'4.1 Comptes 2020 natures'!AW2</f>
        <v>0</v>
      </c>
      <c r="AX137" s="4">
        <f>'4.1 Comptes 2020 natures'!AX137/'4.1 Comptes 2020 natures'!AX2</f>
        <v>0</v>
      </c>
      <c r="AY137" s="4">
        <f>'4.1 Comptes 2020 natures'!AY137/'4.1 Comptes 2020 natures'!AY2</f>
        <v>0</v>
      </c>
      <c r="AZ137" s="4">
        <f>'4.1 Comptes 2020 natures'!AZ137/'4.1 Comptes 2020 natures'!AZ2</f>
        <v>0</v>
      </c>
      <c r="BA137" s="4">
        <f>'4.1 Comptes 2020 natures'!BA137/'4.1 Comptes 2020 natures'!BA2</f>
        <v>0</v>
      </c>
      <c r="BB137" s="4">
        <f>'4.1 Comptes 2020 natures'!BB137/'4.1 Comptes 2020 natures'!BB2</f>
        <v>0</v>
      </c>
      <c r="BC137" s="4">
        <f>'4.1 Comptes 2020 natures'!BC137/'4.1 Comptes 2020 natures'!BC2</f>
        <v>0</v>
      </c>
      <c r="BD137" s="4">
        <f>'4.1 Comptes 2020 natures'!BD137/'4.1 Comptes 2020 natures'!BD2</f>
        <v>0</v>
      </c>
      <c r="BE137" s="4">
        <f>'4.1 Comptes 2020 natures'!BE137/'4.1 Comptes 2020 natures'!BE2</f>
        <v>0</v>
      </c>
      <c r="BF137" s="4">
        <f t="shared" si="88"/>
        <v>0</v>
      </c>
      <c r="BG137" s="4">
        <f t="shared" si="89"/>
        <v>0</v>
      </c>
      <c r="BH137" s="4">
        <f t="shared" si="90"/>
        <v>0</v>
      </c>
      <c r="BI137" s="4">
        <f t="shared" si="91"/>
        <v>0</v>
      </c>
    </row>
    <row r="138" spans="2:61" x14ac:dyDescent="0.3">
      <c r="C138">
        <v>489</v>
      </c>
      <c r="D138" t="s">
        <v>188</v>
      </c>
      <c r="E138" s="4">
        <f>'4.1 Comptes 2020 natures'!E138/'4.1 Comptes 2020 natures'!E2</f>
        <v>0</v>
      </c>
      <c r="F138" s="4">
        <f>'4.1 Comptes 2020 natures'!F138/'4.1 Comptes 2020 natures'!F2</f>
        <v>0</v>
      </c>
      <c r="G138" s="4">
        <f>'4.1 Comptes 2020 natures'!G138/'4.1 Comptes 2020 natures'!G2</f>
        <v>0</v>
      </c>
      <c r="H138" s="4">
        <f>'4.1 Comptes 2020 natures'!H138/'4.1 Comptes 2020 natures'!H2</f>
        <v>0</v>
      </c>
      <c r="I138" s="4">
        <f>'4.1 Comptes 2020 natures'!I138/'4.1 Comptes 2020 natures'!I2</f>
        <v>82.621867254199941</v>
      </c>
      <c r="J138" s="4">
        <f>'4.1 Comptes 2020 natures'!J138/'4.1 Comptes 2020 natures'!J2</f>
        <v>0</v>
      </c>
      <c r="K138" s="4">
        <f>'4.1 Comptes 2020 natures'!K138/'4.1 Comptes 2020 natures'!K2</f>
        <v>0</v>
      </c>
      <c r="L138" s="4">
        <f>'4.1 Comptes 2020 natures'!L138/'4.1 Comptes 2020 natures'!L2</f>
        <v>87.177048660643521</v>
      </c>
      <c r="M138" s="4">
        <f>'4.1 Comptes 2020 natures'!M138/'4.1 Comptes 2020 natures'!M2</f>
        <v>29.175784099197667</v>
      </c>
      <c r="N138" s="4">
        <f>'4.1 Comptes 2020 natures'!N138/'4.1 Comptes 2020 natures'!N2</f>
        <v>0</v>
      </c>
      <c r="O138" s="4">
        <f>'4.1 Comptes 2020 natures'!O138/'4.1 Comptes 2020 natures'!O2</f>
        <v>0.34579321892005027</v>
      </c>
      <c r="P138" s="4">
        <f>'4.1 Comptes 2020 natures'!P138/'4.1 Comptes 2020 natures'!P2</f>
        <v>0</v>
      </c>
      <c r="Q138" s="4">
        <f>'4.1 Comptes 2020 natures'!Q138/'4.1 Comptes 2020 natures'!Q2</f>
        <v>185.18518518518519</v>
      </c>
      <c r="R138" s="4">
        <f>'4.1 Comptes 2020 natures'!R138/'4.1 Comptes 2020 natures'!R2</f>
        <v>0</v>
      </c>
      <c r="S138" s="4">
        <f>'4.1 Comptes 2020 natures'!S138/'4.1 Comptes 2020 natures'!S2</f>
        <v>0</v>
      </c>
      <c r="T138" s="4">
        <f>'4.1 Comptes 2020 natures'!T138/'4.1 Comptes 2020 natures'!T2</f>
        <v>0</v>
      </c>
      <c r="U138" s="4">
        <f>'4.1 Comptes 2020 natures'!U138/'4.1 Comptes 2020 natures'!U2</f>
        <v>0</v>
      </c>
      <c r="V138" s="4">
        <f>'4.1 Comptes 2020 natures'!V138/'4.1 Comptes 2020 natures'!V2</f>
        <v>0</v>
      </c>
      <c r="W138" s="4">
        <f>'4.1 Comptes 2020 natures'!W138/'4.1 Comptes 2020 natures'!W2</f>
        <v>0</v>
      </c>
      <c r="X138" s="4">
        <f>'4.1 Comptes 2020 natures'!X138/'4.1 Comptes 2020 natures'!X2</f>
        <v>0</v>
      </c>
      <c r="Y138" s="4">
        <f>'4.1 Comptes 2020 natures'!Y138/'4.1 Comptes 2020 natures'!Y2</f>
        <v>0</v>
      </c>
      <c r="Z138" s="4">
        <f>'4.1 Comptes 2020 natures'!Z138/'4.1 Comptes 2020 natures'!Z2</f>
        <v>0</v>
      </c>
      <c r="AA138" s="4">
        <f>'4.1 Comptes 2020 natures'!AA138/'4.1 Comptes 2020 natures'!AA2</f>
        <v>0</v>
      </c>
      <c r="AB138" s="4">
        <f>'4.1 Comptes 2020 natures'!AB138/'4.1 Comptes 2020 natures'!AB2</f>
        <v>0</v>
      </c>
      <c r="AC138" s="4">
        <f>'4.1 Comptes 2020 natures'!AC138/'4.1 Comptes 2020 natures'!AC2</f>
        <v>400.13821705426358</v>
      </c>
      <c r="AD138" s="4">
        <f>'4.1 Comptes 2020 natures'!AD138/'4.1 Comptes 2020 natures'!AD2</f>
        <v>225.23621460506706</v>
      </c>
      <c r="AE138" s="4">
        <f>'4.1 Comptes 2020 natures'!AE138/'4.1 Comptes 2020 natures'!AE2</f>
        <v>0</v>
      </c>
      <c r="AF138" s="4">
        <f>'4.1 Comptes 2020 natures'!AF138/'4.1 Comptes 2020 natures'!AF2</f>
        <v>0</v>
      </c>
      <c r="AG138" s="4">
        <f>'4.1 Comptes 2020 natures'!AG138/'4.1 Comptes 2020 natures'!AG2</f>
        <v>0</v>
      </c>
      <c r="AH138" s="4">
        <f>'4.1 Comptes 2020 natures'!AH138/'4.1 Comptes 2020 natures'!AH2</f>
        <v>0</v>
      </c>
      <c r="AI138" s="4">
        <f>'4.1 Comptes 2020 natures'!AI138/'4.1 Comptes 2020 natures'!AI2</f>
        <v>0</v>
      </c>
      <c r="AJ138" s="4">
        <f>'4.1 Comptes 2020 natures'!AJ138/'4.1 Comptes 2020 natures'!AJ2</f>
        <v>0</v>
      </c>
      <c r="AK138" s="4">
        <f>'4.1 Comptes 2020 natures'!AK138/'4.1 Comptes 2020 natures'!AK2</f>
        <v>0</v>
      </c>
      <c r="AL138" s="4">
        <f>'4.1 Comptes 2020 natures'!AL138/'4.1 Comptes 2020 natures'!AL2</f>
        <v>0</v>
      </c>
      <c r="AM138" s="4">
        <f>'4.1 Comptes 2020 natures'!AM138/'4.1 Comptes 2020 natures'!AM2</f>
        <v>0</v>
      </c>
      <c r="AN138" s="4">
        <f>'4.1 Comptes 2020 natures'!AN138/'4.1 Comptes 2020 natures'!AN2</f>
        <v>0</v>
      </c>
      <c r="AO138" s="4">
        <f>'4.1 Comptes 2020 natures'!AO138/'4.1 Comptes 2020 natures'!AO2</f>
        <v>0</v>
      </c>
      <c r="AP138" s="4">
        <f>'4.1 Comptes 2020 natures'!AP138/'4.1 Comptes 2020 natures'!AP2</f>
        <v>0</v>
      </c>
      <c r="AQ138" s="4">
        <f>'4.1 Comptes 2020 natures'!AQ138/'4.1 Comptes 2020 natures'!AQ2</f>
        <v>0</v>
      </c>
      <c r="AR138" s="4">
        <f>'4.1 Comptes 2020 natures'!AR138/'4.1 Comptes 2020 natures'!AR2</f>
        <v>0</v>
      </c>
      <c r="AS138" s="4">
        <f>'4.1 Comptes 2020 natures'!AS138/'4.1 Comptes 2020 natures'!AS2</f>
        <v>0</v>
      </c>
      <c r="AT138" s="4">
        <f>'4.1 Comptes 2020 natures'!AT138/'4.1 Comptes 2020 natures'!AT2</f>
        <v>48.638132295719842</v>
      </c>
      <c r="AU138" s="4">
        <f>'4.1 Comptes 2020 natures'!AU138/'4.1 Comptes 2020 natures'!AU2</f>
        <v>0</v>
      </c>
      <c r="AV138" s="4">
        <f>'4.1 Comptes 2020 natures'!AV138/'4.1 Comptes 2020 natures'!AV2</f>
        <v>177.23291666666665</v>
      </c>
      <c r="AW138" s="4">
        <f>'4.1 Comptes 2020 natures'!AW138/'4.1 Comptes 2020 natures'!AW2</f>
        <v>0</v>
      </c>
      <c r="AX138" s="4">
        <f>'4.1 Comptes 2020 natures'!AX138/'4.1 Comptes 2020 natures'!AX2</f>
        <v>110.49723756906077</v>
      </c>
      <c r="AY138" s="4">
        <f>'4.1 Comptes 2020 natures'!AY138/'4.1 Comptes 2020 natures'!AY2</f>
        <v>0</v>
      </c>
      <c r="AZ138" s="4">
        <f>'4.1 Comptes 2020 natures'!AZ138/'4.1 Comptes 2020 natures'!AZ2</f>
        <v>0</v>
      </c>
      <c r="BA138" s="4">
        <f>'4.1 Comptes 2020 natures'!BA138/'4.1 Comptes 2020 natures'!BA2</f>
        <v>0</v>
      </c>
      <c r="BB138" s="4">
        <f>'4.1 Comptes 2020 natures'!BB138/'4.1 Comptes 2020 natures'!BB2</f>
        <v>0</v>
      </c>
      <c r="BC138" s="4">
        <f>'4.1 Comptes 2020 natures'!BC138/'4.1 Comptes 2020 natures'!BC2</f>
        <v>5.3191489361702126E-3</v>
      </c>
      <c r="BD138" s="4">
        <f>'4.1 Comptes 2020 natures'!BD138/'4.1 Comptes 2020 natures'!BD2</f>
        <v>0</v>
      </c>
      <c r="BE138" s="4">
        <f>'4.1 Comptes 2020 natures'!BE138/'4.1 Comptes 2020 natures'!BE2</f>
        <v>0</v>
      </c>
      <c r="BF138" s="4">
        <f t="shared" si="88"/>
        <v>1346.2537157578604</v>
      </c>
      <c r="BG138" s="4">
        <f t="shared" si="89"/>
        <v>384.50567841814637</v>
      </c>
      <c r="BH138" s="4">
        <f t="shared" si="90"/>
        <v>625.37443165933064</v>
      </c>
      <c r="BI138" s="4">
        <f t="shared" si="91"/>
        <v>336.37360568038343</v>
      </c>
    </row>
    <row r="139" spans="2:61" x14ac:dyDescent="0.3">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3">
      <c r="B140" s="96">
        <v>49</v>
      </c>
      <c r="C140" s="96"/>
      <c r="D140" s="96" t="s">
        <v>128</v>
      </c>
      <c r="E140" s="91">
        <f>E141+E142+E143+E144+E145+E146+E147+E148</f>
        <v>53.007583965330447</v>
      </c>
      <c r="F140" s="91">
        <f t="shared" ref="F140:BI140" si="92">F141+F142+F143+F144+F145+F146+F147+F148</f>
        <v>116.11107407407407</v>
      </c>
      <c r="G140" s="91">
        <f t="shared" si="92"/>
        <v>5.8028865979381443</v>
      </c>
      <c r="H140" s="91">
        <f t="shared" si="92"/>
        <v>70.730605381165915</v>
      </c>
      <c r="I140" s="91">
        <f t="shared" si="92"/>
        <v>85.183145139080139</v>
      </c>
      <c r="J140" s="91">
        <f t="shared" si="92"/>
        <v>17.856323573800182</v>
      </c>
      <c r="K140" s="91">
        <f t="shared" si="92"/>
        <v>62.692038577912257</v>
      </c>
      <c r="L140" s="91">
        <f t="shared" si="92"/>
        <v>509.63163258836585</v>
      </c>
      <c r="M140" s="91">
        <f t="shared" si="92"/>
        <v>72.734799416484321</v>
      </c>
      <c r="N140" s="91">
        <f t="shared" si="92"/>
        <v>0</v>
      </c>
      <c r="O140" s="91">
        <f t="shared" si="92"/>
        <v>8.8070322310590203</v>
      </c>
      <c r="P140" s="91">
        <f t="shared" si="92"/>
        <v>67.325662878787867</v>
      </c>
      <c r="Q140" s="91">
        <f t="shared" si="92"/>
        <v>0</v>
      </c>
      <c r="R140" s="91">
        <f t="shared" si="92"/>
        <v>53.734939759036145</v>
      </c>
      <c r="S140" s="91">
        <f t="shared" si="92"/>
        <v>0</v>
      </c>
      <c r="T140" s="91">
        <f t="shared" si="92"/>
        <v>9.4614264919941782</v>
      </c>
      <c r="U140" s="91">
        <f t="shared" si="92"/>
        <v>0</v>
      </c>
      <c r="V140" s="91">
        <f t="shared" si="92"/>
        <v>138.43600917431192</v>
      </c>
      <c r="W140" s="91">
        <f t="shared" si="92"/>
        <v>89.655219435736683</v>
      </c>
      <c r="X140" s="91">
        <f t="shared" si="92"/>
        <v>0</v>
      </c>
      <c r="Y140" s="91">
        <f t="shared" si="92"/>
        <v>0</v>
      </c>
      <c r="Z140" s="91">
        <f t="shared" si="92"/>
        <v>0</v>
      </c>
      <c r="AA140" s="91">
        <f t="shared" si="92"/>
        <v>257.42864583333335</v>
      </c>
      <c r="AB140" s="91">
        <f t="shared" si="92"/>
        <v>0</v>
      </c>
      <c r="AC140" s="91">
        <f t="shared" si="92"/>
        <v>52.018798449612405</v>
      </c>
      <c r="AD140" s="91">
        <f t="shared" si="92"/>
        <v>178.93070044709387</v>
      </c>
      <c r="AE140" s="91">
        <f t="shared" si="92"/>
        <v>152.32054195804196</v>
      </c>
      <c r="AF140" s="91">
        <f t="shared" si="92"/>
        <v>142.17846938775509</v>
      </c>
      <c r="AG140" s="91">
        <f t="shared" si="92"/>
        <v>2.8770637408568445</v>
      </c>
      <c r="AH140" s="91">
        <f t="shared" si="92"/>
        <v>10.745697896749522</v>
      </c>
      <c r="AI140" s="91">
        <f t="shared" si="92"/>
        <v>0</v>
      </c>
      <c r="AJ140" s="91">
        <f t="shared" si="92"/>
        <v>8.024045801526718</v>
      </c>
      <c r="AK140" s="91">
        <f t="shared" si="92"/>
        <v>8.62796833773087</v>
      </c>
      <c r="AL140" s="91">
        <f t="shared" si="92"/>
        <v>52.263215859030836</v>
      </c>
      <c r="AM140" s="91">
        <f t="shared" si="92"/>
        <v>2.9814665592264302</v>
      </c>
      <c r="AN140" s="91">
        <f t="shared" si="92"/>
        <v>0</v>
      </c>
      <c r="AO140" s="91">
        <f t="shared" si="92"/>
        <v>34.944602510460257</v>
      </c>
      <c r="AP140" s="91">
        <f t="shared" si="92"/>
        <v>140.33650075414781</v>
      </c>
      <c r="AQ140" s="91">
        <f t="shared" si="92"/>
        <v>0</v>
      </c>
      <c r="AR140" s="91">
        <f t="shared" si="92"/>
        <v>0</v>
      </c>
      <c r="AS140" s="91">
        <f t="shared" si="92"/>
        <v>80.267635135135137</v>
      </c>
      <c r="AT140" s="91">
        <f t="shared" si="92"/>
        <v>0</v>
      </c>
      <c r="AU140" s="91">
        <f t="shared" si="92"/>
        <v>34.394904458598724</v>
      </c>
      <c r="AV140" s="91">
        <f t="shared" si="92"/>
        <v>15.938333333333333</v>
      </c>
      <c r="AW140" s="91">
        <f t="shared" si="92"/>
        <v>0</v>
      </c>
      <c r="AX140" s="91">
        <f t="shared" si="92"/>
        <v>40.601104972375694</v>
      </c>
      <c r="AY140" s="91">
        <f t="shared" si="92"/>
        <v>0</v>
      </c>
      <c r="AZ140" s="91">
        <f t="shared" si="92"/>
        <v>90.208639053254444</v>
      </c>
      <c r="BA140" s="91">
        <f t="shared" si="92"/>
        <v>0</v>
      </c>
      <c r="BB140" s="91">
        <f t="shared" si="92"/>
        <v>42.112116788321167</v>
      </c>
      <c r="BC140" s="91">
        <f t="shared" si="92"/>
        <v>0</v>
      </c>
      <c r="BD140" s="91">
        <f t="shared" si="92"/>
        <v>0</v>
      </c>
      <c r="BE140" s="91">
        <f t="shared" si="92"/>
        <v>27.678571428571427</v>
      </c>
      <c r="BF140" s="91">
        <f t="shared" si="92"/>
        <v>2736.0494019902335</v>
      </c>
      <c r="BG140" s="91">
        <f t="shared" si="92"/>
        <v>1361.1703792850772</v>
      </c>
      <c r="BH140" s="91">
        <f t="shared" si="92"/>
        <v>804.52396351496975</v>
      </c>
      <c r="BI140" s="91">
        <f t="shared" si="92"/>
        <v>570.35505919018601</v>
      </c>
    </row>
    <row r="141" spans="2:61" x14ac:dyDescent="0.3">
      <c r="C141">
        <v>490</v>
      </c>
      <c r="D141" t="s">
        <v>129</v>
      </c>
      <c r="E141" s="4">
        <f>'4.1 Comptes 2020 natures'!E141/'4.1 Comptes 2020 natures'!E2</f>
        <v>0</v>
      </c>
      <c r="F141" s="4">
        <f>'4.1 Comptes 2020 natures'!F141/'4.1 Comptes 2020 natures'!F2</f>
        <v>0.7407407407407407</v>
      </c>
      <c r="G141" s="4">
        <f>'4.1 Comptes 2020 natures'!G141/'4.1 Comptes 2020 natures'!G2</f>
        <v>0</v>
      </c>
      <c r="H141" s="4">
        <f>'4.1 Comptes 2020 natures'!H141/'4.1 Comptes 2020 natures'!H2</f>
        <v>0</v>
      </c>
      <c r="I141" s="4">
        <f>'4.1 Comptes 2020 natures'!I141/'4.1 Comptes 2020 natures'!I2</f>
        <v>0</v>
      </c>
      <c r="J141" s="4">
        <f>'4.1 Comptes 2020 natures'!J141/'4.1 Comptes 2020 natures'!J2</f>
        <v>0</v>
      </c>
      <c r="K141" s="4">
        <f>'4.1 Comptes 2020 natures'!K141/'4.1 Comptes 2020 natures'!K2</f>
        <v>0</v>
      </c>
      <c r="L141" s="4">
        <f>'4.1 Comptes 2020 natures'!L141/'4.1 Comptes 2020 natures'!L2</f>
        <v>2.377555872563005</v>
      </c>
      <c r="M141" s="4">
        <f>'4.1 Comptes 2020 natures'!M141/'4.1 Comptes 2020 natures'!M2</f>
        <v>0.87527352297592997</v>
      </c>
      <c r="N141" s="4">
        <f>'4.1 Comptes 2020 natures'!N141/'4.1 Comptes 2020 natures'!N2</f>
        <v>0</v>
      </c>
      <c r="O141" s="4">
        <f>'4.1 Comptes 2020 natures'!O141/'4.1 Comptes 2020 natures'!O2</f>
        <v>0</v>
      </c>
      <c r="P141" s="4">
        <f>'4.1 Comptes 2020 natures'!P141/'4.1 Comptes 2020 natures'!P2</f>
        <v>0</v>
      </c>
      <c r="Q141" s="4">
        <f>'4.1 Comptes 2020 natures'!Q141/'4.1 Comptes 2020 natures'!Q2</f>
        <v>0</v>
      </c>
      <c r="R141" s="4">
        <f>'4.1 Comptes 2020 natures'!R141/'4.1 Comptes 2020 natures'!R2</f>
        <v>0</v>
      </c>
      <c r="S141" s="4">
        <f>'4.1 Comptes 2020 natures'!S141/'4.1 Comptes 2020 natures'!S2</f>
        <v>0</v>
      </c>
      <c r="T141" s="4">
        <f>'4.1 Comptes 2020 natures'!T141/'4.1 Comptes 2020 natures'!T2</f>
        <v>0</v>
      </c>
      <c r="U141" s="4">
        <f>'4.1 Comptes 2020 natures'!U141/'4.1 Comptes 2020 natures'!U2</f>
        <v>0</v>
      </c>
      <c r="V141" s="4">
        <f>'4.1 Comptes 2020 natures'!V141/'4.1 Comptes 2020 natures'!V2</f>
        <v>0</v>
      </c>
      <c r="W141" s="4">
        <f>'4.1 Comptes 2020 natures'!W141/'4.1 Comptes 2020 natures'!W2</f>
        <v>0.94043887147335425</v>
      </c>
      <c r="X141" s="4">
        <f>'4.1 Comptes 2020 natures'!X141/'4.1 Comptes 2020 natures'!X2</f>
        <v>0</v>
      </c>
      <c r="Y141" s="4">
        <f>'4.1 Comptes 2020 natures'!Y141/'4.1 Comptes 2020 natures'!Y2</f>
        <v>0</v>
      </c>
      <c r="Z141" s="4">
        <f>'4.1 Comptes 2020 natures'!Z141/'4.1 Comptes 2020 natures'!Z2</f>
        <v>0</v>
      </c>
      <c r="AA141" s="4">
        <f>'4.1 Comptes 2020 natures'!AA141/'4.1 Comptes 2020 natures'!AA2</f>
        <v>1.1786458333333334</v>
      </c>
      <c r="AB141" s="4">
        <f>'4.1 Comptes 2020 natures'!AB141/'4.1 Comptes 2020 natures'!AB2</f>
        <v>0</v>
      </c>
      <c r="AC141" s="4">
        <f>'4.1 Comptes 2020 natures'!AC141/'4.1 Comptes 2020 natures'!AC2</f>
        <v>0</v>
      </c>
      <c r="AD141" s="4">
        <f>'4.1 Comptes 2020 natures'!AD141/'4.1 Comptes 2020 natures'!AD2</f>
        <v>1.8628912071535022</v>
      </c>
      <c r="AE141" s="4">
        <f>'4.1 Comptes 2020 natures'!AE141/'4.1 Comptes 2020 natures'!AE2</f>
        <v>0</v>
      </c>
      <c r="AF141" s="4">
        <f>'4.1 Comptes 2020 natures'!AF141/'4.1 Comptes 2020 natures'!AF2</f>
        <v>0</v>
      </c>
      <c r="AG141" s="4">
        <f>'4.1 Comptes 2020 natures'!AG141/'4.1 Comptes 2020 natures'!AG2</f>
        <v>1.8119905956112854</v>
      </c>
      <c r="AH141" s="4">
        <f>'4.1 Comptes 2020 natures'!AH141/'4.1 Comptes 2020 natures'!AH2</f>
        <v>0</v>
      </c>
      <c r="AI141" s="4">
        <f>'4.1 Comptes 2020 natures'!AI141/'4.1 Comptes 2020 natures'!AI2</f>
        <v>0</v>
      </c>
      <c r="AJ141" s="4">
        <f>'4.1 Comptes 2020 natures'!AJ141/'4.1 Comptes 2020 natures'!AJ2</f>
        <v>0</v>
      </c>
      <c r="AK141" s="4">
        <f>'4.1 Comptes 2020 natures'!AK141/'4.1 Comptes 2020 natures'!AK2</f>
        <v>0</v>
      </c>
      <c r="AL141" s="4">
        <f>'4.1 Comptes 2020 natures'!AL141/'4.1 Comptes 2020 natures'!AL2</f>
        <v>0</v>
      </c>
      <c r="AM141" s="4">
        <f>'4.1 Comptes 2020 natures'!AM141/'4.1 Comptes 2020 natures'!AM2</f>
        <v>0</v>
      </c>
      <c r="AN141" s="4">
        <f>'4.1 Comptes 2020 natures'!AN141/'4.1 Comptes 2020 natures'!AN2</f>
        <v>0</v>
      </c>
      <c r="AO141" s="4">
        <f>'4.1 Comptes 2020 natures'!AO141/'4.1 Comptes 2020 natures'!AO2</f>
        <v>0</v>
      </c>
      <c r="AP141" s="4">
        <f>'4.1 Comptes 2020 natures'!AP141/'4.1 Comptes 2020 natures'!AP2</f>
        <v>1.2066365007541477</v>
      </c>
      <c r="AQ141" s="4">
        <f>'4.1 Comptes 2020 natures'!AQ141/'4.1 Comptes 2020 natures'!AQ2</f>
        <v>0</v>
      </c>
      <c r="AR141" s="4">
        <f>'4.1 Comptes 2020 natures'!AR141/'4.1 Comptes 2020 natures'!AR2</f>
        <v>0</v>
      </c>
      <c r="AS141" s="4">
        <f>'4.1 Comptes 2020 natures'!AS141/'4.1 Comptes 2020 natures'!AS2</f>
        <v>0</v>
      </c>
      <c r="AT141" s="4">
        <f>'4.1 Comptes 2020 natures'!AT141/'4.1 Comptes 2020 natures'!AT2</f>
        <v>0</v>
      </c>
      <c r="AU141" s="4">
        <f>'4.1 Comptes 2020 natures'!AU141/'4.1 Comptes 2020 natures'!AU2</f>
        <v>0</v>
      </c>
      <c r="AV141" s="4">
        <f>'4.1 Comptes 2020 natures'!AV141/'4.1 Comptes 2020 natures'!AV2</f>
        <v>0</v>
      </c>
      <c r="AW141" s="4">
        <f>'4.1 Comptes 2020 natures'!AW141/'4.1 Comptes 2020 natures'!AW2</f>
        <v>0</v>
      </c>
      <c r="AX141" s="4">
        <f>'4.1 Comptes 2020 natures'!AX141/'4.1 Comptes 2020 natures'!AX2</f>
        <v>0</v>
      </c>
      <c r="AY141" s="4">
        <f>'4.1 Comptes 2020 natures'!AY141/'4.1 Comptes 2020 natures'!AY2</f>
        <v>0</v>
      </c>
      <c r="AZ141" s="4">
        <f>'4.1 Comptes 2020 natures'!AZ141/'4.1 Comptes 2020 natures'!AZ2</f>
        <v>0</v>
      </c>
      <c r="BA141" s="4">
        <f>'4.1 Comptes 2020 natures'!BA141/'4.1 Comptes 2020 natures'!BA2</f>
        <v>0</v>
      </c>
      <c r="BB141" s="4">
        <f>'4.1 Comptes 2020 natures'!BB141/'4.1 Comptes 2020 natures'!BB2</f>
        <v>0</v>
      </c>
      <c r="BC141" s="4">
        <f>'4.1 Comptes 2020 natures'!BC141/'4.1 Comptes 2020 natures'!BC2</f>
        <v>0</v>
      </c>
      <c r="BD141" s="4">
        <f>'4.1 Comptes 2020 natures'!BD141/'4.1 Comptes 2020 natures'!BD2</f>
        <v>0</v>
      </c>
      <c r="BE141" s="4">
        <f>'4.1 Comptes 2020 natures'!BE141/'4.1 Comptes 2020 natures'!BE2</f>
        <v>0</v>
      </c>
      <c r="BF141" s="4">
        <f t="shared" ref="BF141:BF148" si="93">SUM(E141:BE141)</f>
        <v>10.994173144605298</v>
      </c>
      <c r="BG141" s="4">
        <f t="shared" ref="BG141:BG148" si="94">SUM(E141:W141)</f>
        <v>4.9340090077530299</v>
      </c>
      <c r="BH141" s="4">
        <f t="shared" ref="BH141:BH148" si="95">SUM(X141:AJ141)</f>
        <v>4.8535276360981214</v>
      </c>
      <c r="BI141" s="4">
        <f t="shared" ref="BI141:BI148" si="96">SUM(AK141:BE141)</f>
        <v>1.2066365007541477</v>
      </c>
    </row>
    <row r="142" spans="2:61" x14ac:dyDescent="0.3">
      <c r="C142">
        <v>491</v>
      </c>
      <c r="D142" t="s">
        <v>130</v>
      </c>
      <c r="E142" s="4">
        <f>'4.1 Comptes 2020 natures'!E142/'4.1 Comptes 2020 natures'!E2</f>
        <v>53.007583965330447</v>
      </c>
      <c r="F142" s="4">
        <f>'4.1 Comptes 2020 natures'!F142/'4.1 Comptes 2020 natures'!F2</f>
        <v>22.968703703703703</v>
      </c>
      <c r="G142" s="4">
        <f>'4.1 Comptes 2020 natures'!G142/'4.1 Comptes 2020 natures'!G2</f>
        <v>0</v>
      </c>
      <c r="H142" s="4">
        <f>'4.1 Comptes 2020 natures'!H142/'4.1 Comptes 2020 natures'!H2</f>
        <v>69.932399103139005</v>
      </c>
      <c r="I142" s="4">
        <f>'4.1 Comptes 2020 natures'!I142/'4.1 Comptes 2020 natures'!I2</f>
        <v>85.183145139080139</v>
      </c>
      <c r="J142" s="4">
        <f>'4.1 Comptes 2020 natures'!J142/'4.1 Comptes 2020 natures'!J2</f>
        <v>17.856323573800182</v>
      </c>
      <c r="K142" s="4">
        <f>'4.1 Comptes 2020 natures'!K142/'4.1 Comptes 2020 natures'!K2</f>
        <v>48.475794251134644</v>
      </c>
      <c r="L142" s="4">
        <f>'4.1 Comptes 2020 natures'!L142/'4.1 Comptes 2020 natures'!L2</f>
        <v>89.731665081629416</v>
      </c>
      <c r="M142" s="4">
        <f>'4.1 Comptes 2020 natures'!M142/'4.1 Comptes 2020 natures'!M2</f>
        <v>40.78949671772429</v>
      </c>
      <c r="N142" s="4">
        <f>'4.1 Comptes 2020 natures'!N142/'4.1 Comptes 2020 natures'!N2</f>
        <v>0</v>
      </c>
      <c r="O142" s="4">
        <f>'4.1 Comptes 2020 natures'!O142/'4.1 Comptes 2020 natures'!O2</f>
        <v>0</v>
      </c>
      <c r="P142" s="4">
        <f>'4.1 Comptes 2020 natures'!P142/'4.1 Comptes 2020 natures'!P2</f>
        <v>67.325662878787867</v>
      </c>
      <c r="Q142" s="4">
        <f>'4.1 Comptes 2020 natures'!Q142/'4.1 Comptes 2020 natures'!Q2</f>
        <v>0</v>
      </c>
      <c r="R142" s="4">
        <f>'4.1 Comptes 2020 natures'!R142/'4.1 Comptes 2020 natures'!R2</f>
        <v>53.734939759036145</v>
      </c>
      <c r="S142" s="4">
        <f>'4.1 Comptes 2020 natures'!S142/'4.1 Comptes 2020 natures'!S2</f>
        <v>0</v>
      </c>
      <c r="T142" s="4">
        <f>'4.1 Comptes 2020 natures'!T142/'4.1 Comptes 2020 natures'!T2</f>
        <v>9.4614264919941782</v>
      </c>
      <c r="U142" s="4">
        <f>'4.1 Comptes 2020 natures'!U142/'4.1 Comptes 2020 natures'!U2</f>
        <v>0</v>
      </c>
      <c r="V142" s="4">
        <f>'4.1 Comptes 2020 natures'!V142/'4.1 Comptes 2020 natures'!V2</f>
        <v>138.43600917431192</v>
      </c>
      <c r="W142" s="4">
        <f>'4.1 Comptes 2020 natures'!W142/'4.1 Comptes 2020 natures'!W2</f>
        <v>27.83667711598746</v>
      </c>
      <c r="X142" s="4">
        <f>'4.1 Comptes 2020 natures'!X142/'4.1 Comptes 2020 natures'!X2</f>
        <v>0</v>
      </c>
      <c r="Y142" s="4">
        <f>'4.1 Comptes 2020 natures'!Y142/'4.1 Comptes 2020 natures'!Y2</f>
        <v>0</v>
      </c>
      <c r="Z142" s="4">
        <f>'4.1 Comptes 2020 natures'!Z142/'4.1 Comptes 2020 natures'!Z2</f>
        <v>0</v>
      </c>
      <c r="AA142" s="4">
        <f>'4.1 Comptes 2020 natures'!AA142/'4.1 Comptes 2020 natures'!AA2</f>
        <v>256.25</v>
      </c>
      <c r="AB142" s="4">
        <f>'4.1 Comptes 2020 natures'!AB142/'4.1 Comptes 2020 natures'!AB2</f>
        <v>0</v>
      </c>
      <c r="AC142" s="4">
        <f>'4.1 Comptes 2020 natures'!AC142/'4.1 Comptes 2020 natures'!AC2</f>
        <v>52.018798449612405</v>
      </c>
      <c r="AD142" s="4">
        <f>'4.1 Comptes 2020 natures'!AD142/'4.1 Comptes 2020 natures'!AD2</f>
        <v>118.77816691505215</v>
      </c>
      <c r="AE142" s="4">
        <f>'4.1 Comptes 2020 natures'!AE142/'4.1 Comptes 2020 natures'!AE2</f>
        <v>152.32054195804196</v>
      </c>
      <c r="AF142" s="4">
        <f>'4.1 Comptes 2020 natures'!AF142/'4.1 Comptes 2020 natures'!AF2</f>
        <v>142.17846938775509</v>
      </c>
      <c r="AG142" s="4">
        <f>'4.1 Comptes 2020 natures'!AG142/'4.1 Comptes 2020 natures'!AG2</f>
        <v>1.0650731452455591</v>
      </c>
      <c r="AH142" s="4">
        <f>'4.1 Comptes 2020 natures'!AH142/'4.1 Comptes 2020 natures'!AH2</f>
        <v>10.745697896749522</v>
      </c>
      <c r="AI142" s="4">
        <f>'4.1 Comptes 2020 natures'!AI142/'4.1 Comptes 2020 natures'!AI2</f>
        <v>0</v>
      </c>
      <c r="AJ142" s="4">
        <f>'4.1 Comptes 2020 natures'!AJ142/'4.1 Comptes 2020 natures'!AJ2</f>
        <v>0</v>
      </c>
      <c r="AK142" s="4">
        <f>'4.1 Comptes 2020 natures'!AK142/'4.1 Comptes 2020 natures'!AK2</f>
        <v>8.62796833773087</v>
      </c>
      <c r="AL142" s="4">
        <f>'4.1 Comptes 2020 natures'!AL142/'4.1 Comptes 2020 natures'!AL2</f>
        <v>0</v>
      </c>
      <c r="AM142" s="4">
        <f>'4.1 Comptes 2020 natures'!AM142/'4.1 Comptes 2020 natures'!AM2</f>
        <v>2.9814665592264302</v>
      </c>
      <c r="AN142" s="4">
        <f>'4.1 Comptes 2020 natures'!AN142/'4.1 Comptes 2020 natures'!AN2</f>
        <v>0</v>
      </c>
      <c r="AO142" s="4">
        <f>'4.1 Comptes 2020 natures'!AO142/'4.1 Comptes 2020 natures'!AO2</f>
        <v>34.944602510460257</v>
      </c>
      <c r="AP142" s="4">
        <f>'4.1 Comptes 2020 natures'!AP142/'4.1 Comptes 2020 natures'!AP2</f>
        <v>83.271417797888375</v>
      </c>
      <c r="AQ142" s="4">
        <f>'4.1 Comptes 2020 natures'!AQ142/'4.1 Comptes 2020 natures'!AQ2</f>
        <v>0</v>
      </c>
      <c r="AR142" s="4">
        <f>'4.1 Comptes 2020 natures'!AR142/'4.1 Comptes 2020 natures'!AR2</f>
        <v>0</v>
      </c>
      <c r="AS142" s="4">
        <f>'4.1 Comptes 2020 natures'!AS142/'4.1 Comptes 2020 natures'!AS2</f>
        <v>65.902432432432434</v>
      </c>
      <c r="AT142" s="4">
        <f>'4.1 Comptes 2020 natures'!AT142/'4.1 Comptes 2020 natures'!AT2</f>
        <v>0</v>
      </c>
      <c r="AU142" s="4">
        <f>'4.1 Comptes 2020 natures'!AU142/'4.1 Comptes 2020 natures'!AU2</f>
        <v>34.394904458598724</v>
      </c>
      <c r="AV142" s="4">
        <f>'4.1 Comptes 2020 natures'!AV142/'4.1 Comptes 2020 natures'!AV2</f>
        <v>15.938333333333333</v>
      </c>
      <c r="AW142" s="4">
        <f>'4.1 Comptes 2020 natures'!AW142/'4.1 Comptes 2020 natures'!AW2</f>
        <v>0</v>
      </c>
      <c r="AX142" s="4">
        <f>'4.1 Comptes 2020 natures'!AX142/'4.1 Comptes 2020 natures'!AX2</f>
        <v>0</v>
      </c>
      <c r="AY142" s="4">
        <f>'4.1 Comptes 2020 natures'!AY142/'4.1 Comptes 2020 natures'!AY2</f>
        <v>0</v>
      </c>
      <c r="AZ142" s="4">
        <f>'4.1 Comptes 2020 natures'!AZ142/'4.1 Comptes 2020 natures'!AZ2</f>
        <v>88.137633136094678</v>
      </c>
      <c r="BA142" s="4">
        <f>'4.1 Comptes 2020 natures'!BA142/'4.1 Comptes 2020 natures'!BA2</f>
        <v>0</v>
      </c>
      <c r="BB142" s="4">
        <f>'4.1 Comptes 2020 natures'!BB142/'4.1 Comptes 2020 natures'!BB2</f>
        <v>42.112116788321167</v>
      </c>
      <c r="BC142" s="4">
        <f>'4.1 Comptes 2020 natures'!BC142/'4.1 Comptes 2020 natures'!BC2</f>
        <v>0</v>
      </c>
      <c r="BD142" s="4">
        <f>'4.1 Comptes 2020 natures'!BD142/'4.1 Comptes 2020 natures'!BD2</f>
        <v>0</v>
      </c>
      <c r="BE142" s="4">
        <f>'4.1 Comptes 2020 natures'!BE142/'4.1 Comptes 2020 natures'!BE2</f>
        <v>27.678571428571427</v>
      </c>
      <c r="BF142" s="4">
        <f t="shared" si="93"/>
        <v>1862.0860214907741</v>
      </c>
      <c r="BG142" s="4">
        <f t="shared" si="94"/>
        <v>724.7398269556594</v>
      </c>
      <c r="BH142" s="4">
        <f t="shared" si="95"/>
        <v>733.35674775245673</v>
      </c>
      <c r="BI142" s="4">
        <f t="shared" si="96"/>
        <v>403.98944678265769</v>
      </c>
    </row>
    <row r="143" spans="2:61" x14ac:dyDescent="0.3">
      <c r="C143">
        <v>492</v>
      </c>
      <c r="D143" t="s">
        <v>189</v>
      </c>
      <c r="E143" s="4">
        <f>'4.1 Comptes 2020 natures'!E143/'4.1 Comptes 2020 natures'!E2</f>
        <v>0</v>
      </c>
      <c r="F143" s="4">
        <f>'4.1 Comptes 2020 natures'!F143/'4.1 Comptes 2020 natures'!F2</f>
        <v>0</v>
      </c>
      <c r="G143" s="4">
        <f>'4.1 Comptes 2020 natures'!G143/'4.1 Comptes 2020 natures'!G2</f>
        <v>0</v>
      </c>
      <c r="H143" s="4">
        <f>'4.1 Comptes 2020 natures'!H143/'4.1 Comptes 2020 natures'!H2</f>
        <v>0</v>
      </c>
      <c r="I143" s="4">
        <f>'4.1 Comptes 2020 natures'!I143/'4.1 Comptes 2020 natures'!I2</f>
        <v>0</v>
      </c>
      <c r="J143" s="4">
        <f>'4.1 Comptes 2020 natures'!J143/'4.1 Comptes 2020 natures'!J2</f>
        <v>0</v>
      </c>
      <c r="K143" s="4">
        <f>'4.1 Comptes 2020 natures'!K143/'4.1 Comptes 2020 natures'!K2</f>
        <v>0</v>
      </c>
      <c r="L143" s="4">
        <f>'4.1 Comptes 2020 natures'!L143/'4.1 Comptes 2020 natures'!L2</f>
        <v>8.7177048660643521</v>
      </c>
      <c r="M143" s="4">
        <f>'4.1 Comptes 2020 natures'!M143/'4.1 Comptes 2020 natures'!M2</f>
        <v>0</v>
      </c>
      <c r="N143" s="4">
        <f>'4.1 Comptes 2020 natures'!N143/'4.1 Comptes 2020 natures'!N2</f>
        <v>0</v>
      </c>
      <c r="O143" s="4">
        <f>'4.1 Comptes 2020 natures'!O143/'4.1 Comptes 2020 natures'!O2</f>
        <v>0</v>
      </c>
      <c r="P143" s="4">
        <f>'4.1 Comptes 2020 natures'!P143/'4.1 Comptes 2020 natures'!P2</f>
        <v>0</v>
      </c>
      <c r="Q143" s="4">
        <f>'4.1 Comptes 2020 natures'!Q143/'4.1 Comptes 2020 natures'!Q2</f>
        <v>0</v>
      </c>
      <c r="R143" s="4">
        <f>'4.1 Comptes 2020 natures'!R143/'4.1 Comptes 2020 natures'!R2</f>
        <v>0</v>
      </c>
      <c r="S143" s="4">
        <f>'4.1 Comptes 2020 natures'!S143/'4.1 Comptes 2020 natures'!S2</f>
        <v>0</v>
      </c>
      <c r="T143" s="4">
        <f>'4.1 Comptes 2020 natures'!T143/'4.1 Comptes 2020 natures'!T2</f>
        <v>0</v>
      </c>
      <c r="U143" s="4">
        <f>'4.1 Comptes 2020 natures'!U143/'4.1 Comptes 2020 natures'!U2</f>
        <v>0</v>
      </c>
      <c r="V143" s="4">
        <f>'4.1 Comptes 2020 natures'!V143/'4.1 Comptes 2020 natures'!V2</f>
        <v>0</v>
      </c>
      <c r="W143" s="4">
        <f>'4.1 Comptes 2020 natures'!W143/'4.1 Comptes 2020 natures'!W2</f>
        <v>2.0062695924764888</v>
      </c>
      <c r="X143" s="4">
        <f>'4.1 Comptes 2020 natures'!X143/'4.1 Comptes 2020 natures'!X2</f>
        <v>0</v>
      </c>
      <c r="Y143" s="4">
        <f>'4.1 Comptes 2020 natures'!Y143/'4.1 Comptes 2020 natures'!Y2</f>
        <v>0</v>
      </c>
      <c r="Z143" s="4">
        <f>'4.1 Comptes 2020 natures'!Z143/'4.1 Comptes 2020 natures'!Z2</f>
        <v>0</v>
      </c>
      <c r="AA143" s="4">
        <f>'4.1 Comptes 2020 natures'!AA143/'4.1 Comptes 2020 natures'!AA2</f>
        <v>0</v>
      </c>
      <c r="AB143" s="4">
        <f>'4.1 Comptes 2020 natures'!AB143/'4.1 Comptes 2020 natures'!AB2</f>
        <v>0</v>
      </c>
      <c r="AC143" s="4">
        <f>'4.1 Comptes 2020 natures'!AC143/'4.1 Comptes 2020 natures'!AC2</f>
        <v>0</v>
      </c>
      <c r="AD143" s="4">
        <f>'4.1 Comptes 2020 natures'!AD143/'4.1 Comptes 2020 natures'!AD2</f>
        <v>0</v>
      </c>
      <c r="AE143" s="4">
        <f>'4.1 Comptes 2020 natures'!AE143/'4.1 Comptes 2020 natures'!AE2</f>
        <v>0</v>
      </c>
      <c r="AF143" s="4">
        <f>'4.1 Comptes 2020 natures'!AF143/'4.1 Comptes 2020 natures'!AF2</f>
        <v>0</v>
      </c>
      <c r="AG143" s="4">
        <f>'4.1 Comptes 2020 natures'!AG143/'4.1 Comptes 2020 natures'!AG2</f>
        <v>0</v>
      </c>
      <c r="AH143" s="4">
        <f>'4.1 Comptes 2020 natures'!AH143/'4.1 Comptes 2020 natures'!AH2</f>
        <v>0</v>
      </c>
      <c r="AI143" s="4">
        <f>'4.1 Comptes 2020 natures'!AI143/'4.1 Comptes 2020 natures'!AI2</f>
        <v>0</v>
      </c>
      <c r="AJ143" s="4">
        <f>'4.1 Comptes 2020 natures'!AJ143/'4.1 Comptes 2020 natures'!AJ2</f>
        <v>0</v>
      </c>
      <c r="AK143" s="4">
        <f>'4.1 Comptes 2020 natures'!AK143/'4.1 Comptes 2020 natures'!AK2</f>
        <v>0</v>
      </c>
      <c r="AL143" s="4">
        <f>'4.1 Comptes 2020 natures'!AL143/'4.1 Comptes 2020 natures'!AL2</f>
        <v>0</v>
      </c>
      <c r="AM143" s="4">
        <f>'4.1 Comptes 2020 natures'!AM143/'4.1 Comptes 2020 natures'!AM2</f>
        <v>0</v>
      </c>
      <c r="AN143" s="4">
        <f>'4.1 Comptes 2020 natures'!AN143/'4.1 Comptes 2020 natures'!AN2</f>
        <v>0</v>
      </c>
      <c r="AO143" s="4">
        <f>'4.1 Comptes 2020 natures'!AO143/'4.1 Comptes 2020 natures'!AO2</f>
        <v>0</v>
      </c>
      <c r="AP143" s="4">
        <f>'4.1 Comptes 2020 natures'!AP143/'4.1 Comptes 2020 natures'!AP2</f>
        <v>0</v>
      </c>
      <c r="AQ143" s="4">
        <f>'4.1 Comptes 2020 natures'!AQ143/'4.1 Comptes 2020 natures'!AQ2</f>
        <v>0</v>
      </c>
      <c r="AR143" s="4">
        <f>'4.1 Comptes 2020 natures'!AR143/'4.1 Comptes 2020 natures'!AR2</f>
        <v>0</v>
      </c>
      <c r="AS143" s="4">
        <f>'4.1 Comptes 2020 natures'!AS143/'4.1 Comptes 2020 natures'!AS2</f>
        <v>0</v>
      </c>
      <c r="AT143" s="4">
        <f>'4.1 Comptes 2020 natures'!AT143/'4.1 Comptes 2020 natures'!AT2</f>
        <v>0</v>
      </c>
      <c r="AU143" s="4">
        <f>'4.1 Comptes 2020 natures'!AU143/'4.1 Comptes 2020 natures'!AU2</f>
        <v>0</v>
      </c>
      <c r="AV143" s="4">
        <f>'4.1 Comptes 2020 natures'!AV143/'4.1 Comptes 2020 natures'!AV2</f>
        <v>0</v>
      </c>
      <c r="AW143" s="4">
        <f>'4.1 Comptes 2020 natures'!AW143/'4.1 Comptes 2020 natures'!AW2</f>
        <v>0</v>
      </c>
      <c r="AX143" s="4">
        <f>'4.1 Comptes 2020 natures'!AX143/'4.1 Comptes 2020 natures'!AX2</f>
        <v>0</v>
      </c>
      <c r="AY143" s="4">
        <f>'4.1 Comptes 2020 natures'!AY143/'4.1 Comptes 2020 natures'!AY2</f>
        <v>0</v>
      </c>
      <c r="AZ143" s="4">
        <f>'4.1 Comptes 2020 natures'!AZ143/'4.1 Comptes 2020 natures'!AZ2</f>
        <v>0</v>
      </c>
      <c r="BA143" s="4">
        <f>'4.1 Comptes 2020 natures'!BA143/'4.1 Comptes 2020 natures'!BA2</f>
        <v>0</v>
      </c>
      <c r="BB143" s="4">
        <f>'4.1 Comptes 2020 natures'!BB143/'4.1 Comptes 2020 natures'!BB2</f>
        <v>0</v>
      </c>
      <c r="BC143" s="4">
        <f>'4.1 Comptes 2020 natures'!BC143/'4.1 Comptes 2020 natures'!BC2</f>
        <v>0</v>
      </c>
      <c r="BD143" s="4">
        <f>'4.1 Comptes 2020 natures'!BD143/'4.1 Comptes 2020 natures'!BD2</f>
        <v>0</v>
      </c>
      <c r="BE143" s="4">
        <f>'4.1 Comptes 2020 natures'!BE143/'4.1 Comptes 2020 natures'!BE2</f>
        <v>0</v>
      </c>
      <c r="BF143" s="4">
        <f t="shared" si="93"/>
        <v>10.723974458540841</v>
      </c>
      <c r="BG143" s="4">
        <f t="shared" si="94"/>
        <v>10.723974458540841</v>
      </c>
      <c r="BH143" s="4">
        <f t="shared" si="95"/>
        <v>0</v>
      </c>
      <c r="BI143" s="4">
        <f t="shared" si="96"/>
        <v>0</v>
      </c>
    </row>
    <row r="144" spans="2:61" x14ac:dyDescent="0.3">
      <c r="C144">
        <v>493</v>
      </c>
      <c r="D144" t="s">
        <v>190</v>
      </c>
      <c r="E144" s="4">
        <f>'4.1 Comptes 2020 natures'!E144/'4.1 Comptes 2020 natures'!E2</f>
        <v>0</v>
      </c>
      <c r="F144" s="4">
        <f>'4.1 Comptes 2020 natures'!F144/'4.1 Comptes 2020 natures'!F2</f>
        <v>0</v>
      </c>
      <c r="G144" s="4">
        <f>'4.1 Comptes 2020 natures'!G144/'4.1 Comptes 2020 natures'!G2</f>
        <v>0</v>
      </c>
      <c r="H144" s="4">
        <f>'4.1 Comptes 2020 natures'!H144/'4.1 Comptes 2020 natures'!H2</f>
        <v>0</v>
      </c>
      <c r="I144" s="4">
        <f>'4.1 Comptes 2020 natures'!I144/'4.1 Comptes 2020 natures'!I2</f>
        <v>0</v>
      </c>
      <c r="J144" s="4">
        <f>'4.1 Comptes 2020 natures'!J144/'4.1 Comptes 2020 natures'!J2</f>
        <v>0</v>
      </c>
      <c r="K144" s="4">
        <f>'4.1 Comptes 2020 natures'!K144/'4.1 Comptes 2020 natures'!K2</f>
        <v>4.2382753403933435</v>
      </c>
      <c r="L144" s="4">
        <f>'4.1 Comptes 2020 natures'!L144/'4.1 Comptes 2020 natures'!L2</f>
        <v>2.5574179743223966</v>
      </c>
      <c r="M144" s="4">
        <f>'4.1 Comptes 2020 natures'!M144/'4.1 Comptes 2020 natures'!M2</f>
        <v>0</v>
      </c>
      <c r="N144" s="4">
        <f>'4.1 Comptes 2020 natures'!N144/'4.1 Comptes 2020 natures'!N2</f>
        <v>0</v>
      </c>
      <c r="O144" s="4">
        <f>'4.1 Comptes 2020 natures'!O144/'4.1 Comptes 2020 natures'!O2</f>
        <v>0</v>
      </c>
      <c r="P144" s="4">
        <f>'4.1 Comptes 2020 natures'!P144/'4.1 Comptes 2020 natures'!P2</f>
        <v>0</v>
      </c>
      <c r="Q144" s="4">
        <f>'4.1 Comptes 2020 natures'!Q144/'4.1 Comptes 2020 natures'!Q2</f>
        <v>0</v>
      </c>
      <c r="R144" s="4">
        <f>'4.1 Comptes 2020 natures'!R144/'4.1 Comptes 2020 natures'!R2</f>
        <v>0</v>
      </c>
      <c r="S144" s="4">
        <f>'4.1 Comptes 2020 natures'!S144/'4.1 Comptes 2020 natures'!S2</f>
        <v>0</v>
      </c>
      <c r="T144" s="4">
        <f>'4.1 Comptes 2020 natures'!T144/'4.1 Comptes 2020 natures'!T2</f>
        <v>0</v>
      </c>
      <c r="U144" s="4">
        <f>'4.1 Comptes 2020 natures'!U144/'4.1 Comptes 2020 natures'!U2</f>
        <v>0</v>
      </c>
      <c r="V144" s="4">
        <f>'4.1 Comptes 2020 natures'!V144/'4.1 Comptes 2020 natures'!V2</f>
        <v>0</v>
      </c>
      <c r="W144" s="4">
        <f>'4.1 Comptes 2020 natures'!W144/'4.1 Comptes 2020 natures'!W2</f>
        <v>3.134796238244514</v>
      </c>
      <c r="X144" s="4">
        <f>'4.1 Comptes 2020 natures'!X144/'4.1 Comptes 2020 natures'!X2</f>
        <v>0</v>
      </c>
      <c r="Y144" s="4">
        <f>'4.1 Comptes 2020 natures'!Y144/'4.1 Comptes 2020 natures'!Y2</f>
        <v>0</v>
      </c>
      <c r="Z144" s="4">
        <f>'4.1 Comptes 2020 natures'!Z144/'4.1 Comptes 2020 natures'!Z2</f>
        <v>0</v>
      </c>
      <c r="AA144" s="4">
        <f>'4.1 Comptes 2020 natures'!AA144/'4.1 Comptes 2020 natures'!AA2</f>
        <v>0</v>
      </c>
      <c r="AB144" s="4">
        <f>'4.1 Comptes 2020 natures'!AB144/'4.1 Comptes 2020 natures'!AB2</f>
        <v>0</v>
      </c>
      <c r="AC144" s="4">
        <f>'4.1 Comptes 2020 natures'!AC144/'4.1 Comptes 2020 natures'!AC2</f>
        <v>0</v>
      </c>
      <c r="AD144" s="4">
        <f>'4.1 Comptes 2020 natures'!AD144/'4.1 Comptes 2020 natures'!AD2</f>
        <v>58.289642324888227</v>
      </c>
      <c r="AE144" s="4">
        <f>'4.1 Comptes 2020 natures'!AE144/'4.1 Comptes 2020 natures'!AE2</f>
        <v>0</v>
      </c>
      <c r="AF144" s="4">
        <f>'4.1 Comptes 2020 natures'!AF144/'4.1 Comptes 2020 natures'!AF2</f>
        <v>0</v>
      </c>
      <c r="AG144" s="4">
        <f>'4.1 Comptes 2020 natures'!AG144/'4.1 Comptes 2020 natures'!AG2</f>
        <v>0</v>
      </c>
      <c r="AH144" s="4">
        <f>'4.1 Comptes 2020 natures'!AH144/'4.1 Comptes 2020 natures'!AH2</f>
        <v>0</v>
      </c>
      <c r="AI144" s="4">
        <f>'4.1 Comptes 2020 natures'!AI144/'4.1 Comptes 2020 natures'!AI2</f>
        <v>0</v>
      </c>
      <c r="AJ144" s="4">
        <f>'4.1 Comptes 2020 natures'!AJ144/'4.1 Comptes 2020 natures'!AJ2</f>
        <v>0</v>
      </c>
      <c r="AK144" s="4">
        <f>'4.1 Comptes 2020 natures'!AK144/'4.1 Comptes 2020 natures'!AK2</f>
        <v>0</v>
      </c>
      <c r="AL144" s="4">
        <f>'4.1 Comptes 2020 natures'!AL144/'4.1 Comptes 2020 natures'!AL2</f>
        <v>0</v>
      </c>
      <c r="AM144" s="4">
        <f>'4.1 Comptes 2020 natures'!AM144/'4.1 Comptes 2020 natures'!AM2</f>
        <v>0</v>
      </c>
      <c r="AN144" s="4">
        <f>'4.1 Comptes 2020 natures'!AN144/'4.1 Comptes 2020 natures'!AN2</f>
        <v>0</v>
      </c>
      <c r="AO144" s="4">
        <f>'4.1 Comptes 2020 natures'!AO144/'4.1 Comptes 2020 natures'!AO2</f>
        <v>0</v>
      </c>
      <c r="AP144" s="4">
        <f>'4.1 Comptes 2020 natures'!AP144/'4.1 Comptes 2020 natures'!AP2</f>
        <v>0</v>
      </c>
      <c r="AQ144" s="4">
        <f>'4.1 Comptes 2020 natures'!AQ144/'4.1 Comptes 2020 natures'!AQ2</f>
        <v>0</v>
      </c>
      <c r="AR144" s="4">
        <f>'4.1 Comptes 2020 natures'!AR144/'4.1 Comptes 2020 natures'!AR2</f>
        <v>0</v>
      </c>
      <c r="AS144" s="4">
        <f>'4.1 Comptes 2020 natures'!AS144/'4.1 Comptes 2020 natures'!AS2</f>
        <v>3.5397297297297299</v>
      </c>
      <c r="AT144" s="4">
        <f>'4.1 Comptes 2020 natures'!AT144/'4.1 Comptes 2020 natures'!AT2</f>
        <v>0</v>
      </c>
      <c r="AU144" s="4">
        <f>'4.1 Comptes 2020 natures'!AU144/'4.1 Comptes 2020 natures'!AU2</f>
        <v>0</v>
      </c>
      <c r="AV144" s="4">
        <f>'4.1 Comptes 2020 natures'!AV144/'4.1 Comptes 2020 natures'!AV2</f>
        <v>0</v>
      </c>
      <c r="AW144" s="4">
        <f>'4.1 Comptes 2020 natures'!AW144/'4.1 Comptes 2020 natures'!AW2</f>
        <v>0</v>
      </c>
      <c r="AX144" s="4">
        <f>'4.1 Comptes 2020 natures'!AX144/'4.1 Comptes 2020 natures'!AX2</f>
        <v>0</v>
      </c>
      <c r="AY144" s="4">
        <f>'4.1 Comptes 2020 natures'!AY144/'4.1 Comptes 2020 natures'!AY2</f>
        <v>0</v>
      </c>
      <c r="AZ144" s="4">
        <f>'4.1 Comptes 2020 natures'!AZ144/'4.1 Comptes 2020 natures'!AZ2</f>
        <v>0</v>
      </c>
      <c r="BA144" s="4">
        <f>'4.1 Comptes 2020 natures'!BA144/'4.1 Comptes 2020 natures'!BA2</f>
        <v>0</v>
      </c>
      <c r="BB144" s="4">
        <f>'4.1 Comptes 2020 natures'!BB144/'4.1 Comptes 2020 natures'!BB2</f>
        <v>0</v>
      </c>
      <c r="BC144" s="4">
        <f>'4.1 Comptes 2020 natures'!BC144/'4.1 Comptes 2020 natures'!BC2</f>
        <v>0</v>
      </c>
      <c r="BD144" s="4">
        <f>'4.1 Comptes 2020 natures'!BD144/'4.1 Comptes 2020 natures'!BD2</f>
        <v>0</v>
      </c>
      <c r="BE144" s="4">
        <f>'4.1 Comptes 2020 natures'!BE144/'4.1 Comptes 2020 natures'!BE2</f>
        <v>0</v>
      </c>
      <c r="BF144" s="4">
        <f t="shared" si="93"/>
        <v>71.759861607578202</v>
      </c>
      <c r="BG144" s="4">
        <f t="shared" si="94"/>
        <v>9.9304895529602533</v>
      </c>
      <c r="BH144" s="4">
        <f t="shared" si="95"/>
        <v>58.289642324888227</v>
      </c>
      <c r="BI144" s="4">
        <f t="shared" si="96"/>
        <v>3.5397297297297299</v>
      </c>
    </row>
    <row r="145" spans="1:61" x14ac:dyDescent="0.3">
      <c r="C145">
        <v>494</v>
      </c>
      <c r="D145" t="s">
        <v>133</v>
      </c>
      <c r="E145" s="4">
        <f>'4.1 Comptes 2020 natures'!E145/'4.1 Comptes 2020 natures'!E2</f>
        <v>0</v>
      </c>
      <c r="F145" s="4">
        <f>'4.1 Comptes 2020 natures'!F145/'4.1 Comptes 2020 natures'!F2</f>
        <v>92.401629629629625</v>
      </c>
      <c r="G145" s="4">
        <f>'4.1 Comptes 2020 natures'!G145/'4.1 Comptes 2020 natures'!G2</f>
        <v>5.8028865979381443</v>
      </c>
      <c r="H145" s="4">
        <f>'4.1 Comptes 2020 natures'!H145/'4.1 Comptes 2020 natures'!H2</f>
        <v>0</v>
      </c>
      <c r="I145" s="4">
        <f>'4.1 Comptes 2020 natures'!I145/'4.1 Comptes 2020 natures'!I2</f>
        <v>0</v>
      </c>
      <c r="J145" s="4">
        <f>'4.1 Comptes 2020 natures'!J145/'4.1 Comptes 2020 natures'!J2</f>
        <v>0</v>
      </c>
      <c r="K145" s="4">
        <f>'4.1 Comptes 2020 natures'!K145/'4.1 Comptes 2020 natures'!K2</f>
        <v>9.9779689863842655</v>
      </c>
      <c r="L145" s="4">
        <f>'4.1 Comptes 2020 natures'!L145/'4.1 Comptes 2020 natures'!L2</f>
        <v>56.637898240608656</v>
      </c>
      <c r="M145" s="4">
        <f>'4.1 Comptes 2020 natures'!M145/'4.1 Comptes 2020 natures'!M2</f>
        <v>31.0700291757841</v>
      </c>
      <c r="N145" s="4">
        <f>'4.1 Comptes 2020 natures'!N145/'4.1 Comptes 2020 natures'!N2</f>
        <v>0</v>
      </c>
      <c r="O145" s="4">
        <f>'4.1 Comptes 2020 natures'!O145/'4.1 Comptes 2020 natures'!O2</f>
        <v>8.8070322310590203</v>
      </c>
      <c r="P145" s="4">
        <f>'4.1 Comptes 2020 natures'!P145/'4.1 Comptes 2020 natures'!P2</f>
        <v>0</v>
      </c>
      <c r="Q145" s="4">
        <f>'4.1 Comptes 2020 natures'!Q145/'4.1 Comptes 2020 natures'!Q2</f>
        <v>0</v>
      </c>
      <c r="R145" s="4">
        <f>'4.1 Comptes 2020 natures'!R145/'4.1 Comptes 2020 natures'!R2</f>
        <v>0</v>
      </c>
      <c r="S145" s="4">
        <f>'4.1 Comptes 2020 natures'!S145/'4.1 Comptes 2020 natures'!S2</f>
        <v>0</v>
      </c>
      <c r="T145" s="4">
        <f>'4.1 Comptes 2020 natures'!T145/'4.1 Comptes 2020 natures'!T2</f>
        <v>0</v>
      </c>
      <c r="U145" s="4">
        <f>'4.1 Comptes 2020 natures'!U145/'4.1 Comptes 2020 natures'!U2</f>
        <v>0</v>
      </c>
      <c r="V145" s="4">
        <f>'4.1 Comptes 2020 natures'!V145/'4.1 Comptes 2020 natures'!V2</f>
        <v>0</v>
      </c>
      <c r="W145" s="4">
        <f>'4.1 Comptes 2020 natures'!W145/'4.1 Comptes 2020 natures'!W2</f>
        <v>54.7965987460815</v>
      </c>
      <c r="X145" s="4">
        <f>'4.1 Comptes 2020 natures'!X145/'4.1 Comptes 2020 natures'!X2</f>
        <v>0</v>
      </c>
      <c r="Y145" s="4">
        <f>'4.1 Comptes 2020 natures'!Y145/'4.1 Comptes 2020 natures'!Y2</f>
        <v>0</v>
      </c>
      <c r="Z145" s="4">
        <f>'4.1 Comptes 2020 natures'!Z145/'4.1 Comptes 2020 natures'!Z2</f>
        <v>0</v>
      </c>
      <c r="AA145" s="4">
        <f>'4.1 Comptes 2020 natures'!AA145/'4.1 Comptes 2020 natures'!AA2</f>
        <v>0</v>
      </c>
      <c r="AB145" s="4">
        <f>'4.1 Comptes 2020 natures'!AB145/'4.1 Comptes 2020 natures'!AB2</f>
        <v>0</v>
      </c>
      <c r="AC145" s="4">
        <f>'4.1 Comptes 2020 natures'!AC145/'4.1 Comptes 2020 natures'!AC2</f>
        <v>0</v>
      </c>
      <c r="AD145" s="4">
        <f>'4.1 Comptes 2020 natures'!AD145/'4.1 Comptes 2020 natures'!AD2</f>
        <v>0</v>
      </c>
      <c r="AE145" s="4">
        <f>'4.1 Comptes 2020 natures'!AE145/'4.1 Comptes 2020 natures'!AE2</f>
        <v>0</v>
      </c>
      <c r="AF145" s="4">
        <f>'4.1 Comptes 2020 natures'!AF145/'4.1 Comptes 2020 natures'!AF2</f>
        <v>0</v>
      </c>
      <c r="AG145" s="4">
        <f>'4.1 Comptes 2020 natures'!AG145/'4.1 Comptes 2020 natures'!AG2</f>
        <v>0</v>
      </c>
      <c r="AH145" s="4">
        <f>'4.1 Comptes 2020 natures'!AH145/'4.1 Comptes 2020 natures'!AH2</f>
        <v>0</v>
      </c>
      <c r="AI145" s="4">
        <f>'4.1 Comptes 2020 natures'!AI145/'4.1 Comptes 2020 natures'!AI2</f>
        <v>0</v>
      </c>
      <c r="AJ145" s="4">
        <f>'4.1 Comptes 2020 natures'!AJ145/'4.1 Comptes 2020 natures'!AJ2</f>
        <v>8.024045801526718</v>
      </c>
      <c r="AK145" s="4">
        <f>'4.1 Comptes 2020 natures'!AK145/'4.1 Comptes 2020 natures'!AK2</f>
        <v>0</v>
      </c>
      <c r="AL145" s="4">
        <f>'4.1 Comptes 2020 natures'!AL145/'4.1 Comptes 2020 natures'!AL2</f>
        <v>52.263215859030836</v>
      </c>
      <c r="AM145" s="4">
        <f>'4.1 Comptes 2020 natures'!AM145/'4.1 Comptes 2020 natures'!AM2</f>
        <v>0</v>
      </c>
      <c r="AN145" s="4">
        <f>'4.1 Comptes 2020 natures'!AN145/'4.1 Comptes 2020 natures'!AN2</f>
        <v>0</v>
      </c>
      <c r="AO145" s="4">
        <f>'4.1 Comptes 2020 natures'!AO145/'4.1 Comptes 2020 natures'!AO2</f>
        <v>0</v>
      </c>
      <c r="AP145" s="4">
        <f>'4.1 Comptes 2020 natures'!AP145/'4.1 Comptes 2020 natures'!AP2</f>
        <v>55.85844645550528</v>
      </c>
      <c r="AQ145" s="4">
        <f>'4.1 Comptes 2020 natures'!AQ145/'4.1 Comptes 2020 natures'!AQ2</f>
        <v>0</v>
      </c>
      <c r="AR145" s="4">
        <f>'4.1 Comptes 2020 natures'!AR145/'4.1 Comptes 2020 natures'!AR2</f>
        <v>0</v>
      </c>
      <c r="AS145" s="4">
        <f>'4.1 Comptes 2020 natures'!AS145/'4.1 Comptes 2020 natures'!AS2</f>
        <v>10.825472972972973</v>
      </c>
      <c r="AT145" s="4">
        <f>'4.1 Comptes 2020 natures'!AT145/'4.1 Comptes 2020 natures'!AT2</f>
        <v>0</v>
      </c>
      <c r="AU145" s="4">
        <f>'4.1 Comptes 2020 natures'!AU145/'4.1 Comptes 2020 natures'!AU2</f>
        <v>0</v>
      </c>
      <c r="AV145" s="4">
        <f>'4.1 Comptes 2020 natures'!AV145/'4.1 Comptes 2020 natures'!AV2</f>
        <v>0</v>
      </c>
      <c r="AW145" s="4">
        <f>'4.1 Comptes 2020 natures'!AW145/'4.1 Comptes 2020 natures'!AW2</f>
        <v>0</v>
      </c>
      <c r="AX145" s="4">
        <f>'4.1 Comptes 2020 natures'!AX145/'4.1 Comptes 2020 natures'!AX2</f>
        <v>40.601104972375694</v>
      </c>
      <c r="AY145" s="4">
        <f>'4.1 Comptes 2020 natures'!AY145/'4.1 Comptes 2020 natures'!AY2</f>
        <v>0</v>
      </c>
      <c r="AZ145" s="4">
        <f>'4.1 Comptes 2020 natures'!AZ145/'4.1 Comptes 2020 natures'!AZ2</f>
        <v>0</v>
      </c>
      <c r="BA145" s="4">
        <f>'4.1 Comptes 2020 natures'!BA145/'4.1 Comptes 2020 natures'!BA2</f>
        <v>0</v>
      </c>
      <c r="BB145" s="4">
        <f>'4.1 Comptes 2020 natures'!BB145/'4.1 Comptes 2020 natures'!BB2</f>
        <v>0</v>
      </c>
      <c r="BC145" s="4">
        <f>'4.1 Comptes 2020 natures'!BC145/'4.1 Comptes 2020 natures'!BC2</f>
        <v>0</v>
      </c>
      <c r="BD145" s="4">
        <f>'4.1 Comptes 2020 natures'!BD145/'4.1 Comptes 2020 natures'!BD2</f>
        <v>0</v>
      </c>
      <c r="BE145" s="4">
        <f>'4.1 Comptes 2020 natures'!BE145/'4.1 Comptes 2020 natures'!BE2</f>
        <v>0</v>
      </c>
      <c r="BF145" s="4">
        <f t="shared" si="93"/>
        <v>427.0663296688968</v>
      </c>
      <c r="BG145" s="4">
        <f t="shared" si="94"/>
        <v>259.49404360748531</v>
      </c>
      <c r="BH145" s="4">
        <f t="shared" si="95"/>
        <v>8.024045801526718</v>
      </c>
      <c r="BI145" s="4">
        <f t="shared" si="96"/>
        <v>159.54824025988478</v>
      </c>
    </row>
    <row r="146" spans="1:61" x14ac:dyDescent="0.3">
      <c r="C146">
        <v>495</v>
      </c>
      <c r="D146" t="s">
        <v>191</v>
      </c>
      <c r="E146" s="4">
        <f>'4.1 Comptes 2020 natures'!E146/'4.1 Comptes 2020 natures'!E2</f>
        <v>0</v>
      </c>
      <c r="F146" s="4">
        <f>'4.1 Comptes 2020 natures'!F146/'4.1 Comptes 2020 natures'!F2</f>
        <v>0</v>
      </c>
      <c r="G146" s="4">
        <f>'4.1 Comptes 2020 natures'!G146/'4.1 Comptes 2020 natures'!G2</f>
        <v>0</v>
      </c>
      <c r="H146" s="4">
        <f>'4.1 Comptes 2020 natures'!H146/'4.1 Comptes 2020 natures'!H2</f>
        <v>0.7982062780269058</v>
      </c>
      <c r="I146" s="4">
        <f>'4.1 Comptes 2020 natures'!I146/'4.1 Comptes 2020 natures'!I2</f>
        <v>0</v>
      </c>
      <c r="J146" s="4">
        <f>'4.1 Comptes 2020 natures'!J146/'4.1 Comptes 2020 natures'!J2</f>
        <v>0</v>
      </c>
      <c r="K146" s="4">
        <f>'4.1 Comptes 2020 natures'!K146/'4.1 Comptes 2020 natures'!K2</f>
        <v>0</v>
      </c>
      <c r="L146" s="4">
        <f>'4.1 Comptes 2020 natures'!L146/'4.1 Comptes 2020 natures'!L2</f>
        <v>0</v>
      </c>
      <c r="M146" s="4">
        <f>'4.1 Comptes 2020 natures'!M146/'4.1 Comptes 2020 natures'!M2</f>
        <v>0</v>
      </c>
      <c r="N146" s="4">
        <f>'4.1 Comptes 2020 natures'!N146/'4.1 Comptes 2020 natures'!N2</f>
        <v>0</v>
      </c>
      <c r="O146" s="4">
        <f>'4.1 Comptes 2020 natures'!O146/'4.1 Comptes 2020 natures'!O2</f>
        <v>0</v>
      </c>
      <c r="P146" s="4">
        <f>'4.1 Comptes 2020 natures'!P146/'4.1 Comptes 2020 natures'!P2</f>
        <v>0</v>
      </c>
      <c r="Q146" s="4">
        <f>'4.1 Comptes 2020 natures'!Q146/'4.1 Comptes 2020 natures'!Q2</f>
        <v>0</v>
      </c>
      <c r="R146" s="4">
        <f>'4.1 Comptes 2020 natures'!R146/'4.1 Comptes 2020 natures'!R2</f>
        <v>0</v>
      </c>
      <c r="S146" s="4">
        <f>'4.1 Comptes 2020 natures'!S146/'4.1 Comptes 2020 natures'!S2</f>
        <v>0</v>
      </c>
      <c r="T146" s="4">
        <f>'4.1 Comptes 2020 natures'!T146/'4.1 Comptes 2020 natures'!T2</f>
        <v>0</v>
      </c>
      <c r="U146" s="4">
        <f>'4.1 Comptes 2020 natures'!U146/'4.1 Comptes 2020 natures'!U2</f>
        <v>0</v>
      </c>
      <c r="V146" s="4">
        <f>'4.1 Comptes 2020 natures'!V146/'4.1 Comptes 2020 natures'!V2</f>
        <v>0</v>
      </c>
      <c r="W146" s="4">
        <f>'4.1 Comptes 2020 natures'!W146/'4.1 Comptes 2020 natures'!W2</f>
        <v>0</v>
      </c>
      <c r="X146" s="4">
        <f>'4.1 Comptes 2020 natures'!X146/'4.1 Comptes 2020 natures'!X2</f>
        <v>0</v>
      </c>
      <c r="Y146" s="4">
        <f>'4.1 Comptes 2020 natures'!Y146/'4.1 Comptes 2020 natures'!Y2</f>
        <v>0</v>
      </c>
      <c r="Z146" s="4">
        <f>'4.1 Comptes 2020 natures'!Z146/'4.1 Comptes 2020 natures'!Z2</f>
        <v>0</v>
      </c>
      <c r="AA146" s="4">
        <f>'4.1 Comptes 2020 natures'!AA146/'4.1 Comptes 2020 natures'!AA2</f>
        <v>0</v>
      </c>
      <c r="AB146" s="4">
        <f>'4.1 Comptes 2020 natures'!AB146/'4.1 Comptes 2020 natures'!AB2</f>
        <v>0</v>
      </c>
      <c r="AC146" s="4">
        <f>'4.1 Comptes 2020 natures'!AC146/'4.1 Comptes 2020 natures'!AC2</f>
        <v>0</v>
      </c>
      <c r="AD146" s="4">
        <f>'4.1 Comptes 2020 natures'!AD146/'4.1 Comptes 2020 natures'!AD2</f>
        <v>0</v>
      </c>
      <c r="AE146" s="4">
        <f>'4.1 Comptes 2020 natures'!AE146/'4.1 Comptes 2020 natures'!AE2</f>
        <v>0</v>
      </c>
      <c r="AF146" s="4">
        <f>'4.1 Comptes 2020 natures'!AF146/'4.1 Comptes 2020 natures'!AF2</f>
        <v>0</v>
      </c>
      <c r="AG146" s="4">
        <f>'4.1 Comptes 2020 natures'!AG146/'4.1 Comptes 2020 natures'!AG2</f>
        <v>0</v>
      </c>
      <c r="AH146" s="4">
        <f>'4.1 Comptes 2020 natures'!AH146/'4.1 Comptes 2020 natures'!AH2</f>
        <v>0</v>
      </c>
      <c r="AI146" s="4">
        <f>'4.1 Comptes 2020 natures'!AI146/'4.1 Comptes 2020 natures'!AI2</f>
        <v>0</v>
      </c>
      <c r="AJ146" s="4">
        <f>'4.1 Comptes 2020 natures'!AJ146/'4.1 Comptes 2020 natures'!AJ2</f>
        <v>0</v>
      </c>
      <c r="AK146" s="4">
        <f>'4.1 Comptes 2020 natures'!AK146/'4.1 Comptes 2020 natures'!AK2</f>
        <v>0</v>
      </c>
      <c r="AL146" s="4">
        <f>'4.1 Comptes 2020 natures'!AL146/'4.1 Comptes 2020 natures'!AL2</f>
        <v>0</v>
      </c>
      <c r="AM146" s="4">
        <f>'4.1 Comptes 2020 natures'!AM146/'4.1 Comptes 2020 natures'!AM2</f>
        <v>0</v>
      </c>
      <c r="AN146" s="4">
        <f>'4.1 Comptes 2020 natures'!AN146/'4.1 Comptes 2020 natures'!AN2</f>
        <v>0</v>
      </c>
      <c r="AO146" s="4">
        <f>'4.1 Comptes 2020 natures'!AO146/'4.1 Comptes 2020 natures'!AO2</f>
        <v>0</v>
      </c>
      <c r="AP146" s="4">
        <f>'4.1 Comptes 2020 natures'!AP146/'4.1 Comptes 2020 natures'!AP2</f>
        <v>0</v>
      </c>
      <c r="AQ146" s="4">
        <f>'4.1 Comptes 2020 natures'!AQ146/'4.1 Comptes 2020 natures'!AQ2</f>
        <v>0</v>
      </c>
      <c r="AR146" s="4">
        <f>'4.1 Comptes 2020 natures'!AR146/'4.1 Comptes 2020 natures'!AR2</f>
        <v>0</v>
      </c>
      <c r="AS146" s="4">
        <f>'4.1 Comptes 2020 natures'!AS146/'4.1 Comptes 2020 natures'!AS2</f>
        <v>0</v>
      </c>
      <c r="AT146" s="4">
        <f>'4.1 Comptes 2020 natures'!AT146/'4.1 Comptes 2020 natures'!AT2</f>
        <v>0</v>
      </c>
      <c r="AU146" s="4">
        <f>'4.1 Comptes 2020 natures'!AU146/'4.1 Comptes 2020 natures'!AU2</f>
        <v>0</v>
      </c>
      <c r="AV146" s="4">
        <f>'4.1 Comptes 2020 natures'!AV146/'4.1 Comptes 2020 natures'!AV2</f>
        <v>0</v>
      </c>
      <c r="AW146" s="4">
        <f>'4.1 Comptes 2020 natures'!AW146/'4.1 Comptes 2020 natures'!AW2</f>
        <v>0</v>
      </c>
      <c r="AX146" s="4">
        <f>'4.1 Comptes 2020 natures'!AX146/'4.1 Comptes 2020 natures'!AX2</f>
        <v>0</v>
      </c>
      <c r="AY146" s="4">
        <f>'4.1 Comptes 2020 natures'!AY146/'4.1 Comptes 2020 natures'!AY2</f>
        <v>0</v>
      </c>
      <c r="AZ146" s="4">
        <f>'4.1 Comptes 2020 natures'!AZ146/'4.1 Comptes 2020 natures'!AZ2</f>
        <v>0</v>
      </c>
      <c r="BA146" s="4">
        <f>'4.1 Comptes 2020 natures'!BA146/'4.1 Comptes 2020 natures'!BA2</f>
        <v>0</v>
      </c>
      <c r="BB146" s="4">
        <f>'4.1 Comptes 2020 natures'!BB146/'4.1 Comptes 2020 natures'!BB2</f>
        <v>0</v>
      </c>
      <c r="BC146" s="4">
        <f>'4.1 Comptes 2020 natures'!BC146/'4.1 Comptes 2020 natures'!BC2</f>
        <v>0</v>
      </c>
      <c r="BD146" s="4">
        <f>'4.1 Comptes 2020 natures'!BD146/'4.1 Comptes 2020 natures'!BD2</f>
        <v>0</v>
      </c>
      <c r="BE146" s="4">
        <f>'4.1 Comptes 2020 natures'!BE146/'4.1 Comptes 2020 natures'!BE2</f>
        <v>0</v>
      </c>
      <c r="BF146" s="4">
        <f t="shared" si="93"/>
        <v>0.7982062780269058</v>
      </c>
      <c r="BG146" s="4">
        <f t="shared" si="94"/>
        <v>0.7982062780269058</v>
      </c>
      <c r="BH146" s="4">
        <f t="shared" si="95"/>
        <v>0</v>
      </c>
      <c r="BI146" s="4">
        <f t="shared" si="96"/>
        <v>0</v>
      </c>
    </row>
    <row r="147" spans="1:61" x14ac:dyDescent="0.3">
      <c r="C147">
        <v>498</v>
      </c>
      <c r="D147" t="s">
        <v>192</v>
      </c>
      <c r="E147" s="4">
        <f>'4.1 Comptes 2020 natures'!E147/'4.1 Comptes 2020 natures'!E2</f>
        <v>0</v>
      </c>
      <c r="F147" s="4">
        <f>'4.1 Comptes 2020 natures'!F147/'4.1 Comptes 2020 natures'!F2</f>
        <v>0</v>
      </c>
      <c r="G147" s="4">
        <f>'4.1 Comptes 2020 natures'!G147/'4.1 Comptes 2020 natures'!G2</f>
        <v>0</v>
      </c>
      <c r="H147" s="4">
        <f>'4.1 Comptes 2020 natures'!H147/'4.1 Comptes 2020 natures'!H2</f>
        <v>0</v>
      </c>
      <c r="I147" s="4">
        <f>'4.1 Comptes 2020 natures'!I147/'4.1 Comptes 2020 natures'!I2</f>
        <v>0</v>
      </c>
      <c r="J147" s="4">
        <f>'4.1 Comptes 2020 natures'!J147/'4.1 Comptes 2020 natures'!J2</f>
        <v>0</v>
      </c>
      <c r="K147" s="4">
        <f>'4.1 Comptes 2020 natures'!K147/'4.1 Comptes 2020 natures'!K2</f>
        <v>0</v>
      </c>
      <c r="L147" s="4">
        <f>'4.1 Comptes 2020 natures'!L147/'4.1 Comptes 2020 natures'!L2</f>
        <v>195.41819702012998</v>
      </c>
      <c r="M147" s="4">
        <f>'4.1 Comptes 2020 natures'!M147/'4.1 Comptes 2020 natures'!M2</f>
        <v>0</v>
      </c>
      <c r="N147" s="4">
        <f>'4.1 Comptes 2020 natures'!N147/'4.1 Comptes 2020 natures'!N2</f>
        <v>0</v>
      </c>
      <c r="O147" s="4">
        <f>'4.1 Comptes 2020 natures'!O147/'4.1 Comptes 2020 natures'!O2</f>
        <v>0</v>
      </c>
      <c r="P147" s="4">
        <f>'4.1 Comptes 2020 natures'!P147/'4.1 Comptes 2020 natures'!P2</f>
        <v>0</v>
      </c>
      <c r="Q147" s="4">
        <f>'4.1 Comptes 2020 natures'!Q147/'4.1 Comptes 2020 natures'!Q2</f>
        <v>0</v>
      </c>
      <c r="R147" s="4">
        <f>'4.1 Comptes 2020 natures'!R147/'4.1 Comptes 2020 natures'!R2</f>
        <v>0</v>
      </c>
      <c r="S147" s="4">
        <f>'4.1 Comptes 2020 natures'!S147/'4.1 Comptes 2020 natures'!S2</f>
        <v>0</v>
      </c>
      <c r="T147" s="4">
        <f>'4.1 Comptes 2020 natures'!T147/'4.1 Comptes 2020 natures'!T2</f>
        <v>0</v>
      </c>
      <c r="U147" s="4">
        <f>'4.1 Comptes 2020 natures'!U147/'4.1 Comptes 2020 natures'!U2</f>
        <v>0</v>
      </c>
      <c r="V147" s="4">
        <f>'4.1 Comptes 2020 natures'!V147/'4.1 Comptes 2020 natures'!V2</f>
        <v>0</v>
      </c>
      <c r="W147" s="4">
        <f>'4.1 Comptes 2020 natures'!W147/'4.1 Comptes 2020 natures'!W2</f>
        <v>0</v>
      </c>
      <c r="X147" s="4">
        <f>'4.1 Comptes 2020 natures'!X147/'4.1 Comptes 2020 natures'!X2</f>
        <v>0</v>
      </c>
      <c r="Y147" s="4">
        <f>'4.1 Comptes 2020 natures'!Y147/'4.1 Comptes 2020 natures'!Y2</f>
        <v>0</v>
      </c>
      <c r="Z147" s="4">
        <f>'4.1 Comptes 2020 natures'!Z147/'4.1 Comptes 2020 natures'!Z2</f>
        <v>0</v>
      </c>
      <c r="AA147" s="4">
        <f>'4.1 Comptes 2020 natures'!AA147/'4.1 Comptes 2020 natures'!AA2</f>
        <v>0</v>
      </c>
      <c r="AB147" s="4">
        <f>'4.1 Comptes 2020 natures'!AB147/'4.1 Comptes 2020 natures'!AB2</f>
        <v>0</v>
      </c>
      <c r="AC147" s="4">
        <f>'4.1 Comptes 2020 natures'!AC147/'4.1 Comptes 2020 natures'!AC2</f>
        <v>0</v>
      </c>
      <c r="AD147" s="4">
        <f>'4.1 Comptes 2020 natures'!AD147/'4.1 Comptes 2020 natures'!AD2</f>
        <v>0</v>
      </c>
      <c r="AE147" s="4">
        <f>'4.1 Comptes 2020 natures'!AE147/'4.1 Comptes 2020 natures'!AE2</f>
        <v>0</v>
      </c>
      <c r="AF147" s="4">
        <f>'4.1 Comptes 2020 natures'!AF147/'4.1 Comptes 2020 natures'!AF2</f>
        <v>0</v>
      </c>
      <c r="AG147" s="4">
        <f>'4.1 Comptes 2020 natures'!AG147/'4.1 Comptes 2020 natures'!AG2</f>
        <v>0</v>
      </c>
      <c r="AH147" s="4">
        <f>'4.1 Comptes 2020 natures'!AH147/'4.1 Comptes 2020 natures'!AH2</f>
        <v>0</v>
      </c>
      <c r="AI147" s="4">
        <f>'4.1 Comptes 2020 natures'!AI147/'4.1 Comptes 2020 natures'!AI2</f>
        <v>0</v>
      </c>
      <c r="AJ147" s="4">
        <f>'4.1 Comptes 2020 natures'!AJ147/'4.1 Comptes 2020 natures'!AJ2</f>
        <v>0</v>
      </c>
      <c r="AK147" s="4">
        <f>'4.1 Comptes 2020 natures'!AK147/'4.1 Comptes 2020 natures'!AK2</f>
        <v>0</v>
      </c>
      <c r="AL147" s="4">
        <f>'4.1 Comptes 2020 natures'!AL147/'4.1 Comptes 2020 natures'!AL2</f>
        <v>0</v>
      </c>
      <c r="AM147" s="4">
        <f>'4.1 Comptes 2020 natures'!AM147/'4.1 Comptes 2020 natures'!AM2</f>
        <v>0</v>
      </c>
      <c r="AN147" s="4">
        <f>'4.1 Comptes 2020 natures'!AN147/'4.1 Comptes 2020 natures'!AN2</f>
        <v>0</v>
      </c>
      <c r="AO147" s="4">
        <f>'4.1 Comptes 2020 natures'!AO147/'4.1 Comptes 2020 natures'!AO2</f>
        <v>0</v>
      </c>
      <c r="AP147" s="4">
        <f>'4.1 Comptes 2020 natures'!AP147/'4.1 Comptes 2020 natures'!AP2</f>
        <v>0</v>
      </c>
      <c r="AQ147" s="4">
        <f>'4.1 Comptes 2020 natures'!AQ147/'4.1 Comptes 2020 natures'!AQ2</f>
        <v>0</v>
      </c>
      <c r="AR147" s="4">
        <f>'4.1 Comptes 2020 natures'!AR147/'4.1 Comptes 2020 natures'!AR2</f>
        <v>0</v>
      </c>
      <c r="AS147" s="4">
        <f>'4.1 Comptes 2020 natures'!AS147/'4.1 Comptes 2020 natures'!AS2</f>
        <v>0</v>
      </c>
      <c r="AT147" s="4">
        <f>'4.1 Comptes 2020 natures'!AT147/'4.1 Comptes 2020 natures'!AT2</f>
        <v>0</v>
      </c>
      <c r="AU147" s="4">
        <f>'4.1 Comptes 2020 natures'!AU147/'4.1 Comptes 2020 natures'!AU2</f>
        <v>0</v>
      </c>
      <c r="AV147" s="4">
        <f>'4.1 Comptes 2020 natures'!AV147/'4.1 Comptes 2020 natures'!AV2</f>
        <v>0</v>
      </c>
      <c r="AW147" s="4">
        <f>'4.1 Comptes 2020 natures'!AW147/'4.1 Comptes 2020 natures'!AW2</f>
        <v>0</v>
      </c>
      <c r="AX147" s="4">
        <f>'4.1 Comptes 2020 natures'!AX147/'4.1 Comptes 2020 natures'!AX2</f>
        <v>0</v>
      </c>
      <c r="AY147" s="4">
        <f>'4.1 Comptes 2020 natures'!AY147/'4.1 Comptes 2020 natures'!AY2</f>
        <v>0</v>
      </c>
      <c r="AZ147" s="4">
        <f>'4.1 Comptes 2020 natures'!AZ147/'4.1 Comptes 2020 natures'!AZ2</f>
        <v>0</v>
      </c>
      <c r="BA147" s="4">
        <f>'4.1 Comptes 2020 natures'!BA147/'4.1 Comptes 2020 natures'!BA2</f>
        <v>0</v>
      </c>
      <c r="BB147" s="4">
        <f>'4.1 Comptes 2020 natures'!BB147/'4.1 Comptes 2020 natures'!BB2</f>
        <v>0</v>
      </c>
      <c r="BC147" s="4">
        <f>'4.1 Comptes 2020 natures'!BC147/'4.1 Comptes 2020 natures'!BC2</f>
        <v>0</v>
      </c>
      <c r="BD147" s="4">
        <f>'4.1 Comptes 2020 natures'!BD147/'4.1 Comptes 2020 natures'!BD2</f>
        <v>0</v>
      </c>
      <c r="BE147" s="4">
        <f>'4.1 Comptes 2020 natures'!BE147/'4.1 Comptes 2020 natures'!BE2</f>
        <v>0</v>
      </c>
      <c r="BF147" s="4">
        <f t="shared" si="93"/>
        <v>195.41819702012998</v>
      </c>
      <c r="BG147" s="4">
        <f t="shared" si="94"/>
        <v>195.41819702012998</v>
      </c>
      <c r="BH147" s="4">
        <f t="shared" si="95"/>
        <v>0</v>
      </c>
      <c r="BI147" s="4">
        <f t="shared" si="96"/>
        <v>0</v>
      </c>
    </row>
    <row r="148" spans="1:61" x14ac:dyDescent="0.3">
      <c r="C148">
        <v>499</v>
      </c>
      <c r="D148" t="s">
        <v>136</v>
      </c>
      <c r="E148" s="4">
        <f>'4.1 Comptes 2020 natures'!E148/'4.1 Comptes 2020 natures'!E2</f>
        <v>0</v>
      </c>
      <c r="F148" s="4">
        <f>'4.1 Comptes 2020 natures'!F148/'4.1 Comptes 2020 natures'!F2</f>
        <v>0</v>
      </c>
      <c r="G148" s="4">
        <f>'4.1 Comptes 2020 natures'!G148/'4.1 Comptes 2020 natures'!G2</f>
        <v>0</v>
      </c>
      <c r="H148" s="4">
        <f>'4.1 Comptes 2020 natures'!H148/'4.1 Comptes 2020 natures'!H2</f>
        <v>0</v>
      </c>
      <c r="I148" s="4">
        <f>'4.1 Comptes 2020 natures'!I148/'4.1 Comptes 2020 natures'!I2</f>
        <v>0</v>
      </c>
      <c r="J148" s="4">
        <f>'4.1 Comptes 2020 natures'!J148/'4.1 Comptes 2020 natures'!J2</f>
        <v>0</v>
      </c>
      <c r="K148" s="4">
        <f>'4.1 Comptes 2020 natures'!K148/'4.1 Comptes 2020 natures'!K2</f>
        <v>0</v>
      </c>
      <c r="L148" s="4">
        <f>'4.1 Comptes 2020 natures'!L148/'4.1 Comptes 2020 natures'!L2</f>
        <v>154.19119353304802</v>
      </c>
      <c r="M148" s="4">
        <f>'4.1 Comptes 2020 natures'!M148/'4.1 Comptes 2020 natures'!M2</f>
        <v>0</v>
      </c>
      <c r="N148" s="4">
        <f>'4.1 Comptes 2020 natures'!N148/'4.1 Comptes 2020 natures'!N2</f>
        <v>0</v>
      </c>
      <c r="O148" s="4">
        <f>'4.1 Comptes 2020 natures'!O148/'4.1 Comptes 2020 natures'!O2</f>
        <v>0</v>
      </c>
      <c r="P148" s="4">
        <f>'4.1 Comptes 2020 natures'!P148/'4.1 Comptes 2020 natures'!P2</f>
        <v>0</v>
      </c>
      <c r="Q148" s="4">
        <f>'4.1 Comptes 2020 natures'!Q148/'4.1 Comptes 2020 natures'!Q2</f>
        <v>0</v>
      </c>
      <c r="R148" s="4">
        <f>'4.1 Comptes 2020 natures'!R148/'4.1 Comptes 2020 natures'!R2</f>
        <v>0</v>
      </c>
      <c r="S148" s="4">
        <f>'4.1 Comptes 2020 natures'!S148/'4.1 Comptes 2020 natures'!S2</f>
        <v>0</v>
      </c>
      <c r="T148" s="4">
        <f>'4.1 Comptes 2020 natures'!T148/'4.1 Comptes 2020 natures'!T2</f>
        <v>0</v>
      </c>
      <c r="U148" s="4">
        <f>'4.1 Comptes 2020 natures'!U148/'4.1 Comptes 2020 natures'!U2</f>
        <v>0</v>
      </c>
      <c r="V148" s="4">
        <f>'4.1 Comptes 2020 natures'!V148/'4.1 Comptes 2020 natures'!V2</f>
        <v>0</v>
      </c>
      <c r="W148" s="4">
        <f>'4.1 Comptes 2020 natures'!W148/'4.1 Comptes 2020 natures'!W2</f>
        <v>0.94043887147335425</v>
      </c>
      <c r="X148" s="4">
        <f>'4.1 Comptes 2020 natures'!X148/'4.1 Comptes 2020 natures'!X2</f>
        <v>0</v>
      </c>
      <c r="Y148" s="4">
        <f>'4.1 Comptes 2020 natures'!Y148/'4.1 Comptes 2020 natures'!Y2</f>
        <v>0</v>
      </c>
      <c r="Z148" s="4">
        <f>'4.1 Comptes 2020 natures'!Z148/'4.1 Comptes 2020 natures'!Z2</f>
        <v>0</v>
      </c>
      <c r="AA148" s="4">
        <f>'4.1 Comptes 2020 natures'!AA148/'4.1 Comptes 2020 natures'!AA2</f>
        <v>0</v>
      </c>
      <c r="AB148" s="4">
        <f>'4.1 Comptes 2020 natures'!AB148/'4.1 Comptes 2020 natures'!AB2</f>
        <v>0</v>
      </c>
      <c r="AC148" s="4">
        <f>'4.1 Comptes 2020 natures'!AC148/'4.1 Comptes 2020 natures'!AC2</f>
        <v>0</v>
      </c>
      <c r="AD148" s="4">
        <f>'4.1 Comptes 2020 natures'!AD148/'4.1 Comptes 2020 natures'!AD2</f>
        <v>0</v>
      </c>
      <c r="AE148" s="4">
        <f>'4.1 Comptes 2020 natures'!AE148/'4.1 Comptes 2020 natures'!AE2</f>
        <v>0</v>
      </c>
      <c r="AF148" s="4">
        <f>'4.1 Comptes 2020 natures'!AF148/'4.1 Comptes 2020 natures'!AF2</f>
        <v>0</v>
      </c>
      <c r="AG148" s="4">
        <f>'4.1 Comptes 2020 natures'!AG148/'4.1 Comptes 2020 natures'!AG2</f>
        <v>0</v>
      </c>
      <c r="AH148" s="4">
        <f>'4.1 Comptes 2020 natures'!AH148/'4.1 Comptes 2020 natures'!AH2</f>
        <v>0</v>
      </c>
      <c r="AI148" s="4">
        <f>'4.1 Comptes 2020 natures'!AI148/'4.1 Comptes 2020 natures'!AI2</f>
        <v>0</v>
      </c>
      <c r="AJ148" s="4">
        <f>'4.1 Comptes 2020 natures'!AJ148/'4.1 Comptes 2020 natures'!AJ2</f>
        <v>0</v>
      </c>
      <c r="AK148" s="4">
        <f>'4.1 Comptes 2020 natures'!AK148/'4.1 Comptes 2020 natures'!AK2</f>
        <v>0</v>
      </c>
      <c r="AL148" s="4">
        <f>'4.1 Comptes 2020 natures'!AL148/'4.1 Comptes 2020 natures'!AL2</f>
        <v>0</v>
      </c>
      <c r="AM148" s="4">
        <f>'4.1 Comptes 2020 natures'!AM148/'4.1 Comptes 2020 natures'!AM2</f>
        <v>0</v>
      </c>
      <c r="AN148" s="4">
        <f>'4.1 Comptes 2020 natures'!AN148/'4.1 Comptes 2020 natures'!AN2</f>
        <v>0</v>
      </c>
      <c r="AO148" s="4">
        <f>'4.1 Comptes 2020 natures'!AO148/'4.1 Comptes 2020 natures'!AO2</f>
        <v>0</v>
      </c>
      <c r="AP148" s="4">
        <f>'4.1 Comptes 2020 natures'!AP148/'4.1 Comptes 2020 natures'!AP2</f>
        <v>0</v>
      </c>
      <c r="AQ148" s="4">
        <f>'4.1 Comptes 2020 natures'!AQ148/'4.1 Comptes 2020 natures'!AQ2</f>
        <v>0</v>
      </c>
      <c r="AR148" s="4">
        <f>'4.1 Comptes 2020 natures'!AR148/'4.1 Comptes 2020 natures'!AR2</f>
        <v>0</v>
      </c>
      <c r="AS148" s="4">
        <f>'4.1 Comptes 2020 natures'!AS148/'4.1 Comptes 2020 natures'!AS2</f>
        <v>0</v>
      </c>
      <c r="AT148" s="4">
        <f>'4.1 Comptes 2020 natures'!AT148/'4.1 Comptes 2020 natures'!AT2</f>
        <v>0</v>
      </c>
      <c r="AU148" s="4">
        <f>'4.1 Comptes 2020 natures'!AU148/'4.1 Comptes 2020 natures'!AU2</f>
        <v>0</v>
      </c>
      <c r="AV148" s="4">
        <f>'4.1 Comptes 2020 natures'!AV148/'4.1 Comptes 2020 natures'!AV2</f>
        <v>0</v>
      </c>
      <c r="AW148" s="4">
        <f>'4.1 Comptes 2020 natures'!AW148/'4.1 Comptes 2020 natures'!AW2</f>
        <v>0</v>
      </c>
      <c r="AX148" s="4">
        <f>'4.1 Comptes 2020 natures'!AX148/'4.1 Comptes 2020 natures'!AX2</f>
        <v>0</v>
      </c>
      <c r="AY148" s="4">
        <f>'4.1 Comptes 2020 natures'!AY148/'4.1 Comptes 2020 natures'!AY2</f>
        <v>0</v>
      </c>
      <c r="AZ148" s="4">
        <f>'4.1 Comptes 2020 natures'!AZ148/'4.1 Comptes 2020 natures'!AZ2</f>
        <v>2.0710059171597632</v>
      </c>
      <c r="BA148" s="4">
        <f>'4.1 Comptes 2020 natures'!BA148/'4.1 Comptes 2020 natures'!BA2</f>
        <v>0</v>
      </c>
      <c r="BB148" s="4">
        <f>'4.1 Comptes 2020 natures'!BB148/'4.1 Comptes 2020 natures'!BB2</f>
        <v>0</v>
      </c>
      <c r="BC148" s="4">
        <f>'4.1 Comptes 2020 natures'!BC148/'4.1 Comptes 2020 natures'!BC2</f>
        <v>0</v>
      </c>
      <c r="BD148" s="4">
        <f>'4.1 Comptes 2020 natures'!BD148/'4.1 Comptes 2020 natures'!BD2</f>
        <v>0</v>
      </c>
      <c r="BE148" s="4">
        <f>'4.1 Comptes 2020 natures'!BE148/'4.1 Comptes 2020 natures'!BE2</f>
        <v>0</v>
      </c>
      <c r="BF148" s="4">
        <f t="shared" si="93"/>
        <v>157.20263832168115</v>
      </c>
      <c r="BG148" s="4">
        <f t="shared" si="94"/>
        <v>155.13163240452138</v>
      </c>
      <c r="BH148" s="4">
        <f t="shared" si="95"/>
        <v>0</v>
      </c>
      <c r="BI148" s="4">
        <f t="shared" si="96"/>
        <v>2.0710059171597632</v>
      </c>
    </row>
    <row r="149" spans="1:61" x14ac:dyDescent="0.3">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3">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3">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3">
      <c r="A153" s="106"/>
      <c r="B153" s="106">
        <v>90</v>
      </c>
      <c r="C153" s="106"/>
      <c r="D153" s="106" t="s">
        <v>195</v>
      </c>
      <c r="E153" s="108">
        <f>E154+E155</f>
        <v>366.27193932827737</v>
      </c>
      <c r="F153" s="108">
        <f t="shared" ref="F153:BI153" si="101">F154+F155</f>
        <v>679.13900000000012</v>
      </c>
      <c r="G153" s="108">
        <f t="shared" si="101"/>
        <v>-60.456247422680406</v>
      </c>
      <c r="H153" s="108">
        <f t="shared" si="101"/>
        <v>48.550807174887893</v>
      </c>
      <c r="I153" s="108">
        <f t="shared" si="101"/>
        <v>127.13402093087302</v>
      </c>
      <c r="J153" s="108">
        <f t="shared" si="101"/>
        <v>317.30031391488075</v>
      </c>
      <c r="K153" s="108">
        <f t="shared" si="101"/>
        <v>96.012284417549182</v>
      </c>
      <c r="L153" s="108">
        <f t="shared" si="101"/>
        <v>165.61049136154702</v>
      </c>
      <c r="M153" s="108">
        <f t="shared" si="101"/>
        <v>-0.98676878191102446</v>
      </c>
      <c r="N153" s="108">
        <f t="shared" si="101"/>
        <v>-541.68576271186441</v>
      </c>
      <c r="O153" s="108">
        <f t="shared" si="101"/>
        <v>-164.281215292312</v>
      </c>
      <c r="P153" s="108">
        <f t="shared" si="101"/>
        <v>-177.52234848484849</v>
      </c>
      <c r="Q153" s="108">
        <f t="shared" si="101"/>
        <v>-87.600092592592631</v>
      </c>
      <c r="R153" s="108">
        <f t="shared" si="101"/>
        <v>-40.611036144578307</v>
      </c>
      <c r="S153" s="108">
        <f t="shared" si="101"/>
        <v>-37.453782234956975</v>
      </c>
      <c r="T153" s="108">
        <f t="shared" si="101"/>
        <v>382.47077147016012</v>
      </c>
      <c r="U153" s="108">
        <f t="shared" si="101"/>
        <v>35.485137254901964</v>
      </c>
      <c r="V153" s="108">
        <f t="shared" si="101"/>
        <v>-349.48889908256882</v>
      </c>
      <c r="W153" s="108">
        <f t="shared" si="101"/>
        <v>114.32959561128527</v>
      </c>
      <c r="X153" s="108">
        <f t="shared" si="101"/>
        <v>81.130061728395063</v>
      </c>
      <c r="Y153" s="108">
        <f t="shared" si="101"/>
        <v>143.65784911717495</v>
      </c>
      <c r="Z153" s="108">
        <f t="shared" si="101"/>
        <v>2302.1727683246072</v>
      </c>
      <c r="AA153" s="108">
        <f t="shared" si="101"/>
        <v>-116.35697916666668</v>
      </c>
      <c r="AB153" s="108">
        <f t="shared" si="101"/>
        <v>277.99852348993289</v>
      </c>
      <c r="AC153" s="108">
        <f t="shared" si="101"/>
        <v>-222.08715116279069</v>
      </c>
      <c r="AD153" s="108">
        <f t="shared" si="101"/>
        <v>-147.54166915052161</v>
      </c>
      <c r="AE153" s="108">
        <f t="shared" si="101"/>
        <v>-339.63930069930069</v>
      </c>
      <c r="AF153" s="108">
        <f t="shared" si="101"/>
        <v>250.07910204081634</v>
      </c>
      <c r="AG153" s="108">
        <f t="shared" si="101"/>
        <v>578.47978056426336</v>
      </c>
      <c r="AH153" s="108">
        <f t="shared" si="101"/>
        <v>93.264760994263867</v>
      </c>
      <c r="AI153" s="108">
        <f t="shared" si="101"/>
        <v>-23.594537444933923</v>
      </c>
      <c r="AJ153" s="108">
        <f t="shared" si="101"/>
        <v>172.41526717557252</v>
      </c>
      <c r="AK153" s="108">
        <f t="shared" si="101"/>
        <v>81.118733509234829</v>
      </c>
      <c r="AL153" s="108">
        <f t="shared" si="101"/>
        <v>-28.920343612334797</v>
      </c>
      <c r="AM153" s="108">
        <f t="shared" si="101"/>
        <v>-4.5042465753424636</v>
      </c>
      <c r="AN153" s="108">
        <f t="shared" si="101"/>
        <v>115.2189075630252</v>
      </c>
      <c r="AO153" s="108">
        <f t="shared" si="101"/>
        <v>286.18788284518831</v>
      </c>
      <c r="AP153" s="108">
        <f t="shared" si="101"/>
        <v>298.12027149321273</v>
      </c>
      <c r="AQ153" s="108">
        <f t="shared" si="101"/>
        <v>37.078713178294571</v>
      </c>
      <c r="AR153" s="108">
        <f t="shared" si="101"/>
        <v>40.120182106096593</v>
      </c>
      <c r="AS153" s="108">
        <f t="shared" si="101"/>
        <v>71.015000000000001</v>
      </c>
      <c r="AT153" s="108">
        <f t="shared" si="101"/>
        <v>34.161507782101168</v>
      </c>
      <c r="AU153" s="108">
        <f t="shared" si="101"/>
        <v>359.28477707006368</v>
      </c>
      <c r="AV153" s="108">
        <f t="shared" si="101"/>
        <v>-111.87815833333333</v>
      </c>
      <c r="AW153" s="108">
        <f t="shared" si="101"/>
        <v>-12.005337748344374</v>
      </c>
      <c r="AX153" s="108">
        <f t="shared" si="101"/>
        <v>164.74917127071825</v>
      </c>
      <c r="AY153" s="108">
        <f t="shared" si="101"/>
        <v>212.36037463976945</v>
      </c>
      <c r="AZ153" s="108">
        <f t="shared" si="101"/>
        <v>46.770905325443792</v>
      </c>
      <c r="BA153" s="108">
        <f t="shared" si="101"/>
        <v>415.70555555555558</v>
      </c>
      <c r="BB153" s="108">
        <f t="shared" si="101"/>
        <v>175.3530565693431</v>
      </c>
      <c r="BC153" s="108">
        <f t="shared" si="101"/>
        <v>-79.315053191489369</v>
      </c>
      <c r="BD153" s="108">
        <f t="shared" si="101"/>
        <v>194.85973111594654</v>
      </c>
      <c r="BE153" s="108">
        <f t="shared" si="101"/>
        <v>87.857017857142864</v>
      </c>
      <c r="BF153" s="108">
        <f t="shared" si="101"/>
        <v>6305.5353329471554</v>
      </c>
      <c r="BG153" s="108">
        <f t="shared" si="101"/>
        <v>872.21820871604996</v>
      </c>
      <c r="BH153" s="108">
        <f t="shared" si="101"/>
        <v>3049.9784758108126</v>
      </c>
      <c r="BI153" s="108">
        <f t="shared" si="101"/>
        <v>2383.338648420292</v>
      </c>
    </row>
    <row r="154" spans="1:61" x14ac:dyDescent="0.3">
      <c r="C154">
        <v>900</v>
      </c>
      <c r="D154" t="s">
        <v>196</v>
      </c>
      <c r="E154" s="4">
        <f>'4.1 Comptes 2020 natures'!E154/'4.1 Comptes 2020 natures'!E2</f>
        <v>6.5169555796316354</v>
      </c>
      <c r="F154" s="4">
        <f>'4.1 Comptes 2020 natures'!F154/'4.1 Comptes 2020 natures'!F2</f>
        <v>553.48766666666677</v>
      </c>
      <c r="G154" s="4">
        <f>'4.1 Comptes 2020 natures'!G154/'4.1 Comptes 2020 natures'!G2</f>
        <v>-73.705278350515457</v>
      </c>
      <c r="H154" s="4">
        <f>'4.1 Comptes 2020 natures'!H154/'4.1 Comptes 2020 natures'!H2</f>
        <v>48.550807174887893</v>
      </c>
      <c r="I154" s="4">
        <f>'4.1 Comptes 2020 natures'!I154/'4.1 Comptes 2020 natures'!I2</f>
        <v>-54.264029193059763</v>
      </c>
      <c r="J154" s="4">
        <f>'4.1 Comptes 2020 natures'!J154/'4.1 Comptes 2020 natures'!J2</f>
        <v>194.18539390280711</v>
      </c>
      <c r="K154" s="4">
        <f>'4.1 Comptes 2020 natures'!K154/'4.1 Comptes 2020 natures'!K2</f>
        <v>12.677749621785175</v>
      </c>
      <c r="L154" s="4">
        <f>'4.1 Comptes 2020 natures'!L154/'4.1 Comptes 2020 natures'!L2</f>
        <v>-45.54087256300523</v>
      </c>
      <c r="M154" s="4">
        <f>'4.1 Comptes 2020 natures'!M154/'4.1 Comptes 2020 natures'!M2</f>
        <v>-105.03390226112327</v>
      </c>
      <c r="N154" s="4">
        <f>'4.1 Comptes 2020 natures'!N154/'4.1 Comptes 2020 natures'!N2</f>
        <v>-541.68576271186441</v>
      </c>
      <c r="O154" s="4">
        <f>'4.1 Comptes 2020 natures'!O154/'4.1 Comptes 2020 natures'!O2</f>
        <v>-202.21229524208178</v>
      </c>
      <c r="P154" s="4">
        <f>'4.1 Comptes 2020 natures'!P154/'4.1 Comptes 2020 natures'!P2</f>
        <v>-177.52234848484849</v>
      </c>
      <c r="Q154" s="4">
        <f>'4.1 Comptes 2020 natures'!Q154/'4.1 Comptes 2020 natures'!Q2</f>
        <v>-267.37518518518522</v>
      </c>
      <c r="R154" s="4">
        <f>'4.1 Comptes 2020 natures'!R154/'4.1 Comptes 2020 natures'!R2</f>
        <v>-97.748168674698789</v>
      </c>
      <c r="S154" s="4">
        <f>'4.1 Comptes 2020 natures'!S154/'4.1 Comptes 2020 natures'!S2</f>
        <v>-466.08320916905444</v>
      </c>
      <c r="T154" s="4">
        <f>'4.1 Comptes 2020 natures'!T154/'4.1 Comptes 2020 natures'!T2</f>
        <v>118.24583697234353</v>
      </c>
      <c r="U154" s="4">
        <f>'4.1 Comptes 2020 natures'!U154/'4.1 Comptes 2020 natures'!U2</f>
        <v>-7.7776078431372548</v>
      </c>
      <c r="V154" s="4">
        <f>'4.1 Comptes 2020 natures'!V154/'4.1 Comptes 2020 natures'!V2</f>
        <v>-348.18142201834866</v>
      </c>
      <c r="W154" s="4">
        <f>'4.1 Comptes 2020 natures'!W154/'4.1 Comptes 2020 natures'!W2</f>
        <v>2.8205172413793105</v>
      </c>
      <c r="X154" s="4">
        <f>'4.1 Comptes 2020 natures'!X154/'4.1 Comptes 2020 natures'!X2</f>
        <v>46.74950617283951</v>
      </c>
      <c r="Y154" s="4">
        <f>'4.1 Comptes 2020 natures'!Y154/'4.1 Comptes 2020 natures'!Y2</f>
        <v>76.029036918138033</v>
      </c>
      <c r="Z154" s="4">
        <f>'4.1 Comptes 2020 natures'!Z154/'4.1 Comptes 2020 natures'!Z2</f>
        <v>2181.835667539267</v>
      </c>
      <c r="AA154" s="4">
        <f>'4.1 Comptes 2020 natures'!AA154/'4.1 Comptes 2020 natures'!AA2</f>
        <v>-144.791875</v>
      </c>
      <c r="AB154" s="4">
        <f>'4.1 Comptes 2020 natures'!AB154/'4.1 Comptes 2020 natures'!AB2</f>
        <v>-54.171409395973157</v>
      </c>
      <c r="AC154" s="4">
        <f>'4.1 Comptes 2020 natures'!AC154/'4.1 Comptes 2020 natures'!AC2</f>
        <v>-222.88556201550387</v>
      </c>
      <c r="AD154" s="4">
        <f>'4.1 Comptes 2020 natures'!AD154/'4.1 Comptes 2020 natures'!AD2</f>
        <v>-252.76409836065574</v>
      </c>
      <c r="AE154" s="4">
        <f>'4.1 Comptes 2020 natures'!AE154/'4.1 Comptes 2020 natures'!AE2</f>
        <v>-292.06043706293707</v>
      </c>
      <c r="AF154" s="4">
        <f>'4.1 Comptes 2020 natures'!AF154/'4.1 Comptes 2020 natures'!AF2</f>
        <v>55.250408163265305</v>
      </c>
      <c r="AG154" s="4">
        <f>'4.1 Comptes 2020 natures'!AG154/'4.1 Comptes 2020 natures'!AG2</f>
        <v>471.59703239289445</v>
      </c>
      <c r="AH154" s="4">
        <f>'4.1 Comptes 2020 natures'!AH154/'4.1 Comptes 2020 natures'!AH2</f>
        <v>8.261931166347992</v>
      </c>
      <c r="AI154" s="4">
        <f>'4.1 Comptes 2020 natures'!AI154/'4.1 Comptes 2020 natures'!AI2</f>
        <v>-32.297400881057271</v>
      </c>
      <c r="AJ154" s="4">
        <f>'4.1 Comptes 2020 natures'!AJ154/'4.1 Comptes 2020 natures'!AJ2</f>
        <v>-215.88473282442749</v>
      </c>
      <c r="AK154" s="4">
        <f>'4.1 Comptes 2020 natures'!AK154/'4.1 Comptes 2020 natures'!AK2</f>
        <v>48.928759894459105</v>
      </c>
      <c r="AL154" s="4">
        <f>'4.1 Comptes 2020 natures'!AL154/'4.1 Comptes 2020 natures'!AL2</f>
        <v>-28.920343612334797</v>
      </c>
      <c r="AM154" s="4">
        <f>'4.1 Comptes 2020 natures'!AM154/'4.1 Comptes 2020 natures'!AM2</f>
        <v>-78.751007252215956</v>
      </c>
      <c r="AN154" s="4">
        <f>'4.1 Comptes 2020 natures'!AN154/'4.1 Comptes 2020 natures'!AN2</f>
        <v>73.615294117647053</v>
      </c>
      <c r="AO154" s="4">
        <f>'4.1 Comptes 2020 natures'!AO154/'4.1 Comptes 2020 natures'!AO2</f>
        <v>261.95409205020923</v>
      </c>
      <c r="AP154" s="4">
        <f>'4.1 Comptes 2020 natures'!AP154/'4.1 Comptes 2020 natures'!AP2</f>
        <v>246.82793363499249</v>
      </c>
      <c r="AQ154" s="4">
        <f>'4.1 Comptes 2020 natures'!AQ154/'4.1 Comptes 2020 natures'!AQ2</f>
        <v>60.556790697674415</v>
      </c>
      <c r="AR154" s="4">
        <f>'4.1 Comptes 2020 natures'!AR154/'4.1 Comptes 2020 natures'!AR2</f>
        <v>17.247996832937453</v>
      </c>
      <c r="AS154" s="4">
        <f>'4.1 Comptes 2020 natures'!AS154/'4.1 Comptes 2020 natures'!AS2</f>
        <v>11.710162162162163</v>
      </c>
      <c r="AT154" s="4">
        <f>'4.1 Comptes 2020 natures'!AT154/'4.1 Comptes 2020 natures'!AT2</f>
        <v>-29.234387159533075</v>
      </c>
      <c r="AU154" s="4">
        <f>'4.1 Comptes 2020 natures'!AU154/'4.1 Comptes 2020 natures'!AU2</f>
        <v>258.24426751592358</v>
      </c>
      <c r="AV154" s="4">
        <f>'4.1 Comptes 2020 natures'!AV154/'4.1 Comptes 2020 natures'!AV2</f>
        <v>-179.39834583333334</v>
      </c>
      <c r="AW154" s="4">
        <f>'4.1 Comptes 2020 natures'!AW154/'4.1 Comptes 2020 natures'!AW2</f>
        <v>-55.390649006622517</v>
      </c>
      <c r="AX154" s="4">
        <f>'4.1 Comptes 2020 natures'!AX154/'4.1 Comptes 2020 natures'!AX2</f>
        <v>55.673867403314915</v>
      </c>
      <c r="AY154" s="4">
        <f>'4.1 Comptes 2020 natures'!AY154/'4.1 Comptes 2020 natures'!AY2</f>
        <v>75.310806916426515</v>
      </c>
      <c r="AZ154" s="4">
        <f>'4.1 Comptes 2020 natures'!AZ154/'4.1 Comptes 2020 natures'!AZ2</f>
        <v>24.138124260355031</v>
      </c>
      <c r="BA154" s="4">
        <f>'4.1 Comptes 2020 natures'!BA154/'4.1 Comptes 2020 natures'!BA2</f>
        <v>62.360206718346255</v>
      </c>
      <c r="BB154" s="4">
        <f>'4.1 Comptes 2020 natures'!BB154/'4.1 Comptes 2020 natures'!BB2</f>
        <v>47.494498175182486</v>
      </c>
      <c r="BC154" s="4">
        <f>'4.1 Comptes 2020 natures'!BC154/'4.1 Comptes 2020 natures'!BC2</f>
        <v>-91.424521276595755</v>
      </c>
      <c r="BD154" s="4">
        <f>'4.1 Comptes 2020 natures'!BD154/'4.1 Comptes 2020 natures'!BD2</f>
        <v>29.523539011501402</v>
      </c>
      <c r="BE154" s="4">
        <f>'4.1 Comptes 2020 natures'!BE154/'4.1 Comptes 2020 natures'!BE2</f>
        <v>13.922017857142857</v>
      </c>
      <c r="BF154" s="4">
        <f t="shared" ref="BF154:BF155" si="102">SUM(E154:BE154)</f>
        <v>998.61201538241619</v>
      </c>
      <c r="BG154" s="4">
        <f t="shared" ref="BG154:BG155" si="103">SUM(E154:W154)</f>
        <v>-1450.6451545374211</v>
      </c>
      <c r="BH154" s="4">
        <f t="shared" ref="BH154:BH155" si="104">SUM(X154:AJ154)</f>
        <v>1624.8680668121979</v>
      </c>
      <c r="BI154" s="4">
        <f t="shared" ref="BI154:BI155" si="105">SUM(AK154:BE154)</f>
        <v>824.38910310763936</v>
      </c>
    </row>
    <row r="155" spans="1:61" x14ac:dyDescent="0.3">
      <c r="C155">
        <v>901</v>
      </c>
      <c r="D155" t="s">
        <v>197</v>
      </c>
      <c r="E155" s="4">
        <f>'4.1 Comptes 2020 natures'!E155/'4.1 Comptes 2020 natures'!E2</f>
        <v>359.75498374864571</v>
      </c>
      <c r="F155" s="4">
        <f>'4.1 Comptes 2020 natures'!F155/'4.1 Comptes 2020 natures'!F2</f>
        <v>125.65133333333334</v>
      </c>
      <c r="G155" s="4">
        <f>'4.1 Comptes 2020 natures'!G155/'4.1 Comptes 2020 natures'!G2</f>
        <v>13.249030927835051</v>
      </c>
      <c r="H155" s="4">
        <f>'4.1 Comptes 2020 natures'!H155/'4.1 Comptes 2020 natures'!H2</f>
        <v>0</v>
      </c>
      <c r="I155" s="4">
        <f>'4.1 Comptes 2020 natures'!I155/'4.1 Comptes 2020 natures'!I2</f>
        <v>181.39805012393279</v>
      </c>
      <c r="J155" s="4">
        <f>'4.1 Comptes 2020 natures'!J155/'4.1 Comptes 2020 natures'!J2</f>
        <v>123.11492001207364</v>
      </c>
      <c r="K155" s="4">
        <f>'4.1 Comptes 2020 natures'!K155/'4.1 Comptes 2020 natures'!K2</f>
        <v>83.334534795764</v>
      </c>
      <c r="L155" s="4">
        <f>'4.1 Comptes 2020 natures'!L155/'4.1 Comptes 2020 natures'!L2</f>
        <v>211.15136392455224</v>
      </c>
      <c r="M155" s="4">
        <f>'4.1 Comptes 2020 natures'!M155/'4.1 Comptes 2020 natures'!M2</f>
        <v>104.04713347921225</v>
      </c>
      <c r="N155" s="4">
        <f>'4.1 Comptes 2020 natures'!N155/'4.1 Comptes 2020 natures'!N2</f>
        <v>0</v>
      </c>
      <c r="O155" s="4">
        <f>'4.1 Comptes 2020 natures'!O155/'4.1 Comptes 2020 natures'!O2</f>
        <v>37.931079949769774</v>
      </c>
      <c r="P155" s="4">
        <f>'4.1 Comptes 2020 natures'!P155/'4.1 Comptes 2020 natures'!P2</f>
        <v>0</v>
      </c>
      <c r="Q155" s="4">
        <f>'4.1 Comptes 2020 natures'!Q155/'4.1 Comptes 2020 natures'!Q2</f>
        <v>179.77509259259259</v>
      </c>
      <c r="R155" s="4">
        <f>'4.1 Comptes 2020 natures'!R155/'4.1 Comptes 2020 natures'!R2</f>
        <v>57.137132530120482</v>
      </c>
      <c r="S155" s="4">
        <f>'4.1 Comptes 2020 natures'!S155/'4.1 Comptes 2020 natures'!S2</f>
        <v>428.62942693409747</v>
      </c>
      <c r="T155" s="4">
        <f>'4.1 Comptes 2020 natures'!T155/'4.1 Comptes 2020 natures'!T2</f>
        <v>264.22493449781661</v>
      </c>
      <c r="U155" s="4">
        <f>'4.1 Comptes 2020 natures'!U155/'4.1 Comptes 2020 natures'!U2</f>
        <v>43.262745098039218</v>
      </c>
      <c r="V155" s="4">
        <f>'4.1 Comptes 2020 natures'!V155/'4.1 Comptes 2020 natures'!V2</f>
        <v>-1.3074770642201834</v>
      </c>
      <c r="W155" s="4">
        <f>'4.1 Comptes 2020 natures'!W155/'4.1 Comptes 2020 natures'!W2</f>
        <v>111.50907836990596</v>
      </c>
      <c r="X155" s="4">
        <f>'4.1 Comptes 2020 natures'!X155/'4.1 Comptes 2020 natures'!X2</f>
        <v>34.380555555555553</v>
      </c>
      <c r="Y155" s="4">
        <f>'4.1 Comptes 2020 natures'!Y155/'4.1 Comptes 2020 natures'!Y2</f>
        <v>67.628812199036915</v>
      </c>
      <c r="Z155" s="4">
        <f>'4.1 Comptes 2020 natures'!Z155/'4.1 Comptes 2020 natures'!Z2</f>
        <v>120.33710078534031</v>
      </c>
      <c r="AA155" s="4">
        <f>'4.1 Comptes 2020 natures'!AA155/'4.1 Comptes 2020 natures'!AA2</f>
        <v>28.434895833333332</v>
      </c>
      <c r="AB155" s="4">
        <f>'4.1 Comptes 2020 natures'!AB155/'4.1 Comptes 2020 natures'!AB2</f>
        <v>332.16993288590606</v>
      </c>
      <c r="AC155" s="4">
        <f>'4.1 Comptes 2020 natures'!AC155/'4.1 Comptes 2020 natures'!AC2</f>
        <v>0.79841085271317835</v>
      </c>
      <c r="AD155" s="4">
        <f>'4.1 Comptes 2020 natures'!AD155/'4.1 Comptes 2020 natures'!AD2</f>
        <v>105.22242921013412</v>
      </c>
      <c r="AE155" s="4">
        <f>'4.1 Comptes 2020 natures'!AE155/'4.1 Comptes 2020 natures'!AE2</f>
        <v>-47.578863636363636</v>
      </c>
      <c r="AF155" s="4">
        <f>'4.1 Comptes 2020 natures'!AF155/'4.1 Comptes 2020 natures'!AF2</f>
        <v>194.82869387755102</v>
      </c>
      <c r="AG155" s="4">
        <f>'4.1 Comptes 2020 natures'!AG155/'4.1 Comptes 2020 natures'!AG2</f>
        <v>106.88274817136886</v>
      </c>
      <c r="AH155" s="4">
        <f>'4.1 Comptes 2020 natures'!AH155/'4.1 Comptes 2020 natures'!AH2</f>
        <v>85.002829827915875</v>
      </c>
      <c r="AI155" s="4">
        <f>'4.1 Comptes 2020 natures'!AI155/'4.1 Comptes 2020 natures'!AI2</f>
        <v>8.7028634361233479</v>
      </c>
      <c r="AJ155" s="4">
        <f>'4.1 Comptes 2020 natures'!AJ155/'4.1 Comptes 2020 natures'!AJ2</f>
        <v>388.3</v>
      </c>
      <c r="AK155" s="4">
        <f>'4.1 Comptes 2020 natures'!AK155/'4.1 Comptes 2020 natures'!AK2</f>
        <v>32.189973614775724</v>
      </c>
      <c r="AL155" s="4">
        <f>'4.1 Comptes 2020 natures'!AL155/'4.1 Comptes 2020 natures'!AL2</f>
        <v>0</v>
      </c>
      <c r="AM155" s="4">
        <f>'4.1 Comptes 2020 natures'!AM155/'4.1 Comptes 2020 natures'!AM2</f>
        <v>74.246760676873492</v>
      </c>
      <c r="AN155" s="4">
        <f>'4.1 Comptes 2020 natures'!AN155/'4.1 Comptes 2020 natures'!AN2</f>
        <v>41.603613445378151</v>
      </c>
      <c r="AO155" s="4">
        <f>'4.1 Comptes 2020 natures'!AO155/'4.1 Comptes 2020 natures'!AO2</f>
        <v>24.233790794979079</v>
      </c>
      <c r="AP155" s="4">
        <f>'4.1 Comptes 2020 natures'!AP155/'4.1 Comptes 2020 natures'!AP2</f>
        <v>51.292337858220208</v>
      </c>
      <c r="AQ155" s="4">
        <f>'4.1 Comptes 2020 natures'!AQ155/'4.1 Comptes 2020 natures'!AQ2</f>
        <v>-23.478077519379845</v>
      </c>
      <c r="AR155" s="4">
        <f>'4.1 Comptes 2020 natures'!AR155/'4.1 Comptes 2020 natures'!AR2</f>
        <v>22.872185273159143</v>
      </c>
      <c r="AS155" s="4">
        <f>'4.1 Comptes 2020 natures'!AS155/'4.1 Comptes 2020 natures'!AS2</f>
        <v>59.304837837837837</v>
      </c>
      <c r="AT155" s="4">
        <f>'4.1 Comptes 2020 natures'!AT155/'4.1 Comptes 2020 natures'!AT2</f>
        <v>63.395894941634246</v>
      </c>
      <c r="AU155" s="4">
        <f>'4.1 Comptes 2020 natures'!AU155/'4.1 Comptes 2020 natures'!AU2</f>
        <v>101.04050955414013</v>
      </c>
      <c r="AV155" s="4">
        <f>'4.1 Comptes 2020 natures'!AV155/'4.1 Comptes 2020 natures'!AV2</f>
        <v>67.520187500000006</v>
      </c>
      <c r="AW155" s="4">
        <f>'4.1 Comptes 2020 natures'!AW155/'4.1 Comptes 2020 natures'!AW2</f>
        <v>43.385311258278143</v>
      </c>
      <c r="AX155" s="4">
        <f>'4.1 Comptes 2020 natures'!AX155/'4.1 Comptes 2020 natures'!AX2</f>
        <v>109.07530386740332</v>
      </c>
      <c r="AY155" s="4">
        <f>'4.1 Comptes 2020 natures'!AY155/'4.1 Comptes 2020 natures'!AY2</f>
        <v>137.04956772334293</v>
      </c>
      <c r="AZ155" s="4">
        <f>'4.1 Comptes 2020 natures'!AZ155/'4.1 Comptes 2020 natures'!AZ2</f>
        <v>22.632781065088757</v>
      </c>
      <c r="BA155" s="4">
        <f>'4.1 Comptes 2020 natures'!BA155/'4.1 Comptes 2020 natures'!BA2</f>
        <v>353.34534883720931</v>
      </c>
      <c r="BB155" s="4">
        <f>'4.1 Comptes 2020 natures'!BB155/'4.1 Comptes 2020 natures'!BB2</f>
        <v>127.8585583941606</v>
      </c>
      <c r="BC155" s="4">
        <f>'4.1 Comptes 2020 natures'!BC155/'4.1 Comptes 2020 natures'!BC2</f>
        <v>12.109468085106382</v>
      </c>
      <c r="BD155" s="4">
        <f>'4.1 Comptes 2020 natures'!BD155/'4.1 Comptes 2020 natures'!BD2</f>
        <v>165.33619210444513</v>
      </c>
      <c r="BE155" s="4">
        <f>'4.1 Comptes 2020 natures'!BE155/'4.1 Comptes 2020 natures'!BE2</f>
        <v>73.935000000000002</v>
      </c>
      <c r="BF155" s="4">
        <f t="shared" si="102"/>
        <v>5306.9233175647396</v>
      </c>
      <c r="BG155" s="4">
        <f t="shared" si="103"/>
        <v>2322.8633632534711</v>
      </c>
      <c r="BH155" s="4">
        <f t="shared" si="104"/>
        <v>1425.110408998615</v>
      </c>
      <c r="BI155" s="4">
        <f t="shared" si="105"/>
        <v>1558.9495453126528</v>
      </c>
    </row>
    <row r="156" spans="1:61" x14ac:dyDescent="0.3">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3">
      <c r="D157" s="7" t="s">
        <v>198</v>
      </c>
      <c r="E157" s="41">
        <f>E154+E155</f>
        <v>366.27193932827737</v>
      </c>
      <c r="F157" s="41">
        <f t="shared" ref="F157:BI157" si="106">F154+F155</f>
        <v>679.13900000000012</v>
      </c>
      <c r="G157" s="41">
        <f t="shared" si="106"/>
        <v>-60.456247422680406</v>
      </c>
      <c r="H157" s="41">
        <f t="shared" si="106"/>
        <v>48.550807174887893</v>
      </c>
      <c r="I157" s="41">
        <f t="shared" si="106"/>
        <v>127.13402093087302</v>
      </c>
      <c r="J157" s="41">
        <f t="shared" si="106"/>
        <v>317.30031391488075</v>
      </c>
      <c r="K157" s="41">
        <f t="shared" si="106"/>
        <v>96.012284417549182</v>
      </c>
      <c r="L157" s="41">
        <f t="shared" si="106"/>
        <v>165.61049136154702</v>
      </c>
      <c r="M157" s="41">
        <f t="shared" si="106"/>
        <v>-0.98676878191102446</v>
      </c>
      <c r="N157" s="41">
        <f t="shared" si="106"/>
        <v>-541.68576271186441</v>
      </c>
      <c r="O157" s="41">
        <f t="shared" si="106"/>
        <v>-164.281215292312</v>
      </c>
      <c r="P157" s="41">
        <f t="shared" si="106"/>
        <v>-177.52234848484849</v>
      </c>
      <c r="Q157" s="41">
        <f t="shared" si="106"/>
        <v>-87.600092592592631</v>
      </c>
      <c r="R157" s="41">
        <f t="shared" si="106"/>
        <v>-40.611036144578307</v>
      </c>
      <c r="S157" s="41">
        <f t="shared" si="106"/>
        <v>-37.453782234956975</v>
      </c>
      <c r="T157" s="41">
        <f t="shared" si="106"/>
        <v>382.47077147016012</v>
      </c>
      <c r="U157" s="41">
        <f t="shared" si="106"/>
        <v>35.485137254901964</v>
      </c>
      <c r="V157" s="41">
        <f t="shared" si="106"/>
        <v>-349.48889908256882</v>
      </c>
      <c r="W157" s="41">
        <f t="shared" si="106"/>
        <v>114.32959561128527</v>
      </c>
      <c r="X157" s="41">
        <f t="shared" si="106"/>
        <v>81.130061728395063</v>
      </c>
      <c r="Y157" s="41">
        <f t="shared" si="106"/>
        <v>143.65784911717495</v>
      </c>
      <c r="Z157" s="41">
        <f t="shared" si="106"/>
        <v>2302.1727683246072</v>
      </c>
      <c r="AA157" s="41">
        <f t="shared" si="106"/>
        <v>-116.35697916666668</v>
      </c>
      <c r="AB157" s="41">
        <f t="shared" si="106"/>
        <v>277.99852348993289</v>
      </c>
      <c r="AC157" s="41">
        <f t="shared" si="106"/>
        <v>-222.08715116279069</v>
      </c>
      <c r="AD157" s="41">
        <f t="shared" si="106"/>
        <v>-147.54166915052161</v>
      </c>
      <c r="AE157" s="41">
        <f t="shared" si="106"/>
        <v>-339.63930069930069</v>
      </c>
      <c r="AF157" s="41">
        <f t="shared" si="106"/>
        <v>250.07910204081634</v>
      </c>
      <c r="AG157" s="41">
        <f t="shared" si="106"/>
        <v>578.47978056426336</v>
      </c>
      <c r="AH157" s="41">
        <f t="shared" si="106"/>
        <v>93.264760994263867</v>
      </c>
      <c r="AI157" s="41">
        <f t="shared" si="106"/>
        <v>-23.594537444933923</v>
      </c>
      <c r="AJ157" s="41">
        <f t="shared" si="106"/>
        <v>172.41526717557252</v>
      </c>
      <c r="AK157" s="41">
        <f t="shared" si="106"/>
        <v>81.118733509234829</v>
      </c>
      <c r="AL157" s="41">
        <f t="shared" si="106"/>
        <v>-28.920343612334797</v>
      </c>
      <c r="AM157" s="41">
        <f t="shared" si="106"/>
        <v>-4.5042465753424636</v>
      </c>
      <c r="AN157" s="41">
        <f t="shared" si="106"/>
        <v>115.2189075630252</v>
      </c>
      <c r="AO157" s="41">
        <f t="shared" si="106"/>
        <v>286.18788284518831</v>
      </c>
      <c r="AP157" s="41">
        <f t="shared" si="106"/>
        <v>298.12027149321273</v>
      </c>
      <c r="AQ157" s="41">
        <f t="shared" si="106"/>
        <v>37.078713178294571</v>
      </c>
      <c r="AR157" s="41">
        <f t="shared" si="106"/>
        <v>40.120182106096593</v>
      </c>
      <c r="AS157" s="41">
        <f t="shared" si="106"/>
        <v>71.015000000000001</v>
      </c>
      <c r="AT157" s="41">
        <f t="shared" si="106"/>
        <v>34.161507782101168</v>
      </c>
      <c r="AU157" s="41">
        <f t="shared" si="106"/>
        <v>359.28477707006368</v>
      </c>
      <c r="AV157" s="41">
        <f t="shared" si="106"/>
        <v>-111.87815833333333</v>
      </c>
      <c r="AW157" s="41">
        <f t="shared" si="106"/>
        <v>-12.005337748344374</v>
      </c>
      <c r="AX157" s="41">
        <f t="shared" si="106"/>
        <v>164.74917127071825</v>
      </c>
      <c r="AY157" s="41">
        <f t="shared" si="106"/>
        <v>212.36037463976945</v>
      </c>
      <c r="AZ157" s="41">
        <f t="shared" si="106"/>
        <v>46.770905325443792</v>
      </c>
      <c r="BA157" s="41">
        <f t="shared" si="106"/>
        <v>415.70555555555558</v>
      </c>
      <c r="BB157" s="41">
        <f t="shared" si="106"/>
        <v>175.3530565693431</v>
      </c>
      <c r="BC157" s="41">
        <f t="shared" si="106"/>
        <v>-79.315053191489369</v>
      </c>
      <c r="BD157" s="41">
        <f t="shared" si="106"/>
        <v>194.85973111594654</v>
      </c>
      <c r="BE157" s="41">
        <f t="shared" si="106"/>
        <v>87.857017857142864</v>
      </c>
      <c r="BF157" s="41">
        <f t="shared" si="106"/>
        <v>6305.5353329471554</v>
      </c>
      <c r="BG157" s="41">
        <f t="shared" si="106"/>
        <v>872.21820871604996</v>
      </c>
      <c r="BH157" s="41">
        <f t="shared" si="106"/>
        <v>3049.9784758108126</v>
      </c>
      <c r="BI157" s="41">
        <f t="shared" si="106"/>
        <v>2383.338648420292</v>
      </c>
    </row>
    <row r="158" spans="1:61" x14ac:dyDescent="0.3">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3">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3">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6305.5353329471836</v>
      </c>
      <c r="BG160" s="41">
        <f>BG75-BG4</f>
        <v>872.21820871606178</v>
      </c>
      <c r="BH160" s="41">
        <f>BH75-BH4</f>
        <v>3049.9784758107853</v>
      </c>
      <c r="BI160" s="41">
        <f>BI75-BI4</f>
        <v>2383.3386484202929</v>
      </c>
    </row>
    <row r="163" spans="3:61" x14ac:dyDescent="0.3">
      <c r="D163" s="7" t="s">
        <v>463</v>
      </c>
    </row>
    <row r="164" spans="3:61" x14ac:dyDescent="0.3">
      <c r="C164">
        <v>4021</v>
      </c>
      <c r="D164" t="s">
        <v>217</v>
      </c>
      <c r="E164" s="4">
        <f>'4.1 Comptes 2020 natures'!E163/'4.1 Comptes 2020 natures'!E2</f>
        <v>148.23196099674973</v>
      </c>
      <c r="F164" s="4">
        <f>'4.1 Comptes 2020 natures'!F163/'4.1 Comptes 2020 natures'!F2</f>
        <v>409.64944444444444</v>
      </c>
      <c r="G164" s="4">
        <f>'4.1 Comptes 2020 natures'!G163/'4.1 Comptes 2020 natures'!G2</f>
        <v>132.01453608247422</v>
      </c>
      <c r="H164" s="4">
        <f>'4.1 Comptes 2020 natures'!H163/'4.1 Comptes 2020 natures'!H2</f>
        <v>195.36917040358742</v>
      </c>
      <c r="I164" s="4">
        <f>'4.1 Comptes 2020 natures'!I163/'4.1 Comptes 2020 natures'!I2</f>
        <v>180.64128339300467</v>
      </c>
      <c r="J164" s="4">
        <f>'4.1 Comptes 2020 natures'!J163/'4.1 Comptes 2020 natures'!J2</f>
        <v>130.90925143374585</v>
      </c>
      <c r="K164" s="4">
        <f>'4.1 Comptes 2020 natures'!K163/'4.1 Comptes 2020 natures'!K2</f>
        <v>142.33037443267776</v>
      </c>
      <c r="L164" s="4">
        <f>'4.1 Comptes 2020 natures'!L163/'4.1 Comptes 2020 natures'!L2</f>
        <v>231.65371294975429</v>
      </c>
      <c r="M164" s="4">
        <f>'4.1 Comptes 2020 natures'!M163/'4.1 Comptes 2020 natures'!M2</f>
        <v>167.89795769511306</v>
      </c>
      <c r="N164" s="4">
        <f>'4.1 Comptes 2020 natures'!N163/'4.1 Comptes 2020 natures'!N2</f>
        <v>1.6415254237288135</v>
      </c>
      <c r="O164" s="4">
        <f>'4.1 Comptes 2020 natures'!O163/'4.1 Comptes 2020 natures'!O2</f>
        <v>162.5594251430166</v>
      </c>
      <c r="P164" s="4">
        <f>'4.1 Comptes 2020 natures'!P163/'4.1 Comptes 2020 natures'!P2</f>
        <v>266.66060606060603</v>
      </c>
      <c r="Q164" s="4">
        <f>'4.1 Comptes 2020 natures'!Q163/'4.1 Comptes 2020 natures'!Q2</f>
        <v>177.20925925925926</v>
      </c>
      <c r="R164" s="4">
        <f>'4.1 Comptes 2020 natures'!R163/'4.1 Comptes 2020 natures'!R2</f>
        <v>164.33506024096386</v>
      </c>
      <c r="S164" s="4">
        <f>'4.1 Comptes 2020 natures'!S163/'4.1 Comptes 2020 natures'!S2</f>
        <v>220.35042979942693</v>
      </c>
      <c r="T164" s="4">
        <f>'4.1 Comptes 2020 natures'!T163/'4.1 Comptes 2020 natures'!T2</f>
        <v>145.88609898107714</v>
      </c>
      <c r="U164" s="4">
        <f>'4.1 Comptes 2020 natures'!U163/'4.1 Comptes 2020 natures'!U2</f>
        <v>160.76529411764707</v>
      </c>
      <c r="V164" s="4">
        <f>'4.1 Comptes 2020 natures'!V163/'4.1 Comptes 2020 natures'!V2</f>
        <v>204.17924311926603</v>
      </c>
      <c r="W164" s="4">
        <f>'4.1 Comptes 2020 natures'!W163/'4.1 Comptes 2020 natures'!W2</f>
        <v>184.19710031347964</v>
      </c>
      <c r="X164" s="4">
        <f>'4.1 Comptes 2020 natures'!X163/'4.1 Comptes 2020 natures'!X2</f>
        <v>169.83024691358025</v>
      </c>
      <c r="Y164" s="4">
        <f>'4.1 Comptes 2020 natures'!Y163/'4.1 Comptes 2020 natures'!Y2</f>
        <v>137.10545746388442</v>
      </c>
      <c r="Z164" s="4">
        <f>'4.1 Comptes 2020 natures'!Z163/'4.1 Comptes 2020 natures'!Z2</f>
        <v>152.42843586387434</v>
      </c>
      <c r="AA164" s="4">
        <f>'4.1 Comptes 2020 natures'!AA163/'4.1 Comptes 2020 natures'!AA2</f>
        <v>356.56874999999997</v>
      </c>
      <c r="AB164" s="4">
        <f>'4.1 Comptes 2020 natures'!AB163/'4.1 Comptes 2020 natures'!AB2</f>
        <v>260.77348993288592</v>
      </c>
      <c r="AC164" s="4">
        <f>'4.1 Comptes 2020 natures'!AC163/'4.1 Comptes 2020 natures'!AC2</f>
        <v>174.50591085271319</v>
      </c>
      <c r="AD164" s="4">
        <f>'4.1 Comptes 2020 natures'!AD163/'4.1 Comptes 2020 natures'!AD2</f>
        <v>183.92414307004472</v>
      </c>
      <c r="AE164" s="4">
        <f>'4.1 Comptes 2020 natures'!AE163/'4.1 Comptes 2020 natures'!AE2</f>
        <v>238.37596153846152</v>
      </c>
      <c r="AF164" s="4">
        <f>'4.1 Comptes 2020 natures'!AF163/'4.1 Comptes 2020 natures'!AF2</f>
        <v>303.75561224489797</v>
      </c>
      <c r="AG164" s="4">
        <f>'4.1 Comptes 2020 natures'!AG163/'4.1 Comptes 2020 natures'!AG2</f>
        <v>220.65276907001046</v>
      </c>
      <c r="AH164" s="4">
        <f>'4.1 Comptes 2020 natures'!AH163/'4.1 Comptes 2020 natures'!AH2</f>
        <v>182.94954110898661</v>
      </c>
      <c r="AI164" s="4">
        <f>'4.1 Comptes 2020 natures'!AI163/'4.1 Comptes 2020 natures'!AI2</f>
        <v>175.02841409691629</v>
      </c>
      <c r="AJ164" s="4">
        <f>'4.1 Comptes 2020 natures'!AJ163/'4.1 Comptes 2020 natures'!AJ2</f>
        <v>503.9503816793893</v>
      </c>
      <c r="AK164" s="4">
        <f>'4.1 Comptes 2020 natures'!AK163/'4.1 Comptes 2020 natures'!AK2</f>
        <v>234.89010554089711</v>
      </c>
      <c r="AL164" s="4">
        <f>'4.1 Comptes 2020 natures'!AL163/'4.1 Comptes 2020 natures'!AL2</f>
        <v>257.76876651982377</v>
      </c>
      <c r="AM164" s="4">
        <f>'4.1 Comptes 2020 natures'!AM163/'4.1 Comptes 2020 natures'!AM2</f>
        <v>161.67723609991944</v>
      </c>
      <c r="AN164" s="4">
        <f>'4.1 Comptes 2020 natures'!AN163/'4.1 Comptes 2020 natures'!AN2</f>
        <v>217.34201680672268</v>
      </c>
      <c r="AO164" s="4">
        <f>'4.1 Comptes 2020 natures'!AO163/'4.1 Comptes 2020 natures'!AO2</f>
        <v>229.99640167364018</v>
      </c>
      <c r="AP164" s="4">
        <f>'4.1 Comptes 2020 natures'!AP163/'4.1 Comptes 2020 natures'!AP2</f>
        <v>210.69491704374059</v>
      </c>
      <c r="AQ164" s="4">
        <f>'4.1 Comptes 2020 natures'!AQ163/'4.1 Comptes 2020 natures'!AQ2</f>
        <v>167.55170542635659</v>
      </c>
      <c r="AR164" s="4">
        <f>'4.1 Comptes 2020 natures'!AR163/'4.1 Comptes 2020 natures'!AR2</f>
        <v>288.08008709422012</v>
      </c>
      <c r="AS164" s="4">
        <f>'4.1 Comptes 2020 natures'!AS163/'4.1 Comptes 2020 natures'!AS2</f>
        <v>271.12837837837839</v>
      </c>
      <c r="AT164" s="4">
        <f>'4.1 Comptes 2020 natures'!AT163/'4.1 Comptes 2020 natures'!AT2</f>
        <v>219.19002918287939</v>
      </c>
      <c r="AU164" s="4">
        <f>'4.1 Comptes 2020 natures'!AU163/'4.1 Comptes 2020 natures'!AU2</f>
        <v>130.98949044585987</v>
      </c>
      <c r="AV164" s="4">
        <f>'4.1 Comptes 2020 natures'!AV163/'4.1 Comptes 2020 natures'!AV2</f>
        <v>96.204729166666667</v>
      </c>
      <c r="AW164" s="4">
        <f>'4.1 Comptes 2020 natures'!AW163/'4.1 Comptes 2020 natures'!AW2</f>
        <v>219.62980132450332</v>
      </c>
      <c r="AX164" s="4">
        <f>'4.1 Comptes 2020 natures'!AX163/'4.1 Comptes 2020 natures'!AX2</f>
        <v>256.38701657458563</v>
      </c>
      <c r="AY164" s="4">
        <f>'4.1 Comptes 2020 natures'!AY163/'4.1 Comptes 2020 natures'!AY2</f>
        <v>256.34106628242074</v>
      </c>
      <c r="AZ164" s="4">
        <f>'4.1 Comptes 2020 natures'!AZ163/'4.1 Comptes 2020 natures'!AZ2</f>
        <v>183.81745562130178</v>
      </c>
      <c r="BA164" s="4">
        <f>'4.1 Comptes 2020 natures'!BA163/'4.1 Comptes 2020 natures'!BA2</f>
        <v>289.75348837209305</v>
      </c>
      <c r="BB164" s="4">
        <f>'4.1 Comptes 2020 natures'!BB163/'4.1 Comptes 2020 natures'!BB2</f>
        <v>275.97832116788322</v>
      </c>
      <c r="BC164" s="4">
        <f>'4.1 Comptes 2020 natures'!BC163/'4.1 Comptes 2020 natures'!BC2</f>
        <v>169.77712765957446</v>
      </c>
      <c r="BD164" s="4">
        <f>'4.1 Comptes 2020 natures'!BD163/'4.1 Comptes 2020 natures'!BD2</f>
        <v>259.36680913894935</v>
      </c>
      <c r="BE164" s="4">
        <f>'4.1 Comptes 2020 natures'!BE163/'4.1 Comptes 2020 natures'!BE2</f>
        <v>213.91535714285715</v>
      </c>
      <c r="BF164" s="4">
        <f t="shared" ref="BF164:BF176" si="109">SUM(E164:BE164)</f>
        <v>11096.811154788937</v>
      </c>
      <c r="BG164" s="4">
        <f t="shared" ref="BG164:BG176" si="110">SUM(E164:W164)</f>
        <v>3426.4817342900228</v>
      </c>
      <c r="BH164" s="4">
        <f t="shared" ref="BH164:BH176" si="111">SUM(X164:AJ164)</f>
        <v>3059.8491138356449</v>
      </c>
      <c r="BI164" s="4">
        <f t="shared" ref="BI164:BI176" si="112">SUM(AK164:BE164)</f>
        <v>4610.480306663273</v>
      </c>
    </row>
    <row r="165" spans="3:61" x14ac:dyDescent="0.3">
      <c r="C165">
        <v>4490</v>
      </c>
      <c r="D165" t="s">
        <v>218</v>
      </c>
      <c r="E165" s="4">
        <f>'4.1 Comptes 2020 natures'!E164/'4.1 Comptes 2020 natures'!E2</f>
        <v>0</v>
      </c>
      <c r="F165" s="4">
        <f>'4.1 Comptes 2020 natures'!F164/'4.1 Comptes 2020 natures'!F2</f>
        <v>0</v>
      </c>
      <c r="G165" s="4">
        <f>'4.1 Comptes 2020 natures'!G164/'4.1 Comptes 2020 natures'!G2</f>
        <v>0</v>
      </c>
      <c r="H165" s="4">
        <f>'4.1 Comptes 2020 natures'!H164/'4.1 Comptes 2020 natures'!H2</f>
        <v>0</v>
      </c>
      <c r="I165" s="4">
        <f>'4.1 Comptes 2020 natures'!I164/'4.1 Comptes 2020 natures'!I2</f>
        <v>0</v>
      </c>
      <c r="J165" s="4">
        <f>'4.1 Comptes 2020 natures'!J164/'4.1 Comptes 2020 natures'!J2</f>
        <v>0</v>
      </c>
      <c r="K165" s="4">
        <f>'4.1 Comptes 2020 natures'!K164/'4.1 Comptes 2020 natures'!K2</f>
        <v>0</v>
      </c>
      <c r="L165" s="4">
        <f>'4.1 Comptes 2020 natures'!L164/'4.1 Comptes 2020 natures'!L2</f>
        <v>0</v>
      </c>
      <c r="M165" s="4">
        <f>'4.1 Comptes 2020 natures'!M164/'4.1 Comptes 2020 natures'!M2</f>
        <v>0</v>
      </c>
      <c r="N165" s="4">
        <f>'4.1 Comptes 2020 natures'!N164/'4.1 Comptes 2020 natures'!N2</f>
        <v>0</v>
      </c>
      <c r="O165" s="4">
        <f>'4.1 Comptes 2020 natures'!O164/'4.1 Comptes 2020 natures'!O2</f>
        <v>0</v>
      </c>
      <c r="P165" s="4">
        <f>'4.1 Comptes 2020 natures'!P164/'4.1 Comptes 2020 natures'!P2</f>
        <v>0</v>
      </c>
      <c r="Q165" s="4">
        <f>'4.1 Comptes 2020 natures'!Q164/'4.1 Comptes 2020 natures'!Q2</f>
        <v>0</v>
      </c>
      <c r="R165" s="4">
        <f>'4.1 Comptes 2020 natures'!R164/'4.1 Comptes 2020 natures'!R2</f>
        <v>0</v>
      </c>
      <c r="S165" s="4">
        <f>'4.1 Comptes 2020 natures'!S164/'4.1 Comptes 2020 natures'!S2</f>
        <v>0</v>
      </c>
      <c r="T165" s="4">
        <f>'4.1 Comptes 2020 natures'!T164/'4.1 Comptes 2020 natures'!T2</f>
        <v>0</v>
      </c>
      <c r="U165" s="4">
        <f>'4.1 Comptes 2020 natures'!U164/'4.1 Comptes 2020 natures'!U2</f>
        <v>0</v>
      </c>
      <c r="V165" s="4">
        <f>'4.1 Comptes 2020 natures'!V164/'4.1 Comptes 2020 natures'!V2</f>
        <v>0</v>
      </c>
      <c r="W165" s="4">
        <f>'4.1 Comptes 2020 natures'!W164/'4.1 Comptes 2020 natures'!W2</f>
        <v>0</v>
      </c>
      <c r="X165" s="4">
        <f>'4.1 Comptes 2020 natures'!X164/'4.1 Comptes 2020 natures'!X2</f>
        <v>0</v>
      </c>
      <c r="Y165" s="4">
        <f>'4.1 Comptes 2020 natures'!Y164/'4.1 Comptes 2020 natures'!Y2</f>
        <v>0</v>
      </c>
      <c r="Z165" s="4">
        <f>'4.1 Comptes 2020 natures'!Z164/'4.1 Comptes 2020 natures'!Z2</f>
        <v>0</v>
      </c>
      <c r="AA165" s="4">
        <f>'4.1 Comptes 2020 natures'!AA164/'4.1 Comptes 2020 natures'!AA2</f>
        <v>0</v>
      </c>
      <c r="AB165" s="4">
        <f>'4.1 Comptes 2020 natures'!AB164/'4.1 Comptes 2020 natures'!AB2</f>
        <v>0</v>
      </c>
      <c r="AC165" s="4">
        <f>'4.1 Comptes 2020 natures'!AC164/'4.1 Comptes 2020 natures'!AC2</f>
        <v>0</v>
      </c>
      <c r="AD165" s="4">
        <f>'4.1 Comptes 2020 natures'!AD164/'4.1 Comptes 2020 natures'!AD2</f>
        <v>0</v>
      </c>
      <c r="AE165" s="4">
        <f>'4.1 Comptes 2020 natures'!AE164/'4.1 Comptes 2020 natures'!AE2</f>
        <v>0</v>
      </c>
      <c r="AF165" s="4">
        <f>'4.1 Comptes 2020 natures'!AF164/'4.1 Comptes 2020 natures'!AF2</f>
        <v>0</v>
      </c>
      <c r="AG165" s="4">
        <f>'4.1 Comptes 2020 natures'!AG164/'4.1 Comptes 2020 natures'!AG2</f>
        <v>0.20376175548589343</v>
      </c>
      <c r="AH165" s="4">
        <f>'4.1 Comptes 2020 natures'!AH164/'4.1 Comptes 2020 natures'!AH2</f>
        <v>0</v>
      </c>
      <c r="AI165" s="4">
        <f>'4.1 Comptes 2020 natures'!AI164/'4.1 Comptes 2020 natures'!AI2</f>
        <v>0</v>
      </c>
      <c r="AJ165" s="4">
        <f>'4.1 Comptes 2020 natures'!AJ164/'4.1 Comptes 2020 natures'!AJ2</f>
        <v>0</v>
      </c>
      <c r="AK165" s="4">
        <f>'4.1 Comptes 2020 natures'!AK164/'4.1 Comptes 2020 natures'!AK2</f>
        <v>0</v>
      </c>
      <c r="AL165" s="4">
        <f>'4.1 Comptes 2020 natures'!AL164/'4.1 Comptes 2020 natures'!AL2</f>
        <v>0</v>
      </c>
      <c r="AM165" s="4">
        <f>'4.1 Comptes 2020 natures'!AM164/'4.1 Comptes 2020 natures'!AM2</f>
        <v>0</v>
      </c>
      <c r="AN165" s="4">
        <f>'4.1 Comptes 2020 natures'!AN164/'4.1 Comptes 2020 natures'!AN2</f>
        <v>0</v>
      </c>
      <c r="AO165" s="4">
        <f>'4.1 Comptes 2020 natures'!AO164/'4.1 Comptes 2020 natures'!AO2</f>
        <v>0</v>
      </c>
      <c r="AP165" s="4">
        <f>'4.1 Comptes 2020 natures'!AP164/'4.1 Comptes 2020 natures'!AP2</f>
        <v>0</v>
      </c>
      <c r="AQ165" s="4">
        <f>'4.1 Comptes 2020 natures'!AQ164/'4.1 Comptes 2020 natures'!AQ2</f>
        <v>0</v>
      </c>
      <c r="AR165" s="4">
        <f>'4.1 Comptes 2020 natures'!AR164/'4.1 Comptes 2020 natures'!AR2</f>
        <v>0</v>
      </c>
      <c r="AS165" s="4">
        <f>'4.1 Comptes 2020 natures'!AS164/'4.1 Comptes 2020 natures'!AS2</f>
        <v>0</v>
      </c>
      <c r="AT165" s="4">
        <f>'4.1 Comptes 2020 natures'!AT164/'4.1 Comptes 2020 natures'!AT2</f>
        <v>0</v>
      </c>
      <c r="AU165" s="4">
        <f>'4.1 Comptes 2020 natures'!AU164/'4.1 Comptes 2020 natures'!AU2</f>
        <v>0</v>
      </c>
      <c r="AV165" s="4">
        <f>'4.1 Comptes 2020 natures'!AV164/'4.1 Comptes 2020 natures'!AV2</f>
        <v>124.99958333333333</v>
      </c>
      <c r="AW165" s="4">
        <f>'4.1 Comptes 2020 natures'!AW164/'4.1 Comptes 2020 natures'!AW2</f>
        <v>0</v>
      </c>
      <c r="AX165" s="4">
        <f>'4.1 Comptes 2020 natures'!AX164/'4.1 Comptes 2020 natures'!AX2</f>
        <v>0</v>
      </c>
      <c r="AY165" s="4">
        <f>'4.1 Comptes 2020 natures'!AY164/'4.1 Comptes 2020 natures'!AY2</f>
        <v>0</v>
      </c>
      <c r="AZ165" s="4">
        <f>'4.1 Comptes 2020 natures'!AZ164/'4.1 Comptes 2020 natures'!AZ2</f>
        <v>0</v>
      </c>
      <c r="BA165" s="4">
        <f>'4.1 Comptes 2020 natures'!BA164/'4.1 Comptes 2020 natures'!BA2</f>
        <v>0</v>
      </c>
      <c r="BB165" s="4">
        <f>'4.1 Comptes 2020 natures'!BB164/'4.1 Comptes 2020 natures'!BB2</f>
        <v>0</v>
      </c>
      <c r="BC165" s="4">
        <f>'4.1 Comptes 2020 natures'!BC164/'4.1 Comptes 2020 natures'!BC2</f>
        <v>0</v>
      </c>
      <c r="BD165" s="4">
        <f>'4.1 Comptes 2020 natures'!BD164/'4.1 Comptes 2020 natures'!BD2</f>
        <v>0</v>
      </c>
      <c r="BE165" s="4">
        <f>'4.1 Comptes 2020 natures'!BE164/'4.1 Comptes 2020 natures'!BE2</f>
        <v>0</v>
      </c>
      <c r="BF165" s="4">
        <f t="shared" si="109"/>
        <v>125.20334508881923</v>
      </c>
      <c r="BG165" s="4">
        <f t="shared" si="110"/>
        <v>0</v>
      </c>
      <c r="BH165" s="4">
        <f t="shared" si="111"/>
        <v>0.20376175548589343</v>
      </c>
      <c r="BI165" s="4">
        <f t="shared" si="112"/>
        <v>124.99958333333333</v>
      </c>
    </row>
    <row r="166" spans="3:61" x14ac:dyDescent="0.3">
      <c r="C166">
        <v>46227</v>
      </c>
      <c r="D166" t="s">
        <v>278</v>
      </c>
      <c r="E166" s="4">
        <f>'4.1 Comptes 2020 natures'!E165/'4.1 Comptes 2020 natures'!E2</f>
        <v>0</v>
      </c>
      <c r="F166" s="4">
        <f>'4.1 Comptes 2020 natures'!F165/'4.1 Comptes 2020 natures'!F2</f>
        <v>0</v>
      </c>
      <c r="G166" s="4">
        <f>'4.1 Comptes 2020 natures'!G165/'4.1 Comptes 2020 natures'!G2</f>
        <v>0</v>
      </c>
      <c r="H166" s="4">
        <f>'4.1 Comptes 2020 natures'!H165/'4.1 Comptes 2020 natures'!H2</f>
        <v>0</v>
      </c>
      <c r="I166" s="4">
        <f>'4.1 Comptes 2020 natures'!I165/'4.1 Comptes 2020 natures'!I2</f>
        <v>0</v>
      </c>
      <c r="J166" s="4">
        <f>'4.1 Comptes 2020 natures'!J165/'4.1 Comptes 2020 natures'!J2</f>
        <v>0</v>
      </c>
      <c r="K166" s="4">
        <f>'4.1 Comptes 2020 natures'!K165/'4.1 Comptes 2020 natures'!K2</f>
        <v>0</v>
      </c>
      <c r="L166" s="4">
        <f>'4.1 Comptes 2020 natures'!L165/'4.1 Comptes 2020 natures'!L2</f>
        <v>0</v>
      </c>
      <c r="M166" s="4">
        <f>'4.1 Comptes 2020 natures'!M165/'4.1 Comptes 2020 natures'!M2</f>
        <v>0</v>
      </c>
      <c r="N166" s="4">
        <f>'4.1 Comptes 2020 natures'!N165/'4.1 Comptes 2020 natures'!N2</f>
        <v>0</v>
      </c>
      <c r="O166" s="4">
        <f>'4.1 Comptes 2020 natures'!O165/'4.1 Comptes 2020 natures'!O2</f>
        <v>0</v>
      </c>
      <c r="P166" s="4">
        <f>'4.1 Comptes 2020 natures'!P165/'4.1 Comptes 2020 natures'!P2</f>
        <v>0</v>
      </c>
      <c r="Q166" s="4">
        <f>'4.1 Comptes 2020 natures'!Q165/'4.1 Comptes 2020 natures'!Q2</f>
        <v>0</v>
      </c>
      <c r="R166" s="4">
        <f>'4.1 Comptes 2020 natures'!R165/'4.1 Comptes 2020 natures'!R2</f>
        <v>0</v>
      </c>
      <c r="S166" s="4">
        <f>'4.1 Comptes 2020 natures'!S165/'4.1 Comptes 2020 natures'!S2</f>
        <v>0</v>
      </c>
      <c r="T166" s="4">
        <f>'4.1 Comptes 2020 natures'!T165/'4.1 Comptes 2020 natures'!T2</f>
        <v>0</v>
      </c>
      <c r="U166" s="4">
        <f>'4.1 Comptes 2020 natures'!U165/'4.1 Comptes 2020 natures'!U2</f>
        <v>0</v>
      </c>
      <c r="V166" s="4">
        <f>'4.1 Comptes 2020 natures'!V165/'4.1 Comptes 2020 natures'!V2</f>
        <v>0</v>
      </c>
      <c r="W166" s="4">
        <f>'4.1 Comptes 2020 natures'!W165/'4.1 Comptes 2020 natures'!W2</f>
        <v>0</v>
      </c>
      <c r="X166" s="4">
        <f>'4.1 Comptes 2020 natures'!X165/'4.1 Comptes 2020 natures'!X2</f>
        <v>0</v>
      </c>
      <c r="Y166" s="4">
        <f>'4.1 Comptes 2020 natures'!Y165/'4.1 Comptes 2020 natures'!Y2</f>
        <v>0</v>
      </c>
      <c r="Z166" s="4">
        <f>'4.1 Comptes 2020 natures'!Z165/'4.1 Comptes 2020 natures'!Z2</f>
        <v>0</v>
      </c>
      <c r="AA166" s="4">
        <f>'4.1 Comptes 2020 natures'!AA165/'4.1 Comptes 2020 natures'!AA2</f>
        <v>0</v>
      </c>
      <c r="AB166" s="4">
        <f>'4.1 Comptes 2020 natures'!AB165/'4.1 Comptes 2020 natures'!AB2</f>
        <v>0</v>
      </c>
      <c r="AC166" s="4">
        <f>'4.1 Comptes 2020 natures'!AC165/'4.1 Comptes 2020 natures'!AC2</f>
        <v>0</v>
      </c>
      <c r="AD166" s="4">
        <f>'4.1 Comptes 2020 natures'!AD165/'4.1 Comptes 2020 natures'!AD2</f>
        <v>0</v>
      </c>
      <c r="AE166" s="4">
        <f>'4.1 Comptes 2020 natures'!AE165/'4.1 Comptes 2020 natures'!AE2</f>
        <v>0</v>
      </c>
      <c r="AF166" s="4">
        <f>'4.1 Comptes 2020 natures'!AF165/'4.1 Comptes 2020 natures'!AF2</f>
        <v>0</v>
      </c>
      <c r="AG166" s="4">
        <f>'4.1 Comptes 2020 natures'!AG165/'4.1 Comptes 2020 natures'!AG2</f>
        <v>0</v>
      </c>
      <c r="AH166" s="4">
        <f>'4.1 Comptes 2020 natures'!AH165/'4.1 Comptes 2020 natures'!AH2</f>
        <v>0</v>
      </c>
      <c r="AI166" s="4">
        <f>'4.1 Comptes 2020 natures'!AI165/'4.1 Comptes 2020 natures'!AI2</f>
        <v>0</v>
      </c>
      <c r="AJ166" s="4">
        <f>'4.1 Comptes 2020 natures'!AJ165/'4.1 Comptes 2020 natures'!AJ2</f>
        <v>0</v>
      </c>
      <c r="AK166" s="4">
        <f>'4.1 Comptes 2020 natures'!AK165/'4.1 Comptes 2020 natures'!AK2</f>
        <v>0</v>
      </c>
      <c r="AL166" s="4">
        <f>'4.1 Comptes 2020 natures'!AL165/'4.1 Comptes 2020 natures'!AL2</f>
        <v>0</v>
      </c>
      <c r="AM166" s="4">
        <f>'4.1 Comptes 2020 natures'!AM165/'4.1 Comptes 2020 natures'!AM2</f>
        <v>0</v>
      </c>
      <c r="AN166" s="4">
        <f>'4.1 Comptes 2020 natures'!AN165/'4.1 Comptes 2020 natures'!AN2</f>
        <v>0</v>
      </c>
      <c r="AO166" s="4">
        <f>'4.1 Comptes 2020 natures'!AO165/'4.1 Comptes 2020 natures'!AO2</f>
        <v>0</v>
      </c>
      <c r="AP166" s="4">
        <f>'4.1 Comptes 2020 natures'!AP165/'4.1 Comptes 2020 natures'!AP2</f>
        <v>0</v>
      </c>
      <c r="AQ166" s="4">
        <f>'4.1 Comptes 2020 natures'!AQ165/'4.1 Comptes 2020 natures'!AQ2</f>
        <v>0</v>
      </c>
      <c r="AR166" s="4">
        <f>'4.1 Comptes 2020 natures'!AR165/'4.1 Comptes 2020 natures'!AR2</f>
        <v>0</v>
      </c>
      <c r="AS166" s="4">
        <f>'4.1 Comptes 2020 natures'!AS165/'4.1 Comptes 2020 natures'!AS2</f>
        <v>0</v>
      </c>
      <c r="AT166" s="4">
        <f>'4.1 Comptes 2020 natures'!AT165/'4.1 Comptes 2020 natures'!AT2</f>
        <v>0</v>
      </c>
      <c r="AU166" s="4">
        <f>'4.1 Comptes 2020 natures'!AU165/'4.1 Comptes 2020 natures'!AU2</f>
        <v>0</v>
      </c>
      <c r="AV166" s="4">
        <f>'4.1 Comptes 2020 natures'!AV165/'4.1 Comptes 2020 natures'!AV2</f>
        <v>0</v>
      </c>
      <c r="AW166" s="4">
        <f>'4.1 Comptes 2020 natures'!AW165/'4.1 Comptes 2020 natures'!AW2</f>
        <v>0</v>
      </c>
      <c r="AX166" s="4">
        <f>'4.1 Comptes 2020 natures'!AX165/'4.1 Comptes 2020 natures'!AX2</f>
        <v>0</v>
      </c>
      <c r="AY166" s="4">
        <f>'4.1 Comptes 2020 natures'!AY165/'4.1 Comptes 2020 natures'!AY2</f>
        <v>0</v>
      </c>
      <c r="AZ166" s="4">
        <f>'4.1 Comptes 2020 natures'!AZ165/'4.1 Comptes 2020 natures'!AZ2</f>
        <v>0</v>
      </c>
      <c r="BA166" s="4">
        <f>'4.1 Comptes 2020 natures'!BA165/'4.1 Comptes 2020 natures'!BA2</f>
        <v>0</v>
      </c>
      <c r="BB166" s="4">
        <f>'4.1 Comptes 2020 natures'!BB165/'4.1 Comptes 2020 natures'!BB2</f>
        <v>0</v>
      </c>
      <c r="BC166" s="4">
        <f>'4.1 Comptes 2020 natures'!BC165/'4.1 Comptes 2020 natures'!BC2</f>
        <v>0</v>
      </c>
      <c r="BD166" s="4">
        <f>'4.1 Comptes 2020 natures'!BD165/'4.1 Comptes 2020 natures'!BD2</f>
        <v>0</v>
      </c>
      <c r="BE166" s="4">
        <f>'4.1 Comptes 2020 natures'!BE165/'4.1 Comptes 2020 natures'!BE2</f>
        <v>0</v>
      </c>
      <c r="BF166" s="4">
        <f t="shared" si="109"/>
        <v>0</v>
      </c>
      <c r="BG166" s="4">
        <f t="shared" si="110"/>
        <v>0</v>
      </c>
      <c r="BH166" s="4">
        <f t="shared" si="111"/>
        <v>0</v>
      </c>
      <c r="BI166" s="4">
        <f t="shared" si="112"/>
        <v>0</v>
      </c>
    </row>
    <row r="167" spans="3:61" x14ac:dyDescent="0.3">
      <c r="C167">
        <v>46228</v>
      </c>
      <c r="D167" t="s">
        <v>279</v>
      </c>
      <c r="E167" s="4">
        <f>'4.1 Comptes 2020 natures'!E166/'4.1 Comptes 2020 natures'!E2</f>
        <v>0</v>
      </c>
      <c r="F167" s="4">
        <f>'4.1 Comptes 2020 natures'!F166/'4.1 Comptes 2020 natures'!F2</f>
        <v>0</v>
      </c>
      <c r="G167" s="4">
        <f>'4.1 Comptes 2020 natures'!G166/'4.1 Comptes 2020 natures'!G2</f>
        <v>0</v>
      </c>
      <c r="H167" s="4">
        <f>'4.1 Comptes 2020 natures'!H166/'4.1 Comptes 2020 natures'!H2</f>
        <v>0</v>
      </c>
      <c r="I167" s="4">
        <f>'4.1 Comptes 2020 natures'!I166/'4.1 Comptes 2020 natures'!I2</f>
        <v>0</v>
      </c>
      <c r="J167" s="4">
        <f>'4.1 Comptes 2020 natures'!J166/'4.1 Comptes 2020 natures'!J2</f>
        <v>0</v>
      </c>
      <c r="K167" s="4">
        <f>'4.1 Comptes 2020 natures'!K166/'4.1 Comptes 2020 natures'!K2</f>
        <v>0</v>
      </c>
      <c r="L167" s="4">
        <f>'4.1 Comptes 2020 natures'!L166/'4.1 Comptes 2020 natures'!L2</f>
        <v>0</v>
      </c>
      <c r="M167" s="4">
        <f>'4.1 Comptes 2020 natures'!M166/'4.1 Comptes 2020 natures'!M2</f>
        <v>0</v>
      </c>
      <c r="N167" s="4">
        <f>'4.1 Comptes 2020 natures'!N166/'4.1 Comptes 2020 natures'!N2</f>
        <v>0</v>
      </c>
      <c r="O167" s="4">
        <f>'4.1 Comptes 2020 natures'!O166/'4.1 Comptes 2020 natures'!O2</f>
        <v>0</v>
      </c>
      <c r="P167" s="4">
        <f>'4.1 Comptes 2020 natures'!P166/'4.1 Comptes 2020 natures'!P2</f>
        <v>0</v>
      </c>
      <c r="Q167" s="4">
        <f>'4.1 Comptes 2020 natures'!Q166/'4.1 Comptes 2020 natures'!Q2</f>
        <v>0</v>
      </c>
      <c r="R167" s="4">
        <f>'4.1 Comptes 2020 natures'!R166/'4.1 Comptes 2020 natures'!R2</f>
        <v>0</v>
      </c>
      <c r="S167" s="4">
        <f>'4.1 Comptes 2020 natures'!S166/'4.1 Comptes 2020 natures'!S2</f>
        <v>0</v>
      </c>
      <c r="T167" s="4">
        <f>'4.1 Comptes 2020 natures'!T166/'4.1 Comptes 2020 natures'!T2</f>
        <v>0</v>
      </c>
      <c r="U167" s="4">
        <f>'4.1 Comptes 2020 natures'!U166/'4.1 Comptes 2020 natures'!U2</f>
        <v>0</v>
      </c>
      <c r="V167" s="4">
        <f>'4.1 Comptes 2020 natures'!V166/'4.1 Comptes 2020 natures'!V2</f>
        <v>0</v>
      </c>
      <c r="W167" s="4">
        <f>'4.1 Comptes 2020 natures'!W166/'4.1 Comptes 2020 natures'!W2</f>
        <v>0</v>
      </c>
      <c r="X167" s="4">
        <f>'4.1 Comptes 2020 natures'!X166/'4.1 Comptes 2020 natures'!X2</f>
        <v>0</v>
      </c>
      <c r="Y167" s="4">
        <f>'4.1 Comptes 2020 natures'!Y166/'4.1 Comptes 2020 natures'!Y2</f>
        <v>0</v>
      </c>
      <c r="Z167" s="4">
        <f>'4.1 Comptes 2020 natures'!Z166/'4.1 Comptes 2020 natures'!Z2</f>
        <v>0</v>
      </c>
      <c r="AA167" s="4">
        <f>'4.1 Comptes 2020 natures'!AA166/'4.1 Comptes 2020 natures'!AA2</f>
        <v>0</v>
      </c>
      <c r="AB167" s="4">
        <f>'4.1 Comptes 2020 natures'!AB166/'4.1 Comptes 2020 natures'!AB2</f>
        <v>0</v>
      </c>
      <c r="AC167" s="4">
        <f>'4.1 Comptes 2020 natures'!AC166/'4.1 Comptes 2020 natures'!AC2</f>
        <v>0</v>
      </c>
      <c r="AD167" s="4">
        <f>'4.1 Comptes 2020 natures'!AD166/'4.1 Comptes 2020 natures'!AD2</f>
        <v>0</v>
      </c>
      <c r="AE167" s="4">
        <f>'4.1 Comptes 2020 natures'!AE166/'4.1 Comptes 2020 natures'!AE2</f>
        <v>0</v>
      </c>
      <c r="AF167" s="4">
        <f>'4.1 Comptes 2020 natures'!AF166/'4.1 Comptes 2020 natures'!AF2</f>
        <v>0</v>
      </c>
      <c r="AG167" s="4">
        <f>'4.1 Comptes 2020 natures'!AG166/'4.1 Comptes 2020 natures'!AG2</f>
        <v>0</v>
      </c>
      <c r="AH167" s="4">
        <f>'4.1 Comptes 2020 natures'!AH166/'4.1 Comptes 2020 natures'!AH2</f>
        <v>0</v>
      </c>
      <c r="AI167" s="4">
        <f>'4.1 Comptes 2020 natures'!AI166/'4.1 Comptes 2020 natures'!AI2</f>
        <v>0</v>
      </c>
      <c r="AJ167" s="4">
        <f>'4.1 Comptes 2020 natures'!AJ166/'4.1 Comptes 2020 natures'!AJ2</f>
        <v>0</v>
      </c>
      <c r="AK167" s="4">
        <f>'4.1 Comptes 2020 natures'!AK166/'4.1 Comptes 2020 natures'!AK2</f>
        <v>0</v>
      </c>
      <c r="AL167" s="4">
        <f>'4.1 Comptes 2020 natures'!AL166/'4.1 Comptes 2020 natures'!AL2</f>
        <v>0</v>
      </c>
      <c r="AM167" s="4">
        <f>'4.1 Comptes 2020 natures'!AM166/'4.1 Comptes 2020 natures'!AM2</f>
        <v>0</v>
      </c>
      <c r="AN167" s="4">
        <f>'4.1 Comptes 2020 natures'!AN166/'4.1 Comptes 2020 natures'!AN2</f>
        <v>0</v>
      </c>
      <c r="AO167" s="4">
        <f>'4.1 Comptes 2020 natures'!AO166/'4.1 Comptes 2020 natures'!AO2</f>
        <v>0</v>
      </c>
      <c r="AP167" s="4">
        <f>'4.1 Comptes 2020 natures'!AP166/'4.1 Comptes 2020 natures'!AP2</f>
        <v>0</v>
      </c>
      <c r="AQ167" s="4">
        <f>'4.1 Comptes 2020 natures'!AQ166/'4.1 Comptes 2020 natures'!AQ2</f>
        <v>0</v>
      </c>
      <c r="AR167" s="4">
        <f>'4.1 Comptes 2020 natures'!AR166/'4.1 Comptes 2020 natures'!AR2</f>
        <v>0</v>
      </c>
      <c r="AS167" s="4">
        <f>'4.1 Comptes 2020 natures'!AS166/'4.1 Comptes 2020 natures'!AS2</f>
        <v>0</v>
      </c>
      <c r="AT167" s="4">
        <f>'4.1 Comptes 2020 natures'!AT166/'4.1 Comptes 2020 natures'!AT2</f>
        <v>0</v>
      </c>
      <c r="AU167" s="4">
        <f>'4.1 Comptes 2020 natures'!AU166/'4.1 Comptes 2020 natures'!AU2</f>
        <v>0</v>
      </c>
      <c r="AV167" s="4">
        <f>'4.1 Comptes 2020 natures'!AV166/'4.1 Comptes 2020 natures'!AV2</f>
        <v>0</v>
      </c>
      <c r="AW167" s="4">
        <f>'4.1 Comptes 2020 natures'!AW166/'4.1 Comptes 2020 natures'!AW2</f>
        <v>0</v>
      </c>
      <c r="AX167" s="4">
        <f>'4.1 Comptes 2020 natures'!AX166/'4.1 Comptes 2020 natures'!AX2</f>
        <v>0</v>
      </c>
      <c r="AY167" s="4">
        <f>'4.1 Comptes 2020 natures'!AY166/'4.1 Comptes 2020 natures'!AY2</f>
        <v>0</v>
      </c>
      <c r="AZ167" s="4">
        <f>'4.1 Comptes 2020 natures'!AZ166/'4.1 Comptes 2020 natures'!AZ2</f>
        <v>0</v>
      </c>
      <c r="BA167" s="4">
        <f>'4.1 Comptes 2020 natures'!BA166/'4.1 Comptes 2020 natures'!BA2</f>
        <v>0</v>
      </c>
      <c r="BB167" s="4">
        <f>'4.1 Comptes 2020 natures'!BB166/'4.1 Comptes 2020 natures'!BB2</f>
        <v>0</v>
      </c>
      <c r="BC167" s="4">
        <f>'4.1 Comptes 2020 natures'!BC166/'4.1 Comptes 2020 natures'!BC2</f>
        <v>0</v>
      </c>
      <c r="BD167" s="4">
        <f>'4.1 Comptes 2020 natures'!BD166/'4.1 Comptes 2020 natures'!BD2</f>
        <v>0</v>
      </c>
      <c r="BE167" s="4">
        <f>'4.1 Comptes 2020 natures'!BE166/'4.1 Comptes 2020 natures'!BE2</f>
        <v>0</v>
      </c>
      <c r="BF167" s="4">
        <f t="shared" si="109"/>
        <v>0</v>
      </c>
      <c r="BG167" s="4">
        <f t="shared" si="110"/>
        <v>0</v>
      </c>
      <c r="BH167" s="4">
        <f t="shared" si="111"/>
        <v>0</v>
      </c>
      <c r="BI167" s="4">
        <f t="shared" si="112"/>
        <v>0</v>
      </c>
    </row>
    <row r="168" spans="3:61" x14ac:dyDescent="0.3">
      <c r="C168">
        <v>4896</v>
      </c>
      <c r="D168" t="s">
        <v>280</v>
      </c>
      <c r="E168" s="4">
        <f>'4.1 Comptes 2020 natures'!E167/'4.1 Comptes 2020 natures'!E2</f>
        <v>0</v>
      </c>
      <c r="F168" s="4">
        <f>'4.1 Comptes 2020 natures'!F167/'4.1 Comptes 2020 natures'!F2</f>
        <v>0</v>
      </c>
      <c r="G168" s="4">
        <f>'4.1 Comptes 2020 natures'!G167/'4.1 Comptes 2020 natures'!G2</f>
        <v>0</v>
      </c>
      <c r="H168" s="4">
        <f>'4.1 Comptes 2020 natures'!H167/'4.1 Comptes 2020 natures'!H2</f>
        <v>0</v>
      </c>
      <c r="I168" s="4">
        <f>'4.1 Comptes 2020 natures'!I167/'4.1 Comptes 2020 natures'!I2</f>
        <v>0</v>
      </c>
      <c r="J168" s="4">
        <f>'4.1 Comptes 2020 natures'!J167/'4.1 Comptes 2020 natures'!J2</f>
        <v>0</v>
      </c>
      <c r="K168" s="4">
        <f>'4.1 Comptes 2020 natures'!K167/'4.1 Comptes 2020 natures'!K2</f>
        <v>0</v>
      </c>
      <c r="L168" s="4">
        <f>'4.1 Comptes 2020 natures'!L167/'4.1 Comptes 2020 natures'!L2</f>
        <v>0</v>
      </c>
      <c r="M168" s="4">
        <f>'4.1 Comptes 2020 natures'!M167/'4.1 Comptes 2020 natures'!M2</f>
        <v>0</v>
      </c>
      <c r="N168" s="4">
        <f>'4.1 Comptes 2020 natures'!N167/'4.1 Comptes 2020 natures'!N2</f>
        <v>0</v>
      </c>
      <c r="O168" s="4">
        <f>'4.1 Comptes 2020 natures'!O167/'4.1 Comptes 2020 natures'!O2</f>
        <v>0</v>
      </c>
      <c r="P168" s="4">
        <f>'4.1 Comptes 2020 natures'!P167/'4.1 Comptes 2020 natures'!P2</f>
        <v>0</v>
      </c>
      <c r="Q168" s="4">
        <f>'4.1 Comptes 2020 natures'!Q167/'4.1 Comptes 2020 natures'!Q2</f>
        <v>0</v>
      </c>
      <c r="R168" s="4">
        <f>'4.1 Comptes 2020 natures'!R167/'4.1 Comptes 2020 natures'!R2</f>
        <v>0</v>
      </c>
      <c r="S168" s="4">
        <f>'4.1 Comptes 2020 natures'!S167/'4.1 Comptes 2020 natures'!S2</f>
        <v>0</v>
      </c>
      <c r="T168" s="4">
        <f>'4.1 Comptes 2020 natures'!T167/'4.1 Comptes 2020 natures'!T2</f>
        <v>0</v>
      </c>
      <c r="U168" s="4">
        <f>'4.1 Comptes 2020 natures'!U167/'4.1 Comptes 2020 natures'!U2</f>
        <v>0</v>
      </c>
      <c r="V168" s="4">
        <f>'4.1 Comptes 2020 natures'!V167/'4.1 Comptes 2020 natures'!V2</f>
        <v>0</v>
      </c>
      <c r="W168" s="4">
        <f>'4.1 Comptes 2020 natures'!W167/'4.1 Comptes 2020 natures'!W2</f>
        <v>0</v>
      </c>
      <c r="X168" s="4">
        <f>'4.1 Comptes 2020 natures'!X167/'4.1 Comptes 2020 natures'!X2</f>
        <v>0</v>
      </c>
      <c r="Y168" s="4">
        <f>'4.1 Comptes 2020 natures'!Y167/'4.1 Comptes 2020 natures'!Y2</f>
        <v>0</v>
      </c>
      <c r="Z168" s="4">
        <f>'4.1 Comptes 2020 natures'!Z167/'4.1 Comptes 2020 natures'!Z2</f>
        <v>0</v>
      </c>
      <c r="AA168" s="4">
        <f>'4.1 Comptes 2020 natures'!AA167/'4.1 Comptes 2020 natures'!AA2</f>
        <v>0</v>
      </c>
      <c r="AB168" s="4">
        <f>'4.1 Comptes 2020 natures'!AB167/'4.1 Comptes 2020 natures'!AB2</f>
        <v>0</v>
      </c>
      <c r="AC168" s="4">
        <f>'4.1 Comptes 2020 natures'!AC167/'4.1 Comptes 2020 natures'!AC2</f>
        <v>0</v>
      </c>
      <c r="AD168" s="4">
        <f>'4.1 Comptes 2020 natures'!AD167/'4.1 Comptes 2020 natures'!AD2</f>
        <v>0</v>
      </c>
      <c r="AE168" s="4">
        <f>'4.1 Comptes 2020 natures'!AE167/'4.1 Comptes 2020 natures'!AE2</f>
        <v>0</v>
      </c>
      <c r="AF168" s="4">
        <f>'4.1 Comptes 2020 natures'!AF167/'4.1 Comptes 2020 natures'!AF2</f>
        <v>0</v>
      </c>
      <c r="AG168" s="4">
        <f>'4.1 Comptes 2020 natures'!AG167/'4.1 Comptes 2020 natures'!AG2</f>
        <v>0</v>
      </c>
      <c r="AH168" s="4">
        <f>'4.1 Comptes 2020 natures'!AH167/'4.1 Comptes 2020 natures'!AH2</f>
        <v>0</v>
      </c>
      <c r="AI168" s="4">
        <f>'4.1 Comptes 2020 natures'!AI167/'4.1 Comptes 2020 natures'!AI2</f>
        <v>0</v>
      </c>
      <c r="AJ168" s="4">
        <f>'4.1 Comptes 2020 natures'!AJ167/'4.1 Comptes 2020 natures'!AJ2</f>
        <v>0</v>
      </c>
      <c r="AK168" s="4">
        <f>'4.1 Comptes 2020 natures'!AK167/'4.1 Comptes 2020 natures'!AK2</f>
        <v>0</v>
      </c>
      <c r="AL168" s="4">
        <f>'4.1 Comptes 2020 natures'!AL167/'4.1 Comptes 2020 natures'!AL2</f>
        <v>0</v>
      </c>
      <c r="AM168" s="4">
        <f>'4.1 Comptes 2020 natures'!AM167/'4.1 Comptes 2020 natures'!AM2</f>
        <v>0</v>
      </c>
      <c r="AN168" s="4">
        <f>'4.1 Comptes 2020 natures'!AN167/'4.1 Comptes 2020 natures'!AN2</f>
        <v>0</v>
      </c>
      <c r="AO168" s="4">
        <f>'4.1 Comptes 2020 natures'!AO167/'4.1 Comptes 2020 natures'!AO2</f>
        <v>0</v>
      </c>
      <c r="AP168" s="4">
        <f>'4.1 Comptes 2020 natures'!AP167/'4.1 Comptes 2020 natures'!AP2</f>
        <v>0</v>
      </c>
      <c r="AQ168" s="4">
        <f>'4.1 Comptes 2020 natures'!AQ167/'4.1 Comptes 2020 natures'!AQ2</f>
        <v>0</v>
      </c>
      <c r="AR168" s="4">
        <f>'4.1 Comptes 2020 natures'!AR167/'4.1 Comptes 2020 natures'!AR2</f>
        <v>0</v>
      </c>
      <c r="AS168" s="4">
        <f>'4.1 Comptes 2020 natures'!AS167/'4.1 Comptes 2020 natures'!AS2</f>
        <v>0</v>
      </c>
      <c r="AT168" s="4">
        <f>'4.1 Comptes 2020 natures'!AT167/'4.1 Comptes 2020 natures'!AT2</f>
        <v>0</v>
      </c>
      <c r="AU168" s="4">
        <f>'4.1 Comptes 2020 natures'!AU167/'4.1 Comptes 2020 natures'!AU2</f>
        <v>0</v>
      </c>
      <c r="AV168" s="4">
        <f>'4.1 Comptes 2020 natures'!AV167/'4.1 Comptes 2020 natures'!AV2</f>
        <v>0</v>
      </c>
      <c r="AW168" s="4">
        <f>'4.1 Comptes 2020 natures'!AW167/'4.1 Comptes 2020 natures'!AW2</f>
        <v>0</v>
      </c>
      <c r="AX168" s="4">
        <f>'4.1 Comptes 2020 natures'!AX167/'4.1 Comptes 2020 natures'!AX2</f>
        <v>0</v>
      </c>
      <c r="AY168" s="4">
        <f>'4.1 Comptes 2020 natures'!AY167/'4.1 Comptes 2020 natures'!AY2</f>
        <v>0</v>
      </c>
      <c r="AZ168" s="4">
        <f>'4.1 Comptes 2020 natures'!AZ167/'4.1 Comptes 2020 natures'!AZ2</f>
        <v>0</v>
      </c>
      <c r="BA168" s="4">
        <f>'4.1 Comptes 2020 natures'!BA167/'4.1 Comptes 2020 natures'!BA2</f>
        <v>0</v>
      </c>
      <c r="BB168" s="4">
        <f>'4.1 Comptes 2020 natures'!BB167/'4.1 Comptes 2020 natures'!BB2</f>
        <v>0</v>
      </c>
      <c r="BC168" s="4">
        <f>'4.1 Comptes 2020 natures'!BC167/'4.1 Comptes 2020 natures'!BC2</f>
        <v>0</v>
      </c>
      <c r="BD168" s="4">
        <f>'4.1 Comptes 2020 natures'!BD167/'4.1 Comptes 2020 natures'!BD2</f>
        <v>0</v>
      </c>
      <c r="BE168" s="4">
        <f>'4.1 Comptes 2020 natures'!BE167/'4.1 Comptes 2020 natures'!BE2</f>
        <v>0</v>
      </c>
      <c r="BF168" s="4">
        <f t="shared" si="109"/>
        <v>0</v>
      </c>
      <c r="BG168" s="4">
        <f t="shared" si="110"/>
        <v>0</v>
      </c>
      <c r="BH168" s="4">
        <f t="shared" si="111"/>
        <v>0</v>
      </c>
      <c r="BI168" s="4">
        <f t="shared" si="112"/>
        <v>0</v>
      </c>
    </row>
    <row r="169" spans="3:61" x14ac:dyDescent="0.3">
      <c r="C169">
        <v>9000</v>
      </c>
      <c r="D169" t="s">
        <v>277</v>
      </c>
      <c r="E169" s="4">
        <f>'4.1 Comptes 2020 natures'!E168/'4.1 Comptes 2020 natures'!E2</f>
        <v>0</v>
      </c>
      <c r="F169" s="4">
        <f>'4.1 Comptes 2020 natures'!F168/'4.1 Comptes 2020 natures'!F2</f>
        <v>0</v>
      </c>
      <c r="G169" s="4">
        <f>'4.1 Comptes 2020 natures'!G168/'4.1 Comptes 2020 natures'!G2</f>
        <v>0</v>
      </c>
      <c r="H169" s="4">
        <f>'4.1 Comptes 2020 natures'!H168/'4.1 Comptes 2020 natures'!H2</f>
        <v>0</v>
      </c>
      <c r="I169" s="4">
        <f>'4.1 Comptes 2020 natures'!I168/'4.1 Comptes 2020 natures'!I2</f>
        <v>0</v>
      </c>
      <c r="J169" s="4">
        <f>'4.1 Comptes 2020 natures'!J168/'4.1 Comptes 2020 natures'!J2</f>
        <v>0</v>
      </c>
      <c r="K169" s="4">
        <f>'4.1 Comptes 2020 natures'!K168/'4.1 Comptes 2020 natures'!K2</f>
        <v>0</v>
      </c>
      <c r="L169" s="4">
        <f>'4.1 Comptes 2020 natures'!L168/'4.1 Comptes 2020 natures'!L2</f>
        <v>0</v>
      </c>
      <c r="M169" s="4">
        <f>'4.1 Comptes 2020 natures'!M168/'4.1 Comptes 2020 natures'!M2</f>
        <v>0</v>
      </c>
      <c r="N169" s="4">
        <f>'4.1 Comptes 2020 natures'!N168/'4.1 Comptes 2020 natures'!N2</f>
        <v>0</v>
      </c>
      <c r="O169" s="4">
        <f>'4.1 Comptes 2020 natures'!O168/'4.1 Comptes 2020 natures'!O2</f>
        <v>0</v>
      </c>
      <c r="P169" s="4">
        <f>'4.1 Comptes 2020 natures'!P168/'4.1 Comptes 2020 natures'!P2</f>
        <v>0</v>
      </c>
      <c r="Q169" s="4">
        <f>'4.1 Comptes 2020 natures'!Q168/'4.1 Comptes 2020 natures'!Q2</f>
        <v>0</v>
      </c>
      <c r="R169" s="4">
        <f>'4.1 Comptes 2020 natures'!R168/'4.1 Comptes 2020 natures'!R2</f>
        <v>0</v>
      </c>
      <c r="S169" s="4">
        <f>'4.1 Comptes 2020 natures'!S168/'4.1 Comptes 2020 natures'!S2</f>
        <v>0</v>
      </c>
      <c r="T169" s="4">
        <f>'4.1 Comptes 2020 natures'!T168/'4.1 Comptes 2020 natures'!T2</f>
        <v>0</v>
      </c>
      <c r="U169" s="4">
        <f>'4.1 Comptes 2020 natures'!U168/'4.1 Comptes 2020 natures'!U2</f>
        <v>0</v>
      </c>
      <c r="V169" s="4">
        <f>'4.1 Comptes 2020 natures'!V168/'4.1 Comptes 2020 natures'!V2</f>
        <v>0</v>
      </c>
      <c r="W169" s="4">
        <f>'4.1 Comptes 2020 natures'!W168/'4.1 Comptes 2020 natures'!W2</f>
        <v>0</v>
      </c>
      <c r="X169" s="4">
        <f>'4.1 Comptes 2020 natures'!X168/'4.1 Comptes 2020 natures'!X2</f>
        <v>0</v>
      </c>
      <c r="Y169" s="4">
        <f>'4.1 Comptes 2020 natures'!Y168/'4.1 Comptes 2020 natures'!Y2</f>
        <v>0</v>
      </c>
      <c r="Z169" s="4">
        <f>'4.1 Comptes 2020 natures'!Z168/'4.1 Comptes 2020 natures'!Z2</f>
        <v>0</v>
      </c>
      <c r="AA169" s="4">
        <f>'4.1 Comptes 2020 natures'!AA168/'4.1 Comptes 2020 natures'!AA2</f>
        <v>0</v>
      </c>
      <c r="AB169" s="4">
        <f>'4.1 Comptes 2020 natures'!AB168/'4.1 Comptes 2020 natures'!AB2</f>
        <v>0</v>
      </c>
      <c r="AC169" s="4">
        <f>'4.1 Comptes 2020 natures'!AC168/'4.1 Comptes 2020 natures'!AC2</f>
        <v>0</v>
      </c>
      <c r="AD169" s="4">
        <f>'4.1 Comptes 2020 natures'!AD168/'4.1 Comptes 2020 natures'!AD2</f>
        <v>0</v>
      </c>
      <c r="AE169" s="4">
        <f>'4.1 Comptes 2020 natures'!AE168/'4.1 Comptes 2020 natures'!AE2</f>
        <v>0</v>
      </c>
      <c r="AF169" s="4">
        <f>'4.1 Comptes 2020 natures'!AF168/'4.1 Comptes 2020 natures'!AF2</f>
        <v>0</v>
      </c>
      <c r="AG169" s="4">
        <f>'4.1 Comptes 2020 natures'!AG168/'4.1 Comptes 2020 natures'!AG2</f>
        <v>0</v>
      </c>
      <c r="AH169" s="4">
        <f>'4.1 Comptes 2020 natures'!AH168/'4.1 Comptes 2020 natures'!AH2</f>
        <v>0</v>
      </c>
      <c r="AI169" s="4">
        <f>'4.1 Comptes 2020 natures'!AI168/'4.1 Comptes 2020 natures'!AI2</f>
        <v>0</v>
      </c>
      <c r="AJ169" s="4">
        <f>'4.1 Comptes 2020 natures'!AJ168/'4.1 Comptes 2020 natures'!AJ2</f>
        <v>0</v>
      </c>
      <c r="AK169" s="4">
        <f>'4.1 Comptes 2020 natures'!AK168/'4.1 Comptes 2020 natures'!AK2</f>
        <v>0</v>
      </c>
      <c r="AL169" s="4">
        <f>'4.1 Comptes 2020 natures'!AL168/'4.1 Comptes 2020 natures'!AL2</f>
        <v>0</v>
      </c>
      <c r="AM169" s="4">
        <f>'4.1 Comptes 2020 natures'!AM168/'4.1 Comptes 2020 natures'!AM2</f>
        <v>0</v>
      </c>
      <c r="AN169" s="4">
        <f>'4.1 Comptes 2020 natures'!AN168/'4.1 Comptes 2020 natures'!AN2</f>
        <v>0</v>
      </c>
      <c r="AO169" s="4">
        <f>'4.1 Comptes 2020 natures'!AO168/'4.1 Comptes 2020 natures'!AO2</f>
        <v>0</v>
      </c>
      <c r="AP169" s="4">
        <f>'4.1 Comptes 2020 natures'!AP168/'4.1 Comptes 2020 natures'!AP2</f>
        <v>0</v>
      </c>
      <c r="AQ169" s="4">
        <f>'4.1 Comptes 2020 natures'!AQ168/'4.1 Comptes 2020 natures'!AQ2</f>
        <v>0</v>
      </c>
      <c r="AR169" s="4">
        <f>'4.1 Comptes 2020 natures'!AR168/'4.1 Comptes 2020 natures'!AR2</f>
        <v>0</v>
      </c>
      <c r="AS169" s="4">
        <f>'4.1 Comptes 2020 natures'!AS168/'4.1 Comptes 2020 natures'!AS2</f>
        <v>0</v>
      </c>
      <c r="AT169" s="4">
        <f>'4.1 Comptes 2020 natures'!AT168/'4.1 Comptes 2020 natures'!AT2</f>
        <v>0</v>
      </c>
      <c r="AU169" s="4">
        <f>'4.1 Comptes 2020 natures'!AU168/'4.1 Comptes 2020 natures'!AU2</f>
        <v>0</v>
      </c>
      <c r="AV169" s="4">
        <f>'4.1 Comptes 2020 natures'!AV168/'4.1 Comptes 2020 natures'!AV2</f>
        <v>0</v>
      </c>
      <c r="AW169" s="4">
        <f>'4.1 Comptes 2020 natures'!AW168/'4.1 Comptes 2020 natures'!AW2</f>
        <v>0</v>
      </c>
      <c r="AX169" s="4">
        <f>'4.1 Comptes 2020 natures'!AX168/'4.1 Comptes 2020 natures'!AX2</f>
        <v>0</v>
      </c>
      <c r="AY169" s="4">
        <f>'4.1 Comptes 2020 natures'!AY168/'4.1 Comptes 2020 natures'!AY2</f>
        <v>0</v>
      </c>
      <c r="AZ169" s="4">
        <f>'4.1 Comptes 2020 natures'!AZ168/'4.1 Comptes 2020 natures'!AZ2</f>
        <v>0</v>
      </c>
      <c r="BA169" s="4">
        <f>'4.1 Comptes 2020 natures'!BA168/'4.1 Comptes 2020 natures'!BA2</f>
        <v>0</v>
      </c>
      <c r="BB169" s="4">
        <f>'4.1 Comptes 2020 natures'!BB168/'4.1 Comptes 2020 natures'!BB2</f>
        <v>0</v>
      </c>
      <c r="BC169" s="4">
        <f>'4.1 Comptes 2020 natures'!BC168/'4.1 Comptes 2020 natures'!BC2</f>
        <v>0</v>
      </c>
      <c r="BD169" s="4">
        <f>'4.1 Comptes 2020 natures'!BD168/'4.1 Comptes 2020 natures'!BD2</f>
        <v>0</v>
      </c>
      <c r="BE169" s="4">
        <f>'4.1 Comptes 2020 natures'!BE168/'4.1 Comptes 2020 natures'!BE2</f>
        <v>0</v>
      </c>
      <c r="BF169" s="4">
        <f t="shared" si="109"/>
        <v>0</v>
      </c>
      <c r="BG169" s="4">
        <f t="shared" si="110"/>
        <v>0</v>
      </c>
      <c r="BH169" s="4">
        <f t="shared" si="111"/>
        <v>0</v>
      </c>
      <c r="BI169" s="4">
        <f t="shared" si="112"/>
        <v>0</v>
      </c>
    </row>
    <row r="170" spans="3:61" x14ac:dyDescent="0.3">
      <c r="C170">
        <v>9029</v>
      </c>
      <c r="D170" t="s">
        <v>281</v>
      </c>
      <c r="E170" s="4">
        <f>'4.1 Comptes 2020 natures'!E169/'4.1 Comptes 2020 natures'!E2</f>
        <v>0</v>
      </c>
      <c r="F170" s="4">
        <f>'4.1 Comptes 2020 natures'!F169/'4.1 Comptes 2020 natures'!F2</f>
        <v>0</v>
      </c>
      <c r="G170" s="4">
        <f>'4.1 Comptes 2020 natures'!G169/'4.1 Comptes 2020 natures'!G2</f>
        <v>0</v>
      </c>
      <c r="H170" s="4">
        <f>'4.1 Comptes 2020 natures'!H169/'4.1 Comptes 2020 natures'!H2</f>
        <v>0</v>
      </c>
      <c r="I170" s="4">
        <f>'4.1 Comptes 2020 natures'!I169/'4.1 Comptes 2020 natures'!I2</f>
        <v>0</v>
      </c>
      <c r="J170" s="4">
        <f>'4.1 Comptes 2020 natures'!J169/'4.1 Comptes 2020 natures'!J2</f>
        <v>0</v>
      </c>
      <c r="K170" s="4">
        <f>'4.1 Comptes 2020 natures'!K169/'4.1 Comptes 2020 natures'!K2</f>
        <v>0</v>
      </c>
      <c r="L170" s="4">
        <f>'4.1 Comptes 2020 natures'!L169/'4.1 Comptes 2020 natures'!L2</f>
        <v>0</v>
      </c>
      <c r="M170" s="4">
        <f>'4.1 Comptes 2020 natures'!M169/'4.1 Comptes 2020 natures'!M2</f>
        <v>0</v>
      </c>
      <c r="N170" s="4">
        <f>'4.1 Comptes 2020 natures'!N169/'4.1 Comptes 2020 natures'!N2</f>
        <v>0</v>
      </c>
      <c r="O170" s="4">
        <f>'4.1 Comptes 2020 natures'!O169/'4.1 Comptes 2020 natures'!O2</f>
        <v>0</v>
      </c>
      <c r="P170" s="4">
        <f>'4.1 Comptes 2020 natures'!P169/'4.1 Comptes 2020 natures'!P2</f>
        <v>0</v>
      </c>
      <c r="Q170" s="4">
        <f>'4.1 Comptes 2020 natures'!Q169/'4.1 Comptes 2020 natures'!Q2</f>
        <v>0</v>
      </c>
      <c r="R170" s="4">
        <f>'4.1 Comptes 2020 natures'!R169/'4.1 Comptes 2020 natures'!R2</f>
        <v>0</v>
      </c>
      <c r="S170" s="4">
        <f>'4.1 Comptes 2020 natures'!S169/'4.1 Comptes 2020 natures'!S2</f>
        <v>0</v>
      </c>
      <c r="T170" s="4">
        <f>'4.1 Comptes 2020 natures'!T169/'4.1 Comptes 2020 natures'!T2</f>
        <v>0</v>
      </c>
      <c r="U170" s="4">
        <f>'4.1 Comptes 2020 natures'!U169/'4.1 Comptes 2020 natures'!U2</f>
        <v>0</v>
      </c>
      <c r="V170" s="4">
        <f>'4.1 Comptes 2020 natures'!V169/'4.1 Comptes 2020 natures'!V2</f>
        <v>0</v>
      </c>
      <c r="W170" s="4">
        <f>'4.1 Comptes 2020 natures'!W169/'4.1 Comptes 2020 natures'!W2</f>
        <v>0</v>
      </c>
      <c r="X170" s="4">
        <f>'4.1 Comptes 2020 natures'!X169/'4.1 Comptes 2020 natures'!X2</f>
        <v>0</v>
      </c>
      <c r="Y170" s="4">
        <f>'4.1 Comptes 2020 natures'!Y169/'4.1 Comptes 2020 natures'!Y2</f>
        <v>0</v>
      </c>
      <c r="Z170" s="4">
        <f>'4.1 Comptes 2020 natures'!Z169/'4.1 Comptes 2020 natures'!Z2</f>
        <v>0</v>
      </c>
      <c r="AA170" s="4">
        <f>'4.1 Comptes 2020 natures'!AA169/'4.1 Comptes 2020 natures'!AA2</f>
        <v>0</v>
      </c>
      <c r="AB170" s="4">
        <f>'4.1 Comptes 2020 natures'!AB169/'4.1 Comptes 2020 natures'!AB2</f>
        <v>0</v>
      </c>
      <c r="AC170" s="4">
        <f>'4.1 Comptes 2020 natures'!AC169/'4.1 Comptes 2020 natures'!AC2</f>
        <v>0</v>
      </c>
      <c r="AD170" s="4">
        <f>'4.1 Comptes 2020 natures'!AD169/'4.1 Comptes 2020 natures'!AD2</f>
        <v>0</v>
      </c>
      <c r="AE170" s="4">
        <f>'4.1 Comptes 2020 natures'!AE169/'4.1 Comptes 2020 natures'!AE2</f>
        <v>0</v>
      </c>
      <c r="AF170" s="4">
        <f>'4.1 Comptes 2020 natures'!AF169/'4.1 Comptes 2020 natures'!AF2</f>
        <v>0</v>
      </c>
      <c r="AG170" s="4">
        <f>'4.1 Comptes 2020 natures'!AG169/'4.1 Comptes 2020 natures'!AG2</f>
        <v>0</v>
      </c>
      <c r="AH170" s="4">
        <f>'4.1 Comptes 2020 natures'!AH169/'4.1 Comptes 2020 natures'!AH2</f>
        <v>0</v>
      </c>
      <c r="AI170" s="4">
        <f>'4.1 Comptes 2020 natures'!AI169/'4.1 Comptes 2020 natures'!AI2</f>
        <v>0</v>
      </c>
      <c r="AJ170" s="4">
        <f>'4.1 Comptes 2020 natures'!AJ169/'4.1 Comptes 2020 natures'!AJ2</f>
        <v>0</v>
      </c>
      <c r="AK170" s="4">
        <f>'4.1 Comptes 2020 natures'!AK169/'4.1 Comptes 2020 natures'!AK2</f>
        <v>0</v>
      </c>
      <c r="AL170" s="4">
        <f>'4.1 Comptes 2020 natures'!AL169/'4.1 Comptes 2020 natures'!AL2</f>
        <v>0</v>
      </c>
      <c r="AM170" s="4">
        <f>'4.1 Comptes 2020 natures'!AM169/'4.1 Comptes 2020 natures'!AM2</f>
        <v>0</v>
      </c>
      <c r="AN170" s="4">
        <f>'4.1 Comptes 2020 natures'!AN169/'4.1 Comptes 2020 natures'!AN2</f>
        <v>0</v>
      </c>
      <c r="AO170" s="4">
        <f>'4.1 Comptes 2020 natures'!AO169/'4.1 Comptes 2020 natures'!AO2</f>
        <v>0</v>
      </c>
      <c r="AP170" s="4">
        <f>'4.1 Comptes 2020 natures'!AP169/'4.1 Comptes 2020 natures'!AP2</f>
        <v>0</v>
      </c>
      <c r="AQ170" s="4">
        <f>'4.1 Comptes 2020 natures'!AQ169/'4.1 Comptes 2020 natures'!AQ2</f>
        <v>0</v>
      </c>
      <c r="AR170" s="4">
        <f>'4.1 Comptes 2020 natures'!AR169/'4.1 Comptes 2020 natures'!AR2</f>
        <v>0</v>
      </c>
      <c r="AS170" s="4">
        <f>'4.1 Comptes 2020 natures'!AS169/'4.1 Comptes 2020 natures'!AS2</f>
        <v>0</v>
      </c>
      <c r="AT170" s="4">
        <f>'4.1 Comptes 2020 natures'!AT169/'4.1 Comptes 2020 natures'!AT2</f>
        <v>0</v>
      </c>
      <c r="AU170" s="4">
        <f>'4.1 Comptes 2020 natures'!AU169/'4.1 Comptes 2020 natures'!AU2</f>
        <v>0</v>
      </c>
      <c r="AV170" s="4">
        <f>'4.1 Comptes 2020 natures'!AV169/'4.1 Comptes 2020 natures'!AV2</f>
        <v>0</v>
      </c>
      <c r="AW170" s="4">
        <f>'4.1 Comptes 2020 natures'!AW169/'4.1 Comptes 2020 natures'!AW2</f>
        <v>0</v>
      </c>
      <c r="AX170" s="4">
        <f>'4.1 Comptes 2020 natures'!AX169/'4.1 Comptes 2020 natures'!AX2</f>
        <v>0</v>
      </c>
      <c r="AY170" s="4">
        <f>'4.1 Comptes 2020 natures'!AY169/'4.1 Comptes 2020 natures'!AY2</f>
        <v>0</v>
      </c>
      <c r="AZ170" s="4">
        <f>'4.1 Comptes 2020 natures'!AZ169/'4.1 Comptes 2020 natures'!AZ2</f>
        <v>0</v>
      </c>
      <c r="BA170" s="4">
        <f>'4.1 Comptes 2020 natures'!BA169/'4.1 Comptes 2020 natures'!BA2</f>
        <v>0</v>
      </c>
      <c r="BB170" s="4">
        <f>'4.1 Comptes 2020 natures'!BB169/'4.1 Comptes 2020 natures'!BB2</f>
        <v>0</v>
      </c>
      <c r="BC170" s="4">
        <f>'4.1 Comptes 2020 natures'!BC169/'4.1 Comptes 2020 natures'!BC2</f>
        <v>0</v>
      </c>
      <c r="BD170" s="4">
        <f>'4.1 Comptes 2020 natures'!BD169/'4.1 Comptes 2020 natures'!BD2</f>
        <v>0</v>
      </c>
      <c r="BE170" s="4">
        <f>'4.1 Comptes 2020 natures'!BE169/'4.1 Comptes 2020 natures'!BE2</f>
        <v>0</v>
      </c>
      <c r="BF170" s="4">
        <f t="shared" si="109"/>
        <v>0</v>
      </c>
      <c r="BG170" s="4">
        <f t="shared" si="110"/>
        <v>0</v>
      </c>
      <c r="BH170" s="4">
        <f t="shared" si="111"/>
        <v>0</v>
      </c>
      <c r="BI170" s="4">
        <f t="shared" si="112"/>
        <v>0</v>
      </c>
    </row>
    <row r="171" spans="3:61" x14ac:dyDescent="0.3">
      <c r="C171">
        <v>3180</v>
      </c>
      <c r="D171" t="s">
        <v>304</v>
      </c>
      <c r="E171" s="4">
        <f>'4.1 Comptes 2020 natures'!E170/'4.1 Comptes 2020 natures'!E2</f>
        <v>0</v>
      </c>
      <c r="F171" s="4">
        <f>'4.1 Comptes 2020 natures'!F170/'4.1 Comptes 2020 natures'!F2</f>
        <v>0</v>
      </c>
      <c r="G171" s="4">
        <f>'4.1 Comptes 2020 natures'!G170/'4.1 Comptes 2020 natures'!G2</f>
        <v>0</v>
      </c>
      <c r="H171" s="4">
        <f>'4.1 Comptes 2020 natures'!H170/'4.1 Comptes 2020 natures'!H2</f>
        <v>0</v>
      </c>
      <c r="I171" s="4">
        <f>'4.1 Comptes 2020 natures'!I170/'4.1 Comptes 2020 natures'!I2</f>
        <v>0</v>
      </c>
      <c r="J171" s="4">
        <f>'4.1 Comptes 2020 natures'!J170/'4.1 Comptes 2020 natures'!J2</f>
        <v>0</v>
      </c>
      <c r="K171" s="4">
        <f>'4.1 Comptes 2020 natures'!K170/'4.1 Comptes 2020 natures'!K2</f>
        <v>0</v>
      </c>
      <c r="L171" s="4">
        <f>'4.1 Comptes 2020 natures'!L170/'4.1 Comptes 2020 natures'!L2</f>
        <v>0</v>
      </c>
      <c r="M171" s="4">
        <f>'4.1 Comptes 2020 natures'!M170/'4.1 Comptes 2020 natures'!M2</f>
        <v>0</v>
      </c>
      <c r="N171" s="4">
        <f>'4.1 Comptes 2020 natures'!N170/'4.1 Comptes 2020 natures'!N2</f>
        <v>0</v>
      </c>
      <c r="O171" s="4">
        <f>'4.1 Comptes 2020 natures'!O170/'4.1 Comptes 2020 natures'!O2</f>
        <v>0</v>
      </c>
      <c r="P171" s="4">
        <f>'4.1 Comptes 2020 natures'!P170/'4.1 Comptes 2020 natures'!P2</f>
        <v>0</v>
      </c>
      <c r="Q171" s="4">
        <f>'4.1 Comptes 2020 natures'!Q170/'4.1 Comptes 2020 natures'!Q2</f>
        <v>0</v>
      </c>
      <c r="R171" s="4">
        <f>'4.1 Comptes 2020 natures'!R170/'4.1 Comptes 2020 natures'!R2</f>
        <v>0</v>
      </c>
      <c r="S171" s="4">
        <f>'4.1 Comptes 2020 natures'!S170/'4.1 Comptes 2020 natures'!S2</f>
        <v>0</v>
      </c>
      <c r="T171" s="4">
        <f>'4.1 Comptes 2020 natures'!T170/'4.1 Comptes 2020 natures'!T2</f>
        <v>0</v>
      </c>
      <c r="U171" s="4">
        <f>'4.1 Comptes 2020 natures'!U170/'4.1 Comptes 2020 natures'!U2</f>
        <v>0</v>
      </c>
      <c r="V171" s="4">
        <f>'4.1 Comptes 2020 natures'!V170/'4.1 Comptes 2020 natures'!V2</f>
        <v>0</v>
      </c>
      <c r="W171" s="4">
        <f>'4.1 Comptes 2020 natures'!W170/'4.1 Comptes 2020 natures'!W2</f>
        <v>0</v>
      </c>
      <c r="X171" s="4">
        <f>'4.1 Comptes 2020 natures'!X170/'4.1 Comptes 2020 natures'!X2</f>
        <v>0</v>
      </c>
      <c r="Y171" s="4">
        <f>'4.1 Comptes 2020 natures'!Y170/'4.1 Comptes 2020 natures'!Y2</f>
        <v>0</v>
      </c>
      <c r="Z171" s="4">
        <f>'4.1 Comptes 2020 natures'!Z170/'4.1 Comptes 2020 natures'!Z2</f>
        <v>0</v>
      </c>
      <c r="AA171" s="4">
        <f>'4.1 Comptes 2020 natures'!AA170/'4.1 Comptes 2020 natures'!AA2</f>
        <v>0</v>
      </c>
      <c r="AB171" s="4">
        <f>'4.1 Comptes 2020 natures'!AB170/'4.1 Comptes 2020 natures'!AB2</f>
        <v>0</v>
      </c>
      <c r="AC171" s="4">
        <f>'4.1 Comptes 2020 natures'!AC170/'4.1 Comptes 2020 natures'!AC2</f>
        <v>0</v>
      </c>
      <c r="AD171" s="4">
        <f>'4.1 Comptes 2020 natures'!AD170/'4.1 Comptes 2020 natures'!AD2</f>
        <v>0</v>
      </c>
      <c r="AE171" s="4">
        <f>'4.1 Comptes 2020 natures'!AE170/'4.1 Comptes 2020 natures'!AE2</f>
        <v>0</v>
      </c>
      <c r="AF171" s="4">
        <f>'4.1 Comptes 2020 natures'!AF170/'4.1 Comptes 2020 natures'!AF2</f>
        <v>0</v>
      </c>
      <c r="AG171" s="4">
        <f>'4.1 Comptes 2020 natures'!AG170/'4.1 Comptes 2020 natures'!AG2</f>
        <v>0</v>
      </c>
      <c r="AH171" s="4">
        <f>'4.1 Comptes 2020 natures'!AH170/'4.1 Comptes 2020 natures'!AH2</f>
        <v>0</v>
      </c>
      <c r="AI171" s="4">
        <f>'4.1 Comptes 2020 natures'!AI170/'4.1 Comptes 2020 natures'!AI2</f>
        <v>0</v>
      </c>
      <c r="AJ171" s="4">
        <f>'4.1 Comptes 2020 natures'!AJ170/'4.1 Comptes 2020 natures'!AJ2</f>
        <v>0</v>
      </c>
      <c r="AK171" s="4">
        <f>'4.1 Comptes 2020 natures'!AK170/'4.1 Comptes 2020 natures'!AK2</f>
        <v>0</v>
      </c>
      <c r="AL171" s="4">
        <f>'4.1 Comptes 2020 natures'!AL170/'4.1 Comptes 2020 natures'!AL2</f>
        <v>0</v>
      </c>
      <c r="AM171" s="4">
        <f>'4.1 Comptes 2020 natures'!AM170/'4.1 Comptes 2020 natures'!AM2</f>
        <v>0</v>
      </c>
      <c r="AN171" s="4">
        <f>'4.1 Comptes 2020 natures'!AN170/'4.1 Comptes 2020 natures'!AN2</f>
        <v>0</v>
      </c>
      <c r="AO171" s="4">
        <f>'4.1 Comptes 2020 natures'!AO170/'4.1 Comptes 2020 natures'!AO2</f>
        <v>0</v>
      </c>
      <c r="AP171" s="4">
        <f>'4.1 Comptes 2020 natures'!AP170/'4.1 Comptes 2020 natures'!AP2</f>
        <v>0</v>
      </c>
      <c r="AQ171" s="4">
        <f>'4.1 Comptes 2020 natures'!AQ170/'4.1 Comptes 2020 natures'!AQ2</f>
        <v>0</v>
      </c>
      <c r="AR171" s="4">
        <f>'4.1 Comptes 2020 natures'!AR170/'4.1 Comptes 2020 natures'!AR2</f>
        <v>0</v>
      </c>
      <c r="AS171" s="4">
        <f>'4.1 Comptes 2020 natures'!AS170/'4.1 Comptes 2020 natures'!AS2</f>
        <v>0</v>
      </c>
      <c r="AT171" s="4">
        <f>'4.1 Comptes 2020 natures'!AT170/'4.1 Comptes 2020 natures'!AT2</f>
        <v>0</v>
      </c>
      <c r="AU171" s="4">
        <f>'4.1 Comptes 2020 natures'!AU170/'4.1 Comptes 2020 natures'!AU2</f>
        <v>0</v>
      </c>
      <c r="AV171" s="4">
        <f>'4.1 Comptes 2020 natures'!AV170/'4.1 Comptes 2020 natures'!AV2</f>
        <v>0</v>
      </c>
      <c r="AW171" s="4">
        <f>'4.1 Comptes 2020 natures'!AW170/'4.1 Comptes 2020 natures'!AW2</f>
        <v>0</v>
      </c>
      <c r="AX171" s="4">
        <f>'4.1 Comptes 2020 natures'!AX170/'4.1 Comptes 2020 natures'!AX2</f>
        <v>0</v>
      </c>
      <c r="AY171" s="4">
        <f>'4.1 Comptes 2020 natures'!AY170/'4.1 Comptes 2020 natures'!AY2</f>
        <v>0</v>
      </c>
      <c r="AZ171" s="4">
        <f>'4.1 Comptes 2020 natures'!AZ170/'4.1 Comptes 2020 natures'!AZ2</f>
        <v>0</v>
      </c>
      <c r="BA171" s="4">
        <f>'4.1 Comptes 2020 natures'!BA170/'4.1 Comptes 2020 natures'!BA2</f>
        <v>0</v>
      </c>
      <c r="BB171" s="4">
        <f>'4.1 Comptes 2020 natures'!BB170/'4.1 Comptes 2020 natures'!BB2</f>
        <v>0</v>
      </c>
      <c r="BC171" s="4">
        <f>'4.1 Comptes 2020 natures'!BC170/'4.1 Comptes 2020 natures'!BC2</f>
        <v>0</v>
      </c>
      <c r="BD171" s="4">
        <f>'4.1 Comptes 2020 natures'!BD170/'4.1 Comptes 2020 natures'!BD2</f>
        <v>0</v>
      </c>
      <c r="BE171" s="4">
        <f>'4.1 Comptes 2020 natures'!BE170/'4.1 Comptes 2020 natures'!BE2</f>
        <v>0</v>
      </c>
      <c r="BF171" s="4">
        <f t="shared" si="109"/>
        <v>0</v>
      </c>
      <c r="BG171" s="4">
        <f t="shared" si="110"/>
        <v>0</v>
      </c>
      <c r="BH171" s="4">
        <f t="shared" si="111"/>
        <v>0</v>
      </c>
      <c r="BI171" s="4">
        <f t="shared" si="112"/>
        <v>0</v>
      </c>
    </row>
    <row r="172" spans="3:61" x14ac:dyDescent="0.3">
      <c r="C172">
        <v>36227</v>
      </c>
      <c r="D172" t="s">
        <v>278</v>
      </c>
      <c r="E172" s="4">
        <f>'4.1 Comptes 2020 natures'!E171/'4.1 Comptes 2020 natures'!E2</f>
        <v>0</v>
      </c>
      <c r="F172" s="4">
        <f>'4.1 Comptes 2020 natures'!F171/'4.1 Comptes 2020 natures'!F2</f>
        <v>0</v>
      </c>
      <c r="G172" s="4">
        <f>'4.1 Comptes 2020 natures'!G171/'4.1 Comptes 2020 natures'!G2</f>
        <v>0</v>
      </c>
      <c r="H172" s="4">
        <f>'4.1 Comptes 2020 natures'!H171/'4.1 Comptes 2020 natures'!H2</f>
        <v>0</v>
      </c>
      <c r="I172" s="4">
        <f>'4.1 Comptes 2020 natures'!I171/'4.1 Comptes 2020 natures'!I2</f>
        <v>0</v>
      </c>
      <c r="J172" s="4">
        <f>'4.1 Comptes 2020 natures'!J171/'4.1 Comptes 2020 natures'!J2</f>
        <v>0</v>
      </c>
      <c r="K172" s="4">
        <f>'4.1 Comptes 2020 natures'!K171/'4.1 Comptes 2020 natures'!K2</f>
        <v>0</v>
      </c>
      <c r="L172" s="4">
        <f>'4.1 Comptes 2020 natures'!L171/'4.1 Comptes 2020 natures'!L2</f>
        <v>0</v>
      </c>
      <c r="M172" s="4">
        <f>'4.1 Comptes 2020 natures'!M171/'4.1 Comptes 2020 natures'!M2</f>
        <v>0</v>
      </c>
      <c r="N172" s="4">
        <f>'4.1 Comptes 2020 natures'!N171/'4.1 Comptes 2020 natures'!N2</f>
        <v>0</v>
      </c>
      <c r="O172" s="4">
        <f>'4.1 Comptes 2020 natures'!O171/'4.1 Comptes 2020 natures'!O2</f>
        <v>0</v>
      </c>
      <c r="P172" s="4">
        <f>'4.1 Comptes 2020 natures'!P171/'4.1 Comptes 2020 natures'!P2</f>
        <v>0</v>
      </c>
      <c r="Q172" s="4">
        <f>'4.1 Comptes 2020 natures'!Q171/'4.1 Comptes 2020 natures'!Q2</f>
        <v>0</v>
      </c>
      <c r="R172" s="4">
        <f>'4.1 Comptes 2020 natures'!R171/'4.1 Comptes 2020 natures'!R2</f>
        <v>0</v>
      </c>
      <c r="S172" s="4">
        <f>'4.1 Comptes 2020 natures'!S171/'4.1 Comptes 2020 natures'!S2</f>
        <v>0</v>
      </c>
      <c r="T172" s="4">
        <f>'4.1 Comptes 2020 natures'!T171/'4.1 Comptes 2020 natures'!T2</f>
        <v>0</v>
      </c>
      <c r="U172" s="4">
        <f>'4.1 Comptes 2020 natures'!U171/'4.1 Comptes 2020 natures'!U2</f>
        <v>0</v>
      </c>
      <c r="V172" s="4">
        <f>'4.1 Comptes 2020 natures'!V171/'4.1 Comptes 2020 natures'!V2</f>
        <v>0</v>
      </c>
      <c r="W172" s="4">
        <f>'4.1 Comptes 2020 natures'!W171/'4.1 Comptes 2020 natures'!W2</f>
        <v>0</v>
      </c>
      <c r="X172" s="4">
        <f>'4.1 Comptes 2020 natures'!X171/'4.1 Comptes 2020 natures'!X2</f>
        <v>0</v>
      </c>
      <c r="Y172" s="4">
        <f>'4.1 Comptes 2020 natures'!Y171/'4.1 Comptes 2020 natures'!Y2</f>
        <v>0</v>
      </c>
      <c r="Z172" s="4">
        <f>'4.1 Comptes 2020 natures'!Z171/'4.1 Comptes 2020 natures'!Z2</f>
        <v>0</v>
      </c>
      <c r="AA172" s="4">
        <f>'4.1 Comptes 2020 natures'!AA171/'4.1 Comptes 2020 natures'!AA2</f>
        <v>0</v>
      </c>
      <c r="AB172" s="4">
        <f>'4.1 Comptes 2020 natures'!AB171/'4.1 Comptes 2020 natures'!AB2</f>
        <v>0</v>
      </c>
      <c r="AC172" s="4">
        <f>'4.1 Comptes 2020 natures'!AC171/'4.1 Comptes 2020 natures'!AC2</f>
        <v>0</v>
      </c>
      <c r="AD172" s="4">
        <f>'4.1 Comptes 2020 natures'!AD171/'4.1 Comptes 2020 natures'!AD2</f>
        <v>0</v>
      </c>
      <c r="AE172" s="4">
        <f>'4.1 Comptes 2020 natures'!AE171/'4.1 Comptes 2020 natures'!AE2</f>
        <v>0</v>
      </c>
      <c r="AF172" s="4">
        <f>'4.1 Comptes 2020 natures'!AF171/'4.1 Comptes 2020 natures'!AF2</f>
        <v>0</v>
      </c>
      <c r="AG172" s="4">
        <f>'4.1 Comptes 2020 natures'!AG171/'4.1 Comptes 2020 natures'!AG2</f>
        <v>0</v>
      </c>
      <c r="AH172" s="4">
        <f>'4.1 Comptes 2020 natures'!AH171/'4.1 Comptes 2020 natures'!AH2</f>
        <v>0</v>
      </c>
      <c r="AI172" s="4">
        <f>'4.1 Comptes 2020 natures'!AI171/'4.1 Comptes 2020 natures'!AI2</f>
        <v>0</v>
      </c>
      <c r="AJ172" s="4">
        <f>'4.1 Comptes 2020 natures'!AJ171/'4.1 Comptes 2020 natures'!AJ2</f>
        <v>0</v>
      </c>
      <c r="AK172" s="4">
        <f>'4.1 Comptes 2020 natures'!AK171/'4.1 Comptes 2020 natures'!AK2</f>
        <v>0</v>
      </c>
      <c r="AL172" s="4">
        <f>'4.1 Comptes 2020 natures'!AL171/'4.1 Comptes 2020 natures'!AL2</f>
        <v>0</v>
      </c>
      <c r="AM172" s="4">
        <f>'4.1 Comptes 2020 natures'!AM171/'4.1 Comptes 2020 natures'!AM2</f>
        <v>0</v>
      </c>
      <c r="AN172" s="4">
        <f>'4.1 Comptes 2020 natures'!AN171/'4.1 Comptes 2020 natures'!AN2</f>
        <v>0</v>
      </c>
      <c r="AO172" s="4">
        <f>'4.1 Comptes 2020 natures'!AO171/'4.1 Comptes 2020 natures'!AO2</f>
        <v>0</v>
      </c>
      <c r="AP172" s="4">
        <f>'4.1 Comptes 2020 natures'!AP171/'4.1 Comptes 2020 natures'!AP2</f>
        <v>0</v>
      </c>
      <c r="AQ172" s="4">
        <f>'4.1 Comptes 2020 natures'!AQ171/'4.1 Comptes 2020 natures'!AQ2</f>
        <v>0</v>
      </c>
      <c r="AR172" s="4">
        <f>'4.1 Comptes 2020 natures'!AR171/'4.1 Comptes 2020 natures'!AR2</f>
        <v>0</v>
      </c>
      <c r="AS172" s="4">
        <f>'4.1 Comptes 2020 natures'!AS171/'4.1 Comptes 2020 natures'!AS2</f>
        <v>0</v>
      </c>
      <c r="AT172" s="4">
        <f>'4.1 Comptes 2020 natures'!AT171/'4.1 Comptes 2020 natures'!AT2</f>
        <v>0</v>
      </c>
      <c r="AU172" s="4">
        <f>'4.1 Comptes 2020 natures'!AU171/'4.1 Comptes 2020 natures'!AU2</f>
        <v>0</v>
      </c>
      <c r="AV172" s="4">
        <f>'4.1 Comptes 2020 natures'!AV171/'4.1 Comptes 2020 natures'!AV2</f>
        <v>0</v>
      </c>
      <c r="AW172" s="4">
        <f>'4.1 Comptes 2020 natures'!AW171/'4.1 Comptes 2020 natures'!AW2</f>
        <v>0</v>
      </c>
      <c r="AX172" s="4">
        <f>'4.1 Comptes 2020 natures'!AX171/'4.1 Comptes 2020 natures'!AX2</f>
        <v>0</v>
      </c>
      <c r="AY172" s="4">
        <f>'4.1 Comptes 2020 natures'!AY171/'4.1 Comptes 2020 natures'!AY2</f>
        <v>0</v>
      </c>
      <c r="AZ172" s="4">
        <f>'4.1 Comptes 2020 natures'!AZ171/'4.1 Comptes 2020 natures'!AZ2</f>
        <v>0</v>
      </c>
      <c r="BA172" s="4">
        <f>'4.1 Comptes 2020 natures'!BA171/'4.1 Comptes 2020 natures'!BA2</f>
        <v>0</v>
      </c>
      <c r="BB172" s="4">
        <f>'4.1 Comptes 2020 natures'!BB171/'4.1 Comptes 2020 natures'!BB2</f>
        <v>0</v>
      </c>
      <c r="BC172" s="4">
        <f>'4.1 Comptes 2020 natures'!BC171/'4.1 Comptes 2020 natures'!BC2</f>
        <v>0</v>
      </c>
      <c r="BD172" s="4">
        <f>'4.1 Comptes 2020 natures'!BD171/'4.1 Comptes 2020 natures'!BD2</f>
        <v>0</v>
      </c>
      <c r="BE172" s="4">
        <f>'4.1 Comptes 2020 natures'!BE171/'4.1 Comptes 2020 natures'!BE2</f>
        <v>0</v>
      </c>
      <c r="BF172" s="4">
        <f t="shared" si="109"/>
        <v>0</v>
      </c>
      <c r="BG172" s="4">
        <f t="shared" si="110"/>
        <v>0</v>
      </c>
      <c r="BH172" s="4">
        <f t="shared" si="111"/>
        <v>0</v>
      </c>
      <c r="BI172" s="4">
        <f t="shared" si="112"/>
        <v>0</v>
      </c>
    </row>
    <row r="173" spans="3:61" x14ac:dyDescent="0.3">
      <c r="C173">
        <v>36228</v>
      </c>
      <c r="D173" t="s">
        <v>279</v>
      </c>
      <c r="E173" s="4">
        <f>'4.1 Comptes 2020 natures'!E172/'4.1 Comptes 2020 natures'!E2</f>
        <v>0</v>
      </c>
      <c r="F173" s="4">
        <f>'4.1 Comptes 2020 natures'!F172/'4.1 Comptes 2020 natures'!F2</f>
        <v>0</v>
      </c>
      <c r="G173" s="4">
        <f>'4.1 Comptes 2020 natures'!G172/'4.1 Comptes 2020 natures'!G2</f>
        <v>0</v>
      </c>
      <c r="H173" s="4">
        <f>'4.1 Comptes 2020 natures'!H172/'4.1 Comptes 2020 natures'!H2</f>
        <v>0</v>
      </c>
      <c r="I173" s="4">
        <f>'4.1 Comptes 2020 natures'!I172/'4.1 Comptes 2020 natures'!I2</f>
        <v>0</v>
      </c>
      <c r="J173" s="4">
        <f>'4.1 Comptes 2020 natures'!J172/'4.1 Comptes 2020 natures'!J2</f>
        <v>0</v>
      </c>
      <c r="K173" s="4">
        <f>'4.1 Comptes 2020 natures'!K172/'4.1 Comptes 2020 natures'!K2</f>
        <v>0</v>
      </c>
      <c r="L173" s="4">
        <f>'4.1 Comptes 2020 natures'!L172/'4.1 Comptes 2020 natures'!L2</f>
        <v>0</v>
      </c>
      <c r="M173" s="4">
        <f>'4.1 Comptes 2020 natures'!M172/'4.1 Comptes 2020 natures'!M2</f>
        <v>0</v>
      </c>
      <c r="N173" s="4">
        <f>'4.1 Comptes 2020 natures'!N172/'4.1 Comptes 2020 natures'!N2</f>
        <v>0</v>
      </c>
      <c r="O173" s="4">
        <f>'4.1 Comptes 2020 natures'!O172/'4.1 Comptes 2020 natures'!O2</f>
        <v>0</v>
      </c>
      <c r="P173" s="4">
        <f>'4.1 Comptes 2020 natures'!P172/'4.1 Comptes 2020 natures'!P2</f>
        <v>0</v>
      </c>
      <c r="Q173" s="4">
        <f>'4.1 Comptes 2020 natures'!Q172/'4.1 Comptes 2020 natures'!Q2</f>
        <v>0</v>
      </c>
      <c r="R173" s="4">
        <f>'4.1 Comptes 2020 natures'!R172/'4.1 Comptes 2020 natures'!R2</f>
        <v>0</v>
      </c>
      <c r="S173" s="4">
        <f>'4.1 Comptes 2020 natures'!S172/'4.1 Comptes 2020 natures'!S2</f>
        <v>0</v>
      </c>
      <c r="T173" s="4">
        <f>'4.1 Comptes 2020 natures'!T172/'4.1 Comptes 2020 natures'!T2</f>
        <v>0</v>
      </c>
      <c r="U173" s="4">
        <f>'4.1 Comptes 2020 natures'!U172/'4.1 Comptes 2020 natures'!U2</f>
        <v>0</v>
      </c>
      <c r="V173" s="4">
        <f>'4.1 Comptes 2020 natures'!V172/'4.1 Comptes 2020 natures'!V2</f>
        <v>0</v>
      </c>
      <c r="W173" s="4">
        <f>'4.1 Comptes 2020 natures'!W172/'4.1 Comptes 2020 natures'!W2</f>
        <v>0</v>
      </c>
      <c r="X173" s="4">
        <f>'4.1 Comptes 2020 natures'!X172/'4.1 Comptes 2020 natures'!X2</f>
        <v>0</v>
      </c>
      <c r="Y173" s="4">
        <f>'4.1 Comptes 2020 natures'!Y172/'4.1 Comptes 2020 natures'!Y2</f>
        <v>0</v>
      </c>
      <c r="Z173" s="4">
        <f>'4.1 Comptes 2020 natures'!Z172/'4.1 Comptes 2020 natures'!Z2</f>
        <v>0</v>
      </c>
      <c r="AA173" s="4">
        <f>'4.1 Comptes 2020 natures'!AA172/'4.1 Comptes 2020 natures'!AA2</f>
        <v>0</v>
      </c>
      <c r="AB173" s="4">
        <f>'4.1 Comptes 2020 natures'!AB172/'4.1 Comptes 2020 natures'!AB2</f>
        <v>0</v>
      </c>
      <c r="AC173" s="4">
        <f>'4.1 Comptes 2020 natures'!AC172/'4.1 Comptes 2020 natures'!AC2</f>
        <v>0</v>
      </c>
      <c r="AD173" s="4">
        <f>'4.1 Comptes 2020 natures'!AD172/'4.1 Comptes 2020 natures'!AD2</f>
        <v>0</v>
      </c>
      <c r="AE173" s="4">
        <f>'4.1 Comptes 2020 natures'!AE172/'4.1 Comptes 2020 natures'!AE2</f>
        <v>0</v>
      </c>
      <c r="AF173" s="4">
        <f>'4.1 Comptes 2020 natures'!AF172/'4.1 Comptes 2020 natures'!AF2</f>
        <v>0</v>
      </c>
      <c r="AG173" s="4">
        <f>'4.1 Comptes 2020 natures'!AG172/'4.1 Comptes 2020 natures'!AG2</f>
        <v>0</v>
      </c>
      <c r="AH173" s="4">
        <f>'4.1 Comptes 2020 natures'!AH172/'4.1 Comptes 2020 natures'!AH2</f>
        <v>0</v>
      </c>
      <c r="AI173" s="4">
        <f>'4.1 Comptes 2020 natures'!AI172/'4.1 Comptes 2020 natures'!AI2</f>
        <v>0</v>
      </c>
      <c r="AJ173" s="4">
        <f>'4.1 Comptes 2020 natures'!AJ172/'4.1 Comptes 2020 natures'!AJ2</f>
        <v>0</v>
      </c>
      <c r="AK173" s="4">
        <f>'4.1 Comptes 2020 natures'!AK172/'4.1 Comptes 2020 natures'!AK2</f>
        <v>0</v>
      </c>
      <c r="AL173" s="4">
        <f>'4.1 Comptes 2020 natures'!AL172/'4.1 Comptes 2020 natures'!AL2</f>
        <v>0</v>
      </c>
      <c r="AM173" s="4">
        <f>'4.1 Comptes 2020 natures'!AM172/'4.1 Comptes 2020 natures'!AM2</f>
        <v>0</v>
      </c>
      <c r="AN173" s="4">
        <f>'4.1 Comptes 2020 natures'!AN172/'4.1 Comptes 2020 natures'!AN2</f>
        <v>0</v>
      </c>
      <c r="AO173" s="4">
        <f>'4.1 Comptes 2020 natures'!AO172/'4.1 Comptes 2020 natures'!AO2</f>
        <v>0</v>
      </c>
      <c r="AP173" s="4">
        <f>'4.1 Comptes 2020 natures'!AP172/'4.1 Comptes 2020 natures'!AP2</f>
        <v>0</v>
      </c>
      <c r="AQ173" s="4">
        <f>'4.1 Comptes 2020 natures'!AQ172/'4.1 Comptes 2020 natures'!AQ2</f>
        <v>0</v>
      </c>
      <c r="AR173" s="4">
        <f>'4.1 Comptes 2020 natures'!AR172/'4.1 Comptes 2020 natures'!AR2</f>
        <v>0</v>
      </c>
      <c r="AS173" s="4">
        <f>'4.1 Comptes 2020 natures'!AS172/'4.1 Comptes 2020 natures'!AS2</f>
        <v>0</v>
      </c>
      <c r="AT173" s="4">
        <f>'4.1 Comptes 2020 natures'!AT172/'4.1 Comptes 2020 natures'!AT2</f>
        <v>0</v>
      </c>
      <c r="AU173" s="4">
        <f>'4.1 Comptes 2020 natures'!AU172/'4.1 Comptes 2020 natures'!AU2</f>
        <v>0</v>
      </c>
      <c r="AV173" s="4">
        <f>'4.1 Comptes 2020 natures'!AV172/'4.1 Comptes 2020 natures'!AV2</f>
        <v>0</v>
      </c>
      <c r="AW173" s="4">
        <f>'4.1 Comptes 2020 natures'!AW172/'4.1 Comptes 2020 natures'!AW2</f>
        <v>0</v>
      </c>
      <c r="AX173" s="4">
        <f>'4.1 Comptes 2020 natures'!AX172/'4.1 Comptes 2020 natures'!AX2</f>
        <v>0</v>
      </c>
      <c r="AY173" s="4">
        <f>'4.1 Comptes 2020 natures'!AY172/'4.1 Comptes 2020 natures'!AY2</f>
        <v>0</v>
      </c>
      <c r="AZ173" s="4">
        <f>'4.1 Comptes 2020 natures'!AZ172/'4.1 Comptes 2020 natures'!AZ2</f>
        <v>0</v>
      </c>
      <c r="BA173" s="4">
        <f>'4.1 Comptes 2020 natures'!BA172/'4.1 Comptes 2020 natures'!BA2</f>
        <v>0</v>
      </c>
      <c r="BB173" s="4">
        <f>'4.1 Comptes 2020 natures'!BB172/'4.1 Comptes 2020 natures'!BB2</f>
        <v>0</v>
      </c>
      <c r="BC173" s="4">
        <f>'4.1 Comptes 2020 natures'!BC172/'4.1 Comptes 2020 natures'!BC2</f>
        <v>0</v>
      </c>
      <c r="BD173" s="4">
        <f>'4.1 Comptes 2020 natures'!BD172/'4.1 Comptes 2020 natures'!BD2</f>
        <v>0</v>
      </c>
      <c r="BE173" s="4">
        <f>'4.1 Comptes 2020 natures'!BE172/'4.1 Comptes 2020 natures'!BE2</f>
        <v>0</v>
      </c>
      <c r="BF173" s="4">
        <f t="shared" si="109"/>
        <v>0</v>
      </c>
      <c r="BG173" s="4">
        <f t="shared" si="110"/>
        <v>0</v>
      </c>
      <c r="BH173" s="4">
        <f t="shared" si="111"/>
        <v>0</v>
      </c>
      <c r="BI173" s="4">
        <f t="shared" si="112"/>
        <v>0</v>
      </c>
    </row>
    <row r="174" spans="3:61" x14ac:dyDescent="0.3">
      <c r="C174">
        <v>3898</v>
      </c>
      <c r="D174" t="s">
        <v>299</v>
      </c>
      <c r="E174" s="4">
        <f>'4.1 Comptes 2020 natures'!E173/'4.1 Comptes 2020 natures'!E2</f>
        <v>0</v>
      </c>
      <c r="F174" s="4">
        <f>'4.1 Comptes 2020 natures'!F173/'4.1 Comptes 2020 natures'!F2</f>
        <v>0</v>
      </c>
      <c r="G174" s="4">
        <f>'4.1 Comptes 2020 natures'!G173/'4.1 Comptes 2020 natures'!G2</f>
        <v>0</v>
      </c>
      <c r="H174" s="4">
        <f>'4.1 Comptes 2020 natures'!H173/'4.1 Comptes 2020 natures'!H2</f>
        <v>0</v>
      </c>
      <c r="I174" s="4">
        <f>'4.1 Comptes 2020 natures'!I173/'4.1 Comptes 2020 natures'!I2</f>
        <v>0</v>
      </c>
      <c r="J174" s="4">
        <f>'4.1 Comptes 2020 natures'!J173/'4.1 Comptes 2020 natures'!J2</f>
        <v>0</v>
      </c>
      <c r="K174" s="4">
        <f>'4.1 Comptes 2020 natures'!K173/'4.1 Comptes 2020 natures'!K2</f>
        <v>0</v>
      </c>
      <c r="L174" s="4">
        <f>'4.1 Comptes 2020 natures'!L173/'4.1 Comptes 2020 natures'!L2</f>
        <v>0</v>
      </c>
      <c r="M174" s="4">
        <f>'4.1 Comptes 2020 natures'!M173/'4.1 Comptes 2020 natures'!M2</f>
        <v>0</v>
      </c>
      <c r="N174" s="4">
        <f>'4.1 Comptes 2020 natures'!N173/'4.1 Comptes 2020 natures'!N2</f>
        <v>0</v>
      </c>
      <c r="O174" s="4">
        <f>'4.1 Comptes 2020 natures'!O173/'4.1 Comptes 2020 natures'!O2</f>
        <v>0</v>
      </c>
      <c r="P174" s="4">
        <f>'4.1 Comptes 2020 natures'!P173/'4.1 Comptes 2020 natures'!P2</f>
        <v>0</v>
      </c>
      <c r="Q174" s="4">
        <f>'4.1 Comptes 2020 natures'!Q173/'4.1 Comptes 2020 natures'!Q2</f>
        <v>0</v>
      </c>
      <c r="R174" s="4">
        <f>'4.1 Comptes 2020 natures'!R173/'4.1 Comptes 2020 natures'!R2</f>
        <v>0</v>
      </c>
      <c r="S174" s="4">
        <f>'4.1 Comptes 2020 natures'!S173/'4.1 Comptes 2020 natures'!S2</f>
        <v>0</v>
      </c>
      <c r="T174" s="4">
        <f>'4.1 Comptes 2020 natures'!T173/'4.1 Comptes 2020 natures'!T2</f>
        <v>0</v>
      </c>
      <c r="U174" s="4">
        <f>'4.1 Comptes 2020 natures'!U173/'4.1 Comptes 2020 natures'!U2</f>
        <v>0</v>
      </c>
      <c r="V174" s="4">
        <f>'4.1 Comptes 2020 natures'!V173/'4.1 Comptes 2020 natures'!V2</f>
        <v>0</v>
      </c>
      <c r="W174" s="4">
        <f>'4.1 Comptes 2020 natures'!W173/'4.1 Comptes 2020 natures'!W2</f>
        <v>0</v>
      </c>
      <c r="X174" s="4">
        <f>'4.1 Comptes 2020 natures'!X173/'4.1 Comptes 2020 natures'!X2</f>
        <v>0</v>
      </c>
      <c r="Y174" s="4">
        <f>'4.1 Comptes 2020 natures'!Y173/'4.1 Comptes 2020 natures'!Y2</f>
        <v>0</v>
      </c>
      <c r="Z174" s="4">
        <f>'4.1 Comptes 2020 natures'!Z173/'4.1 Comptes 2020 natures'!Z2</f>
        <v>0</v>
      </c>
      <c r="AA174" s="4">
        <f>'4.1 Comptes 2020 natures'!AA173/'4.1 Comptes 2020 natures'!AA2</f>
        <v>0</v>
      </c>
      <c r="AB174" s="4">
        <f>'4.1 Comptes 2020 natures'!AB173/'4.1 Comptes 2020 natures'!AB2</f>
        <v>0</v>
      </c>
      <c r="AC174" s="4">
        <f>'4.1 Comptes 2020 natures'!AC173/'4.1 Comptes 2020 natures'!AC2</f>
        <v>0</v>
      </c>
      <c r="AD174" s="4">
        <f>'4.1 Comptes 2020 natures'!AD173/'4.1 Comptes 2020 natures'!AD2</f>
        <v>0</v>
      </c>
      <c r="AE174" s="4">
        <f>'4.1 Comptes 2020 natures'!AE173/'4.1 Comptes 2020 natures'!AE2</f>
        <v>0</v>
      </c>
      <c r="AF174" s="4">
        <f>'4.1 Comptes 2020 natures'!AF173/'4.1 Comptes 2020 natures'!AF2</f>
        <v>0</v>
      </c>
      <c r="AG174" s="4">
        <f>'4.1 Comptes 2020 natures'!AG173/'4.1 Comptes 2020 natures'!AG2</f>
        <v>0</v>
      </c>
      <c r="AH174" s="4">
        <f>'4.1 Comptes 2020 natures'!AH173/'4.1 Comptes 2020 natures'!AH2</f>
        <v>0</v>
      </c>
      <c r="AI174" s="4">
        <f>'4.1 Comptes 2020 natures'!AI173/'4.1 Comptes 2020 natures'!AI2</f>
        <v>0</v>
      </c>
      <c r="AJ174" s="4">
        <f>'4.1 Comptes 2020 natures'!AJ173/'4.1 Comptes 2020 natures'!AJ2</f>
        <v>0</v>
      </c>
      <c r="AK174" s="4">
        <f>'4.1 Comptes 2020 natures'!AK173/'4.1 Comptes 2020 natures'!AK2</f>
        <v>0</v>
      </c>
      <c r="AL174" s="4">
        <f>'4.1 Comptes 2020 natures'!AL173/'4.1 Comptes 2020 natures'!AL2</f>
        <v>0</v>
      </c>
      <c r="AM174" s="4">
        <f>'4.1 Comptes 2020 natures'!AM173/'4.1 Comptes 2020 natures'!AM2</f>
        <v>0</v>
      </c>
      <c r="AN174" s="4">
        <f>'4.1 Comptes 2020 natures'!AN173/'4.1 Comptes 2020 natures'!AN2</f>
        <v>0</v>
      </c>
      <c r="AO174" s="4">
        <f>'4.1 Comptes 2020 natures'!AO173/'4.1 Comptes 2020 natures'!AO2</f>
        <v>0</v>
      </c>
      <c r="AP174" s="4">
        <f>'4.1 Comptes 2020 natures'!AP173/'4.1 Comptes 2020 natures'!AP2</f>
        <v>0</v>
      </c>
      <c r="AQ174" s="4">
        <f>'4.1 Comptes 2020 natures'!AQ173/'4.1 Comptes 2020 natures'!AQ2</f>
        <v>0</v>
      </c>
      <c r="AR174" s="4">
        <f>'4.1 Comptes 2020 natures'!AR173/'4.1 Comptes 2020 natures'!AR2</f>
        <v>0</v>
      </c>
      <c r="AS174" s="4">
        <f>'4.1 Comptes 2020 natures'!AS173/'4.1 Comptes 2020 natures'!AS2</f>
        <v>0</v>
      </c>
      <c r="AT174" s="4">
        <f>'4.1 Comptes 2020 natures'!AT173/'4.1 Comptes 2020 natures'!AT2</f>
        <v>0</v>
      </c>
      <c r="AU174" s="4">
        <f>'4.1 Comptes 2020 natures'!AU173/'4.1 Comptes 2020 natures'!AU2</f>
        <v>0</v>
      </c>
      <c r="AV174" s="4">
        <f>'4.1 Comptes 2020 natures'!AV173/'4.1 Comptes 2020 natures'!AV2</f>
        <v>0</v>
      </c>
      <c r="AW174" s="4">
        <f>'4.1 Comptes 2020 natures'!AW173/'4.1 Comptes 2020 natures'!AW2</f>
        <v>0</v>
      </c>
      <c r="AX174" s="4">
        <f>'4.1 Comptes 2020 natures'!AX173/'4.1 Comptes 2020 natures'!AX2</f>
        <v>0</v>
      </c>
      <c r="AY174" s="4">
        <f>'4.1 Comptes 2020 natures'!AY173/'4.1 Comptes 2020 natures'!AY2</f>
        <v>0</v>
      </c>
      <c r="AZ174" s="4">
        <f>'4.1 Comptes 2020 natures'!AZ173/'4.1 Comptes 2020 natures'!AZ2</f>
        <v>0</v>
      </c>
      <c r="BA174" s="4">
        <f>'4.1 Comptes 2020 natures'!BA173/'4.1 Comptes 2020 natures'!BA2</f>
        <v>0</v>
      </c>
      <c r="BB174" s="4">
        <f>'4.1 Comptes 2020 natures'!BB173/'4.1 Comptes 2020 natures'!BB2</f>
        <v>0</v>
      </c>
      <c r="BC174" s="4">
        <f>'4.1 Comptes 2020 natures'!BC173/'4.1 Comptes 2020 natures'!BC2</f>
        <v>0</v>
      </c>
      <c r="BD174" s="4">
        <f>'4.1 Comptes 2020 natures'!BD173/'4.1 Comptes 2020 natures'!BD2</f>
        <v>0</v>
      </c>
      <c r="BE174" s="4">
        <f>'4.1 Comptes 2020 natures'!BE173/'4.1 Comptes 2020 natures'!BE2</f>
        <v>0</v>
      </c>
      <c r="BF174" s="4">
        <f t="shared" si="109"/>
        <v>0</v>
      </c>
      <c r="BG174" s="4">
        <f t="shared" si="110"/>
        <v>0</v>
      </c>
      <c r="BH174" s="4">
        <f t="shared" si="111"/>
        <v>0</v>
      </c>
      <c r="BI174" s="4">
        <f t="shared" si="112"/>
        <v>0</v>
      </c>
    </row>
    <row r="175" spans="3:61" x14ac:dyDescent="0.3">
      <c r="C175">
        <v>90010</v>
      </c>
      <c r="D175" t="s">
        <v>305</v>
      </c>
      <c r="E175" s="4">
        <f>'4.1 Comptes 2020 natures'!E174/'4.1 Comptes 2020 natures'!E2</f>
        <v>0</v>
      </c>
      <c r="F175" s="4">
        <f>'4.1 Comptes 2020 natures'!F174/'4.1 Comptes 2020 natures'!F2</f>
        <v>0</v>
      </c>
      <c r="G175" s="4">
        <f>'4.1 Comptes 2020 natures'!G174/'4.1 Comptes 2020 natures'!G2</f>
        <v>0</v>
      </c>
      <c r="H175" s="4">
        <f>'4.1 Comptes 2020 natures'!H174/'4.1 Comptes 2020 natures'!H2</f>
        <v>0</v>
      </c>
      <c r="I175" s="4">
        <f>'4.1 Comptes 2020 natures'!I174/'4.1 Comptes 2020 natures'!I2</f>
        <v>0</v>
      </c>
      <c r="J175" s="4">
        <f>'4.1 Comptes 2020 natures'!J174/'4.1 Comptes 2020 natures'!J2</f>
        <v>0</v>
      </c>
      <c r="K175" s="4">
        <f>'4.1 Comptes 2020 natures'!K174/'4.1 Comptes 2020 natures'!K2</f>
        <v>0</v>
      </c>
      <c r="L175" s="4">
        <f>'4.1 Comptes 2020 natures'!L174/'4.1 Comptes 2020 natures'!L2</f>
        <v>0</v>
      </c>
      <c r="M175" s="4">
        <f>'4.1 Comptes 2020 natures'!M174/'4.1 Comptes 2020 natures'!M2</f>
        <v>0</v>
      </c>
      <c r="N175" s="4">
        <f>'4.1 Comptes 2020 natures'!N174/'4.1 Comptes 2020 natures'!N2</f>
        <v>0</v>
      </c>
      <c r="O175" s="4">
        <f>'4.1 Comptes 2020 natures'!O174/'4.1 Comptes 2020 natures'!O2</f>
        <v>0</v>
      </c>
      <c r="P175" s="4">
        <f>'4.1 Comptes 2020 natures'!P174/'4.1 Comptes 2020 natures'!P2</f>
        <v>0</v>
      </c>
      <c r="Q175" s="4">
        <f>'4.1 Comptes 2020 natures'!Q174/'4.1 Comptes 2020 natures'!Q2</f>
        <v>0</v>
      </c>
      <c r="R175" s="4">
        <f>'4.1 Comptes 2020 natures'!R174/'4.1 Comptes 2020 natures'!R2</f>
        <v>0</v>
      </c>
      <c r="S175" s="4">
        <f>'4.1 Comptes 2020 natures'!S174/'4.1 Comptes 2020 natures'!S2</f>
        <v>0</v>
      </c>
      <c r="T175" s="4">
        <f>'4.1 Comptes 2020 natures'!T174/'4.1 Comptes 2020 natures'!T2</f>
        <v>0</v>
      </c>
      <c r="U175" s="4">
        <f>'4.1 Comptes 2020 natures'!U174/'4.1 Comptes 2020 natures'!U2</f>
        <v>0</v>
      </c>
      <c r="V175" s="4">
        <f>'4.1 Comptes 2020 natures'!V174/'4.1 Comptes 2020 natures'!V2</f>
        <v>0</v>
      </c>
      <c r="W175" s="4">
        <f>'4.1 Comptes 2020 natures'!W174/'4.1 Comptes 2020 natures'!W2</f>
        <v>0</v>
      </c>
      <c r="X175" s="4">
        <f>'4.1 Comptes 2020 natures'!X174/'4.1 Comptes 2020 natures'!X2</f>
        <v>0</v>
      </c>
      <c r="Y175" s="4">
        <f>'4.1 Comptes 2020 natures'!Y174/'4.1 Comptes 2020 natures'!Y2</f>
        <v>0</v>
      </c>
      <c r="Z175" s="4">
        <f>'4.1 Comptes 2020 natures'!Z174/'4.1 Comptes 2020 natures'!Z2</f>
        <v>0</v>
      </c>
      <c r="AA175" s="4">
        <f>'4.1 Comptes 2020 natures'!AA174/'4.1 Comptes 2020 natures'!AA2</f>
        <v>0</v>
      </c>
      <c r="AB175" s="4">
        <f>'4.1 Comptes 2020 natures'!AB174/'4.1 Comptes 2020 natures'!AB2</f>
        <v>0</v>
      </c>
      <c r="AC175" s="4">
        <f>'4.1 Comptes 2020 natures'!AC174/'4.1 Comptes 2020 natures'!AC2</f>
        <v>0</v>
      </c>
      <c r="AD175" s="4">
        <f>'4.1 Comptes 2020 natures'!AD174/'4.1 Comptes 2020 natures'!AD2</f>
        <v>0</v>
      </c>
      <c r="AE175" s="4">
        <f>'4.1 Comptes 2020 natures'!AE174/'4.1 Comptes 2020 natures'!AE2</f>
        <v>0</v>
      </c>
      <c r="AF175" s="4">
        <f>'4.1 Comptes 2020 natures'!AF174/'4.1 Comptes 2020 natures'!AF2</f>
        <v>0</v>
      </c>
      <c r="AG175" s="4">
        <f>'4.1 Comptes 2020 natures'!AG174/'4.1 Comptes 2020 natures'!AG2</f>
        <v>0</v>
      </c>
      <c r="AH175" s="4">
        <f>'4.1 Comptes 2020 natures'!AH174/'4.1 Comptes 2020 natures'!AH2</f>
        <v>0</v>
      </c>
      <c r="AI175" s="4">
        <f>'4.1 Comptes 2020 natures'!AI174/'4.1 Comptes 2020 natures'!AI2</f>
        <v>0</v>
      </c>
      <c r="AJ175" s="4">
        <f>'4.1 Comptes 2020 natures'!AJ174/'4.1 Comptes 2020 natures'!AJ2</f>
        <v>0</v>
      </c>
      <c r="AK175" s="4">
        <f>'4.1 Comptes 2020 natures'!AK174/'4.1 Comptes 2020 natures'!AK2</f>
        <v>0</v>
      </c>
      <c r="AL175" s="4">
        <f>'4.1 Comptes 2020 natures'!AL174/'4.1 Comptes 2020 natures'!AL2</f>
        <v>0</v>
      </c>
      <c r="AM175" s="4">
        <f>'4.1 Comptes 2020 natures'!AM174/'4.1 Comptes 2020 natures'!AM2</f>
        <v>0</v>
      </c>
      <c r="AN175" s="4">
        <f>'4.1 Comptes 2020 natures'!AN174/'4.1 Comptes 2020 natures'!AN2</f>
        <v>0</v>
      </c>
      <c r="AO175" s="4">
        <f>'4.1 Comptes 2020 natures'!AO174/'4.1 Comptes 2020 natures'!AO2</f>
        <v>0</v>
      </c>
      <c r="AP175" s="4">
        <f>'4.1 Comptes 2020 natures'!AP174/'4.1 Comptes 2020 natures'!AP2</f>
        <v>0</v>
      </c>
      <c r="AQ175" s="4">
        <f>'4.1 Comptes 2020 natures'!AQ174/'4.1 Comptes 2020 natures'!AQ2</f>
        <v>0</v>
      </c>
      <c r="AR175" s="4">
        <f>'4.1 Comptes 2020 natures'!AR174/'4.1 Comptes 2020 natures'!AR2</f>
        <v>0</v>
      </c>
      <c r="AS175" s="4">
        <f>'4.1 Comptes 2020 natures'!AS174/'4.1 Comptes 2020 natures'!AS2</f>
        <v>0</v>
      </c>
      <c r="AT175" s="4">
        <f>'4.1 Comptes 2020 natures'!AT174/'4.1 Comptes 2020 natures'!AT2</f>
        <v>0</v>
      </c>
      <c r="AU175" s="4">
        <f>'4.1 Comptes 2020 natures'!AU174/'4.1 Comptes 2020 natures'!AU2</f>
        <v>0</v>
      </c>
      <c r="AV175" s="4">
        <f>'4.1 Comptes 2020 natures'!AV174/'4.1 Comptes 2020 natures'!AV2</f>
        <v>0</v>
      </c>
      <c r="AW175" s="4">
        <f>'4.1 Comptes 2020 natures'!AW174/'4.1 Comptes 2020 natures'!AW2</f>
        <v>0</v>
      </c>
      <c r="AX175" s="4">
        <f>'4.1 Comptes 2020 natures'!AX174/'4.1 Comptes 2020 natures'!AX2</f>
        <v>0</v>
      </c>
      <c r="AY175" s="4">
        <f>'4.1 Comptes 2020 natures'!AY174/'4.1 Comptes 2020 natures'!AY2</f>
        <v>0</v>
      </c>
      <c r="AZ175" s="4">
        <f>'4.1 Comptes 2020 natures'!AZ174/'4.1 Comptes 2020 natures'!AZ2</f>
        <v>0</v>
      </c>
      <c r="BA175" s="4">
        <f>'4.1 Comptes 2020 natures'!BA174/'4.1 Comptes 2020 natures'!BA2</f>
        <v>0</v>
      </c>
      <c r="BB175" s="4">
        <f>'4.1 Comptes 2020 natures'!BB174/'4.1 Comptes 2020 natures'!BB2</f>
        <v>0</v>
      </c>
      <c r="BC175" s="4">
        <f>'4.1 Comptes 2020 natures'!BC174/'4.1 Comptes 2020 natures'!BC2</f>
        <v>0</v>
      </c>
      <c r="BD175" s="4">
        <f>'4.1 Comptes 2020 natures'!BD174/'4.1 Comptes 2020 natures'!BD2</f>
        <v>0</v>
      </c>
      <c r="BE175" s="4">
        <f>'4.1 Comptes 2020 natures'!BE174/'4.1 Comptes 2020 natures'!BE2</f>
        <v>0</v>
      </c>
      <c r="BF175" s="4">
        <f t="shared" si="109"/>
        <v>0</v>
      </c>
      <c r="BG175" s="4">
        <f t="shared" si="110"/>
        <v>0</v>
      </c>
      <c r="BH175" s="4">
        <f t="shared" si="111"/>
        <v>0</v>
      </c>
      <c r="BI175" s="4">
        <f t="shared" si="112"/>
        <v>0</v>
      </c>
    </row>
    <row r="176" spans="3:61" x14ac:dyDescent="0.3">
      <c r="C176">
        <v>9031</v>
      </c>
      <c r="D176" t="s">
        <v>301</v>
      </c>
      <c r="E176" s="4">
        <f>'4.1 Comptes 2020 natures'!E175/'4.1 Comptes 2020 natures'!E2</f>
        <v>0</v>
      </c>
      <c r="F176" s="4">
        <f>'4.1 Comptes 2020 natures'!F175/'4.1 Comptes 2020 natures'!F2</f>
        <v>0</v>
      </c>
      <c r="G176" s="4">
        <f>'4.1 Comptes 2020 natures'!G175/'4.1 Comptes 2020 natures'!G2</f>
        <v>0</v>
      </c>
      <c r="H176" s="4">
        <f>'4.1 Comptes 2020 natures'!H175/'4.1 Comptes 2020 natures'!H2</f>
        <v>0</v>
      </c>
      <c r="I176" s="4">
        <f>'4.1 Comptes 2020 natures'!I175/'4.1 Comptes 2020 natures'!I2</f>
        <v>0</v>
      </c>
      <c r="J176" s="4">
        <f>'4.1 Comptes 2020 natures'!J175/'4.1 Comptes 2020 natures'!J2</f>
        <v>0</v>
      </c>
      <c r="K176" s="4">
        <f>'4.1 Comptes 2020 natures'!K175/'4.1 Comptes 2020 natures'!K2</f>
        <v>0</v>
      </c>
      <c r="L176" s="4">
        <f>'4.1 Comptes 2020 natures'!L175/'4.1 Comptes 2020 natures'!L2</f>
        <v>0</v>
      </c>
      <c r="M176" s="4">
        <f>'4.1 Comptes 2020 natures'!M175/'4.1 Comptes 2020 natures'!M2</f>
        <v>0</v>
      </c>
      <c r="N176" s="4">
        <f>'4.1 Comptes 2020 natures'!N175/'4.1 Comptes 2020 natures'!N2</f>
        <v>0</v>
      </c>
      <c r="O176" s="4">
        <f>'4.1 Comptes 2020 natures'!O175/'4.1 Comptes 2020 natures'!O2</f>
        <v>0</v>
      </c>
      <c r="P176" s="4">
        <f>'4.1 Comptes 2020 natures'!P175/'4.1 Comptes 2020 natures'!P2</f>
        <v>0</v>
      </c>
      <c r="Q176" s="4">
        <f>'4.1 Comptes 2020 natures'!Q175/'4.1 Comptes 2020 natures'!Q2</f>
        <v>0</v>
      </c>
      <c r="R176" s="4">
        <f>'4.1 Comptes 2020 natures'!R175/'4.1 Comptes 2020 natures'!R2</f>
        <v>0</v>
      </c>
      <c r="S176" s="4">
        <f>'4.1 Comptes 2020 natures'!S175/'4.1 Comptes 2020 natures'!S2</f>
        <v>0</v>
      </c>
      <c r="T176" s="4">
        <f>'4.1 Comptes 2020 natures'!T175/'4.1 Comptes 2020 natures'!T2</f>
        <v>0</v>
      </c>
      <c r="U176" s="4">
        <f>'4.1 Comptes 2020 natures'!U175/'4.1 Comptes 2020 natures'!U2</f>
        <v>0</v>
      </c>
      <c r="V176" s="4">
        <f>'4.1 Comptes 2020 natures'!V175/'4.1 Comptes 2020 natures'!V2</f>
        <v>0</v>
      </c>
      <c r="W176" s="4">
        <f>'4.1 Comptes 2020 natures'!W175/'4.1 Comptes 2020 natures'!W2</f>
        <v>0</v>
      </c>
      <c r="X176" s="4">
        <f>'4.1 Comptes 2020 natures'!X175/'4.1 Comptes 2020 natures'!X2</f>
        <v>0</v>
      </c>
      <c r="Y176" s="4">
        <f>'4.1 Comptes 2020 natures'!Y175/'4.1 Comptes 2020 natures'!Y2</f>
        <v>0</v>
      </c>
      <c r="Z176" s="4">
        <f>'4.1 Comptes 2020 natures'!Z175/'4.1 Comptes 2020 natures'!Z2</f>
        <v>0</v>
      </c>
      <c r="AA176" s="4">
        <f>'4.1 Comptes 2020 natures'!AA175/'4.1 Comptes 2020 natures'!AA2</f>
        <v>0</v>
      </c>
      <c r="AB176" s="4">
        <f>'4.1 Comptes 2020 natures'!AB175/'4.1 Comptes 2020 natures'!AB2</f>
        <v>0</v>
      </c>
      <c r="AC176" s="4">
        <f>'4.1 Comptes 2020 natures'!AC175/'4.1 Comptes 2020 natures'!AC2</f>
        <v>0</v>
      </c>
      <c r="AD176" s="4">
        <f>'4.1 Comptes 2020 natures'!AD175/'4.1 Comptes 2020 natures'!AD2</f>
        <v>0</v>
      </c>
      <c r="AE176" s="4">
        <f>'4.1 Comptes 2020 natures'!AE175/'4.1 Comptes 2020 natures'!AE2</f>
        <v>0</v>
      </c>
      <c r="AF176" s="4">
        <f>'4.1 Comptes 2020 natures'!AF175/'4.1 Comptes 2020 natures'!AF2</f>
        <v>0</v>
      </c>
      <c r="AG176" s="4">
        <f>'4.1 Comptes 2020 natures'!AG175/'4.1 Comptes 2020 natures'!AG2</f>
        <v>0</v>
      </c>
      <c r="AH176" s="4">
        <f>'4.1 Comptes 2020 natures'!AH175/'4.1 Comptes 2020 natures'!AH2</f>
        <v>0</v>
      </c>
      <c r="AI176" s="4">
        <f>'4.1 Comptes 2020 natures'!AI175/'4.1 Comptes 2020 natures'!AI2</f>
        <v>0</v>
      </c>
      <c r="AJ176" s="4">
        <f>'4.1 Comptes 2020 natures'!AJ175/'4.1 Comptes 2020 natures'!AJ2</f>
        <v>0</v>
      </c>
      <c r="AK176" s="4">
        <f>'4.1 Comptes 2020 natures'!AK175/'4.1 Comptes 2020 natures'!AK2</f>
        <v>0</v>
      </c>
      <c r="AL176" s="4">
        <f>'4.1 Comptes 2020 natures'!AL175/'4.1 Comptes 2020 natures'!AL2</f>
        <v>0</v>
      </c>
      <c r="AM176" s="4">
        <f>'4.1 Comptes 2020 natures'!AM175/'4.1 Comptes 2020 natures'!AM2</f>
        <v>0</v>
      </c>
      <c r="AN176" s="4">
        <f>'4.1 Comptes 2020 natures'!AN175/'4.1 Comptes 2020 natures'!AN2</f>
        <v>0</v>
      </c>
      <c r="AO176" s="4">
        <f>'4.1 Comptes 2020 natures'!AO175/'4.1 Comptes 2020 natures'!AO2</f>
        <v>0</v>
      </c>
      <c r="AP176" s="4">
        <f>'4.1 Comptes 2020 natures'!AP175/'4.1 Comptes 2020 natures'!AP2</f>
        <v>0</v>
      </c>
      <c r="AQ176" s="4">
        <f>'4.1 Comptes 2020 natures'!AQ175/'4.1 Comptes 2020 natures'!AQ2</f>
        <v>0</v>
      </c>
      <c r="AR176" s="4">
        <f>'4.1 Comptes 2020 natures'!AR175/'4.1 Comptes 2020 natures'!AR2</f>
        <v>0</v>
      </c>
      <c r="AS176" s="4">
        <f>'4.1 Comptes 2020 natures'!AS175/'4.1 Comptes 2020 natures'!AS2</f>
        <v>0</v>
      </c>
      <c r="AT176" s="4">
        <f>'4.1 Comptes 2020 natures'!AT175/'4.1 Comptes 2020 natures'!AT2</f>
        <v>0</v>
      </c>
      <c r="AU176" s="4">
        <f>'4.1 Comptes 2020 natures'!AU175/'4.1 Comptes 2020 natures'!AU2</f>
        <v>0</v>
      </c>
      <c r="AV176" s="4">
        <f>'4.1 Comptes 2020 natures'!AV175/'4.1 Comptes 2020 natures'!AV2</f>
        <v>0</v>
      </c>
      <c r="AW176" s="4">
        <f>'4.1 Comptes 2020 natures'!AW175/'4.1 Comptes 2020 natures'!AW2</f>
        <v>0</v>
      </c>
      <c r="AX176" s="4">
        <f>'4.1 Comptes 2020 natures'!AX175/'4.1 Comptes 2020 natures'!AX2</f>
        <v>0</v>
      </c>
      <c r="AY176" s="4">
        <f>'4.1 Comptes 2020 natures'!AY175/'4.1 Comptes 2020 natures'!AY2</f>
        <v>0</v>
      </c>
      <c r="AZ176" s="4">
        <f>'4.1 Comptes 2020 natures'!AZ175/'4.1 Comptes 2020 natures'!AZ2</f>
        <v>0</v>
      </c>
      <c r="BA176" s="4">
        <f>'4.1 Comptes 2020 natures'!BA175/'4.1 Comptes 2020 natures'!BA2</f>
        <v>0</v>
      </c>
      <c r="BB176" s="4">
        <f>'4.1 Comptes 2020 natures'!BB175/'4.1 Comptes 2020 natures'!BB2</f>
        <v>0</v>
      </c>
      <c r="BC176" s="4">
        <f>'4.1 Comptes 2020 natures'!BC175/'4.1 Comptes 2020 natures'!BC2</f>
        <v>0</v>
      </c>
      <c r="BD176" s="4">
        <f>'4.1 Comptes 2020 natures'!BD175/'4.1 Comptes 2020 natures'!BD2</f>
        <v>0</v>
      </c>
      <c r="BE176" s="4">
        <f>'4.1 Comptes 2020 natures'!BE175/'4.1 Comptes 2020 natures'!BE2</f>
        <v>0</v>
      </c>
      <c r="BF176" s="4">
        <f t="shared" si="109"/>
        <v>0</v>
      </c>
      <c r="BG176" s="4">
        <f t="shared" si="110"/>
        <v>0</v>
      </c>
      <c r="BH176" s="4">
        <f t="shared" si="111"/>
        <v>0</v>
      </c>
      <c r="BI176" s="4">
        <f t="shared" si="112"/>
        <v>0</v>
      </c>
    </row>
    <row r="177" spans="4:61" x14ac:dyDescent="0.3">
      <c r="M177" s="4"/>
    </row>
    <row r="178" spans="4:61" x14ac:dyDescent="0.3">
      <c r="D178" s="60" t="s">
        <v>243</v>
      </c>
      <c r="E178" s="61">
        <f>E64-E140</f>
        <v>0</v>
      </c>
      <c r="F178" s="61">
        <f t="shared" ref="F178:BI178" si="113">F64-F140</f>
        <v>0</v>
      </c>
      <c r="G178" s="61">
        <f t="shared" si="113"/>
        <v>0</v>
      </c>
      <c r="H178" s="61">
        <f t="shared" si="113"/>
        <v>-38.31804932735426</v>
      </c>
      <c r="I178" s="61">
        <f t="shared" si="113"/>
        <v>1.4871936105756021</v>
      </c>
      <c r="J178" s="61">
        <f t="shared" si="113"/>
        <v>0</v>
      </c>
      <c r="K178" s="61">
        <f t="shared" si="113"/>
        <v>6.3749432677760893</v>
      </c>
      <c r="L178" s="61">
        <f t="shared" si="113"/>
        <v>-1.2564281185608479</v>
      </c>
      <c r="M178" s="61">
        <f t="shared" si="113"/>
        <v>0</v>
      </c>
      <c r="N178" s="61">
        <f t="shared" si="113"/>
        <v>0</v>
      </c>
      <c r="O178" s="61">
        <f t="shared" si="113"/>
        <v>0</v>
      </c>
      <c r="P178" s="61">
        <f t="shared" si="113"/>
        <v>0.7575757575757649</v>
      </c>
      <c r="Q178" s="61">
        <f t="shared" si="113"/>
        <v>0</v>
      </c>
      <c r="R178" s="61">
        <f t="shared" si="113"/>
        <v>-24.250602409638553</v>
      </c>
      <c r="S178" s="61">
        <f t="shared" si="113"/>
        <v>0</v>
      </c>
      <c r="T178" s="61">
        <f t="shared" si="113"/>
        <v>-6.6566957787481815</v>
      </c>
      <c r="U178" s="61">
        <f t="shared" si="113"/>
        <v>0</v>
      </c>
      <c r="V178" s="61">
        <f t="shared" si="113"/>
        <v>-2.6395642201834733</v>
      </c>
      <c r="W178" s="61">
        <f t="shared" si="113"/>
        <v>0</v>
      </c>
      <c r="X178" s="61">
        <f t="shared" si="113"/>
        <v>5.4043209876543215E-2</v>
      </c>
      <c r="Y178" s="61">
        <f t="shared" si="113"/>
        <v>0</v>
      </c>
      <c r="Z178" s="61">
        <f t="shared" si="113"/>
        <v>0</v>
      </c>
      <c r="AA178" s="61">
        <f t="shared" si="113"/>
        <v>-63.678645833333348</v>
      </c>
      <c r="AB178" s="61">
        <f t="shared" si="113"/>
        <v>0</v>
      </c>
      <c r="AC178" s="61">
        <f t="shared" si="113"/>
        <v>-52.018798449612405</v>
      </c>
      <c r="AD178" s="61">
        <f t="shared" si="113"/>
        <v>0</v>
      </c>
      <c r="AE178" s="61">
        <f t="shared" si="113"/>
        <v>2.7097902097892757E-2</v>
      </c>
      <c r="AF178" s="61">
        <f t="shared" si="113"/>
        <v>32.793367346938794</v>
      </c>
      <c r="AG178" s="61">
        <f t="shared" si="113"/>
        <v>0</v>
      </c>
      <c r="AH178" s="61">
        <f t="shared" si="113"/>
        <v>0</v>
      </c>
      <c r="AI178" s="61">
        <f t="shared" si="113"/>
        <v>0</v>
      </c>
      <c r="AJ178" s="61">
        <f t="shared" si="113"/>
        <v>0</v>
      </c>
      <c r="AK178" s="61">
        <f t="shared" si="113"/>
        <v>68.562316622691299</v>
      </c>
      <c r="AL178" s="61">
        <f t="shared" si="113"/>
        <v>0</v>
      </c>
      <c r="AM178" s="61">
        <f t="shared" si="113"/>
        <v>0</v>
      </c>
      <c r="AN178" s="61">
        <f t="shared" si="113"/>
        <v>6.7226890756302522</v>
      </c>
      <c r="AO178" s="61">
        <f t="shared" si="113"/>
        <v>0</v>
      </c>
      <c r="AP178" s="61">
        <f t="shared" si="113"/>
        <v>0</v>
      </c>
      <c r="AQ178" s="61">
        <f t="shared" si="113"/>
        <v>0</v>
      </c>
      <c r="AR178" s="61">
        <f t="shared" si="113"/>
        <v>0</v>
      </c>
      <c r="AS178" s="61">
        <f t="shared" si="113"/>
        <v>-0.3070945945946022</v>
      </c>
      <c r="AT178" s="61">
        <f t="shared" si="113"/>
        <v>0</v>
      </c>
      <c r="AU178" s="61">
        <f t="shared" si="113"/>
        <v>4.8996815286624198</v>
      </c>
      <c r="AV178" s="61">
        <f t="shared" si="113"/>
        <v>-2.7208333333333332</v>
      </c>
      <c r="AW178" s="61">
        <f t="shared" si="113"/>
        <v>0</v>
      </c>
      <c r="AX178" s="61">
        <f t="shared" si="113"/>
        <v>0</v>
      </c>
      <c r="AY178" s="61">
        <f t="shared" si="113"/>
        <v>0</v>
      </c>
      <c r="AZ178" s="61">
        <f t="shared" si="113"/>
        <v>0</v>
      </c>
      <c r="BA178" s="61">
        <f t="shared" si="113"/>
        <v>0</v>
      </c>
      <c r="BB178" s="61">
        <f t="shared" si="113"/>
        <v>0</v>
      </c>
      <c r="BC178" s="61">
        <f t="shared" si="113"/>
        <v>14.276595744680851</v>
      </c>
      <c r="BD178" s="61">
        <f t="shared" si="113"/>
        <v>0</v>
      </c>
      <c r="BE178" s="61">
        <f t="shared" si="113"/>
        <v>0</v>
      </c>
      <c r="BF178" s="61">
        <f t="shared" si="113"/>
        <v>-55.891207998854043</v>
      </c>
      <c r="BG178" s="61">
        <f t="shared" si="113"/>
        <v>-64.501627218557815</v>
      </c>
      <c r="BH178" s="61">
        <f t="shared" si="113"/>
        <v>-82.82293582403247</v>
      </c>
      <c r="BI178" s="61">
        <f t="shared" si="113"/>
        <v>91.433355043736924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C23" sqref="C23"/>
    </sheetView>
  </sheetViews>
  <sheetFormatPr baseColWidth="10" defaultRowHeight="14.4" x14ac:dyDescent="0.3"/>
  <cols>
    <col min="1" max="2" width="5.6640625" customWidth="1"/>
    <col min="3" max="3" width="9" customWidth="1"/>
    <col min="4" max="4" width="63.5546875" customWidth="1"/>
    <col min="5" max="5" width="23" customWidth="1"/>
  </cols>
  <sheetData>
    <row r="2" spans="1:5" ht="25.8" x14ac:dyDescent="0.5">
      <c r="A2" s="42" t="s">
        <v>649</v>
      </c>
      <c r="B2" s="7"/>
      <c r="C2" s="7"/>
      <c r="D2" s="7"/>
    </row>
    <row r="4" spans="1:5" ht="15" thickBot="1" x14ac:dyDescent="0.35"/>
    <row r="5" spans="1:5" ht="15" thickBot="1" x14ac:dyDescent="0.35">
      <c r="A5" t="s">
        <v>648</v>
      </c>
      <c r="D5" s="174" t="s">
        <v>56</v>
      </c>
    </row>
    <row r="7" spans="1:5" x14ac:dyDescent="0.3">
      <c r="E7" s="65" t="s">
        <v>205</v>
      </c>
    </row>
    <row r="8" spans="1:5" ht="21" x14ac:dyDescent="0.4">
      <c r="A8" s="92">
        <v>3</v>
      </c>
      <c r="B8" s="92"/>
      <c r="C8" s="92"/>
      <c r="D8" s="92" t="s">
        <v>60</v>
      </c>
      <c r="E8" s="171">
        <f>HLOOKUP($D$5,'4.9 Comptes 2020 par habitant'!$E$3:$BE$158,2,0)</f>
        <v>4359.3356229685805</v>
      </c>
    </row>
    <row r="9" spans="1:5" x14ac:dyDescent="0.3">
      <c r="A9" s="94"/>
      <c r="B9" s="94">
        <v>30</v>
      </c>
      <c r="C9" s="94"/>
      <c r="D9" s="94" t="s">
        <v>61</v>
      </c>
      <c r="E9" s="95">
        <f>SUM(E10:E17)</f>
        <v>508.96890574214524</v>
      </c>
    </row>
    <row r="10" spans="1:5" x14ac:dyDescent="0.3">
      <c r="C10">
        <v>300</v>
      </c>
      <c r="D10" t="s">
        <v>80</v>
      </c>
      <c r="E10" s="89">
        <f>HLOOKUP($D$5,'4.9 Comptes 2020 par habitant'!$E$3:$BE$158,4,0)</f>
        <v>43.040953412784404</v>
      </c>
    </row>
    <row r="11" spans="1:5" x14ac:dyDescent="0.3">
      <c r="C11">
        <v>301</v>
      </c>
      <c r="D11" t="s">
        <v>81</v>
      </c>
      <c r="E11" s="89">
        <f>HLOOKUP($D$5,'4.9 Comptes 2020 par habitant'!$E$3:$BE$158,5,0)</f>
        <v>382.70260021668474</v>
      </c>
    </row>
    <row r="12" spans="1:5" x14ac:dyDescent="0.3">
      <c r="C12">
        <v>302</v>
      </c>
      <c r="D12" t="s">
        <v>82</v>
      </c>
      <c r="E12" s="89">
        <f>HLOOKUP($D$5,'4.9 Comptes 2020 par habitant'!$E$3:$BE$158,6,0)</f>
        <v>0</v>
      </c>
    </row>
    <row r="13" spans="1:5" x14ac:dyDescent="0.3">
      <c r="C13">
        <v>303</v>
      </c>
      <c r="D13" t="s">
        <v>83</v>
      </c>
      <c r="E13" s="89">
        <f>HLOOKUP($D$5,'4.9 Comptes 2020 par habitant'!$E$3:$BE$158,7,0)</f>
        <v>0</v>
      </c>
    </row>
    <row r="14" spans="1:5" x14ac:dyDescent="0.3">
      <c r="C14">
        <v>304</v>
      </c>
      <c r="D14" t="s">
        <v>596</v>
      </c>
      <c r="E14" s="89">
        <f>HLOOKUP($D$5,'4.9 Comptes 2020 par habitant'!$E$3:$BE$158,8,0)</f>
        <v>0</v>
      </c>
    </row>
    <row r="15" spans="1:5" x14ac:dyDescent="0.3">
      <c r="C15">
        <v>305</v>
      </c>
      <c r="D15" t="s">
        <v>84</v>
      </c>
      <c r="E15" s="89">
        <f>HLOOKUP($D$5,'4.9 Comptes 2020 par habitant'!$E$3:$BE$158,9,0)</f>
        <v>77.633044420368364</v>
      </c>
    </row>
    <row r="16" spans="1:5" x14ac:dyDescent="0.3">
      <c r="C16">
        <v>306</v>
      </c>
      <c r="D16" t="s">
        <v>85</v>
      </c>
      <c r="E16" s="89">
        <f>HLOOKUP($D$5,'4.9 Comptes 2020 par habitant'!$E$3:$BE$158,10,0)</f>
        <v>0</v>
      </c>
    </row>
    <row r="17" spans="2:5" x14ac:dyDescent="0.3">
      <c r="C17">
        <v>309</v>
      </c>
      <c r="D17" t="s">
        <v>86</v>
      </c>
      <c r="E17" s="89">
        <f>HLOOKUP($D$5,'4.9 Comptes 2020 par habitant'!$E$3:$BE$158,11,0)</f>
        <v>5.592307692307692</v>
      </c>
    </row>
    <row r="18" spans="2:5" x14ac:dyDescent="0.3">
      <c r="E18" s="4"/>
    </row>
    <row r="19" spans="2:5" x14ac:dyDescent="0.3">
      <c r="B19" s="94">
        <v>31</v>
      </c>
      <c r="C19" s="94"/>
      <c r="D19" s="94" t="s">
        <v>87</v>
      </c>
      <c r="E19" s="95">
        <f>SUM(E20:E29)</f>
        <v>563.03210184182012</v>
      </c>
    </row>
    <row r="20" spans="2:5" x14ac:dyDescent="0.3">
      <c r="C20">
        <v>310</v>
      </c>
      <c r="D20" t="s">
        <v>88</v>
      </c>
      <c r="E20" s="89">
        <f>HLOOKUP($D$5,'4.9 Comptes 2020 par habitant'!$E$3:$BE$158,14,0)</f>
        <v>59.82329360780065</v>
      </c>
    </row>
    <row r="21" spans="2:5" x14ac:dyDescent="0.3">
      <c r="C21">
        <v>311</v>
      </c>
      <c r="D21" t="s">
        <v>462</v>
      </c>
      <c r="E21" s="89">
        <f>HLOOKUP($D$5,'4.9 Comptes 2020 par habitant'!$E$3:$BE$158,15,0)</f>
        <v>61.002221018418204</v>
      </c>
    </row>
    <row r="22" spans="2:5" x14ac:dyDescent="0.3">
      <c r="C22">
        <v>312</v>
      </c>
      <c r="D22" t="s">
        <v>90</v>
      </c>
      <c r="E22" s="89">
        <f>HLOOKUP($D$5,'4.9 Comptes 2020 par habitant'!$E$3:$BE$158,16,0)</f>
        <v>72.245232936078011</v>
      </c>
    </row>
    <row r="23" spans="2:5" x14ac:dyDescent="0.3">
      <c r="C23">
        <v>313</v>
      </c>
      <c r="D23" t="s">
        <v>91</v>
      </c>
      <c r="E23" s="89">
        <f>HLOOKUP($D$5,'4.9 Comptes 2020 par habitant'!$E$3:$BE$158,17,0)</f>
        <v>86.043640303358615</v>
      </c>
    </row>
    <row r="24" spans="2:5" x14ac:dyDescent="0.3">
      <c r="C24">
        <v>314</v>
      </c>
      <c r="D24" t="s">
        <v>92</v>
      </c>
      <c r="E24" s="89">
        <f>HLOOKUP($D$5,'4.9 Comptes 2020 par habitant'!$E$3:$BE$158,18,0)</f>
        <v>125.43250270855904</v>
      </c>
    </row>
    <row r="25" spans="2:5" x14ac:dyDescent="0.3">
      <c r="C25">
        <v>315</v>
      </c>
      <c r="D25" t="s">
        <v>93</v>
      </c>
      <c r="E25" s="89">
        <f>HLOOKUP($D$5,'4.9 Comptes 2020 par habitant'!$E$3:$BE$158,19,0)</f>
        <v>35.926814734561212</v>
      </c>
    </row>
    <row r="26" spans="2:5" x14ac:dyDescent="0.3">
      <c r="C26">
        <v>316</v>
      </c>
      <c r="D26" t="s">
        <v>94</v>
      </c>
      <c r="E26" s="89">
        <f>HLOOKUP($D$5,'4.9 Comptes 2020 par habitant'!$E$3:$BE$158,20,0)</f>
        <v>4.2006500541711809</v>
      </c>
    </row>
    <row r="27" spans="2:5" x14ac:dyDescent="0.3">
      <c r="C27">
        <v>317</v>
      </c>
      <c r="D27" t="s">
        <v>95</v>
      </c>
      <c r="E27" s="89">
        <f>HLOOKUP($D$5,'4.9 Comptes 2020 par habitant'!$E$3:$BE$158,21,0)</f>
        <v>18.963542795232936</v>
      </c>
    </row>
    <row r="28" spans="2:5" x14ac:dyDescent="0.3">
      <c r="C28">
        <v>318</v>
      </c>
      <c r="D28" t="s">
        <v>96</v>
      </c>
      <c r="E28" s="89">
        <f>HLOOKUP($D$5,'4.9 Comptes 2020 par habitant'!$E$3:$BE$158,22,0)</f>
        <v>96.872101841820154</v>
      </c>
    </row>
    <row r="29" spans="2:5" x14ac:dyDescent="0.3">
      <c r="C29">
        <v>319</v>
      </c>
      <c r="D29" t="s">
        <v>97</v>
      </c>
      <c r="E29" s="89">
        <f>HLOOKUP($D$5,'4.9 Comptes 2020 par habitant'!$E$3:$BE$158,23,0)</f>
        <v>2.522101841820152</v>
      </c>
    </row>
    <row r="30" spans="2:5" x14ac:dyDescent="0.3">
      <c r="E30" s="4"/>
    </row>
    <row r="31" spans="2:5" x14ac:dyDescent="0.3">
      <c r="B31" s="94">
        <v>33</v>
      </c>
      <c r="C31" s="94"/>
      <c r="D31" s="94" t="s">
        <v>98</v>
      </c>
      <c r="E31" s="95">
        <f>SUM(E32:E33)</f>
        <v>547.51785482123512</v>
      </c>
    </row>
    <row r="32" spans="2:5" x14ac:dyDescent="0.3">
      <c r="C32">
        <v>330</v>
      </c>
      <c r="D32" t="s">
        <v>100</v>
      </c>
      <c r="E32" s="89">
        <f>HLOOKUP($D$5,'4.9 Comptes 2020 par habitant'!$E$3:$BE$158,26,0)</f>
        <v>511.99821235102922</v>
      </c>
    </row>
    <row r="33" spans="2:5" x14ac:dyDescent="0.3">
      <c r="C33">
        <v>332</v>
      </c>
      <c r="D33" t="s">
        <v>99</v>
      </c>
      <c r="E33" s="89">
        <f>HLOOKUP($D$5,'4.9 Comptes 2020 par habitant'!$E$3:$BE$158,27,0)</f>
        <v>35.519642470205845</v>
      </c>
    </row>
    <row r="34" spans="2:5" x14ac:dyDescent="0.3">
      <c r="E34" s="4"/>
    </row>
    <row r="35" spans="2:5" x14ac:dyDescent="0.3">
      <c r="B35" s="94">
        <v>34</v>
      </c>
      <c r="C35" s="94"/>
      <c r="D35" s="94" t="s">
        <v>101</v>
      </c>
      <c r="E35" s="95">
        <f>SUM(E36:E41)</f>
        <v>40.224962080173349</v>
      </c>
    </row>
    <row r="36" spans="2:5" x14ac:dyDescent="0.3">
      <c r="C36">
        <v>340</v>
      </c>
      <c r="D36" t="s">
        <v>102</v>
      </c>
      <c r="E36" s="89">
        <f>HLOOKUP($D$5,'4.9 Comptes 2020 par habitant'!$E$3:$BE$158,30,0)</f>
        <v>40.224962080173349</v>
      </c>
    </row>
    <row r="37" spans="2:5" x14ac:dyDescent="0.3">
      <c r="C37">
        <v>341</v>
      </c>
      <c r="D37" t="s">
        <v>103</v>
      </c>
      <c r="E37" s="89">
        <f>HLOOKUP($D$5,'4.9 Comptes 2020 par habitant'!$E$3:$BE$158,31,0)</f>
        <v>0</v>
      </c>
    </row>
    <row r="38" spans="2:5" x14ac:dyDescent="0.3">
      <c r="C38">
        <v>342</v>
      </c>
      <c r="D38" t="s">
        <v>104</v>
      </c>
      <c r="E38" s="89">
        <f>HLOOKUP($D$5,'4.9 Comptes 2020 par habitant'!$E$3:$BE$158,32,0)</f>
        <v>0</v>
      </c>
    </row>
    <row r="39" spans="2:5" x14ac:dyDescent="0.3">
      <c r="C39">
        <v>343</v>
      </c>
      <c r="D39" t="s">
        <v>105</v>
      </c>
      <c r="E39" s="89">
        <f>HLOOKUP($D$5,'4.9 Comptes 2020 par habitant'!$E$3:$BE$158,33,0)</f>
        <v>0</v>
      </c>
    </row>
    <row r="40" spans="2:5" x14ac:dyDescent="0.3">
      <c r="C40">
        <v>344</v>
      </c>
      <c r="D40" t="s">
        <v>106</v>
      </c>
      <c r="E40" s="89">
        <f>HLOOKUP($D$5,'4.9 Comptes 2020 par habitant'!$E$3:$BE$158,34,0)</f>
        <v>0</v>
      </c>
    </row>
    <row r="41" spans="2:5" x14ac:dyDescent="0.3">
      <c r="C41">
        <v>349</v>
      </c>
      <c r="D41" t="s">
        <v>107</v>
      </c>
      <c r="E41" s="89">
        <f>HLOOKUP($D$5,'4.9 Comptes 2020 par habitant'!$E$3:$BE$158,35,0)</f>
        <v>0</v>
      </c>
    </row>
    <row r="42" spans="2:5" x14ac:dyDescent="0.3">
      <c r="E42" s="4"/>
    </row>
    <row r="43" spans="2:5" x14ac:dyDescent="0.3">
      <c r="B43" s="94">
        <v>35</v>
      </c>
      <c r="C43" s="94"/>
      <c r="D43" s="94" t="s">
        <v>109</v>
      </c>
      <c r="E43" s="95">
        <f>SUM(E44:E45)</f>
        <v>23.058017334777897</v>
      </c>
    </row>
    <row r="44" spans="2:5" x14ac:dyDescent="0.3">
      <c r="C44">
        <v>350</v>
      </c>
      <c r="D44" t="s">
        <v>109</v>
      </c>
      <c r="E44" s="89">
        <f>HLOOKUP($D$5,'4.9 Comptes 2020 par habitant'!$E$3:$BE$158,38,0)</f>
        <v>0</v>
      </c>
    </row>
    <row r="45" spans="2:5" x14ac:dyDescent="0.3">
      <c r="C45">
        <v>351</v>
      </c>
      <c r="D45" t="s">
        <v>108</v>
      </c>
      <c r="E45" s="89">
        <f>HLOOKUP($D$5,'4.9 Comptes 2020 par habitant'!$E$3:$BE$158,39,0)</f>
        <v>23.058017334777897</v>
      </c>
    </row>
    <row r="46" spans="2:5" x14ac:dyDescent="0.3">
      <c r="E46" s="4"/>
    </row>
    <row r="47" spans="2:5" x14ac:dyDescent="0.3">
      <c r="B47" s="94">
        <v>36</v>
      </c>
      <c r="C47" s="94"/>
      <c r="D47" s="94" t="s">
        <v>110</v>
      </c>
      <c r="E47" s="95">
        <f>SUM(E48:E55)</f>
        <v>2276.8306392199347</v>
      </c>
    </row>
    <row r="48" spans="2:5" x14ac:dyDescent="0.3">
      <c r="C48">
        <v>360</v>
      </c>
      <c r="D48" t="s">
        <v>111</v>
      </c>
      <c r="E48" s="89">
        <f>HLOOKUP($D$5,'4.9 Comptes 2020 par habitant'!$E$3:$BE$158,42,0)</f>
        <v>1.5277356446370529</v>
      </c>
    </row>
    <row r="49" spans="2:5" x14ac:dyDescent="0.3">
      <c r="C49">
        <v>361</v>
      </c>
      <c r="D49" t="s">
        <v>112</v>
      </c>
      <c r="E49" s="89">
        <f>HLOOKUP($D$5,'4.9 Comptes 2020 par habitant'!$E$3:$BE$158,43,0)</f>
        <v>1752.6000866738893</v>
      </c>
    </row>
    <row r="50" spans="2:5" x14ac:dyDescent="0.3">
      <c r="C50">
        <v>362</v>
      </c>
      <c r="D50" t="s">
        <v>113</v>
      </c>
      <c r="E50" s="89">
        <f>HLOOKUP($D$5,'4.9 Comptes 2020 par habitant'!$E$3:$BE$158,44,0)</f>
        <v>0</v>
      </c>
    </row>
    <row r="51" spans="2:5" x14ac:dyDescent="0.3">
      <c r="C51">
        <v>363</v>
      </c>
      <c r="D51" t="s">
        <v>114</v>
      </c>
      <c r="E51" s="89">
        <f>HLOOKUP($D$5,'4.9 Comptes 2020 par habitant'!$E$3:$BE$158,45,0)</f>
        <v>513.79057421451785</v>
      </c>
    </row>
    <row r="52" spans="2:5" x14ac:dyDescent="0.3">
      <c r="C52">
        <v>364</v>
      </c>
      <c r="D52" t="s">
        <v>115</v>
      </c>
      <c r="E52" s="89">
        <f>HLOOKUP($D$5,'4.9 Comptes 2020 par habitant'!$E$3:$BE$158,46,0)</f>
        <v>0</v>
      </c>
    </row>
    <row r="53" spans="2:5" x14ac:dyDescent="0.3">
      <c r="C53">
        <v>365</v>
      </c>
      <c r="D53" t="s">
        <v>116</v>
      </c>
      <c r="E53" s="89">
        <f>HLOOKUP($D$5,'4.9 Comptes 2020 par habitant'!$E$3:$BE$158,47,0)</f>
        <v>0</v>
      </c>
    </row>
    <row r="54" spans="2:5" x14ac:dyDescent="0.3">
      <c r="C54">
        <v>366</v>
      </c>
      <c r="D54" t="s">
        <v>117</v>
      </c>
      <c r="E54" s="89">
        <f>HLOOKUP($D$5,'4.9 Comptes 2020 par habitant'!$E$3:$BE$158,48,0)</f>
        <v>0</v>
      </c>
    </row>
    <row r="55" spans="2:5" x14ac:dyDescent="0.3">
      <c r="C55">
        <v>369</v>
      </c>
      <c r="D55" t="s">
        <v>118</v>
      </c>
      <c r="E55" s="89">
        <f>HLOOKUP($D$5,'4.9 Comptes 2020 par habitant'!$E$3:$BE$158,49,0)</f>
        <v>8.9122426868905738</v>
      </c>
    </row>
    <row r="56" spans="2:5" x14ac:dyDescent="0.3">
      <c r="E56" s="4"/>
    </row>
    <row r="57" spans="2:5" x14ac:dyDescent="0.3">
      <c r="B57" s="94">
        <v>37</v>
      </c>
      <c r="C57" s="94"/>
      <c r="D57" s="94" t="s">
        <v>119</v>
      </c>
      <c r="E57" s="95">
        <f>SUM(E58)</f>
        <v>0</v>
      </c>
    </row>
    <row r="58" spans="2:5" x14ac:dyDescent="0.3">
      <c r="C58">
        <v>370</v>
      </c>
      <c r="D58" t="s">
        <v>120</v>
      </c>
      <c r="E58" s="89">
        <f>HLOOKUP($D$5,'4.9 Comptes 2020 par habitant'!$E$3:$BE$158,52,0)</f>
        <v>0</v>
      </c>
    </row>
    <row r="59" spans="2:5" x14ac:dyDescent="0.3">
      <c r="E59" s="4"/>
    </row>
    <row r="60" spans="2:5" x14ac:dyDescent="0.3">
      <c r="B60" s="94">
        <v>38</v>
      </c>
      <c r="C60" s="94"/>
      <c r="D60" s="94" t="s">
        <v>121</v>
      </c>
      <c r="E60" s="95">
        <f>SUM(E61:E66)</f>
        <v>346.69555796316359</v>
      </c>
    </row>
    <row r="61" spans="2:5" x14ac:dyDescent="0.3">
      <c r="C61">
        <v>380</v>
      </c>
      <c r="D61" t="s">
        <v>122</v>
      </c>
      <c r="E61" s="89">
        <f>HLOOKUP($D$5,'4.9 Comptes 2020 par habitant'!$E$3:$BE$158,55,0)</f>
        <v>0</v>
      </c>
    </row>
    <row r="62" spans="2:5" x14ac:dyDescent="0.3">
      <c r="C62">
        <v>381</v>
      </c>
      <c r="D62" t="s">
        <v>123</v>
      </c>
      <c r="E62" s="89">
        <f>HLOOKUP($D$5,'4.9 Comptes 2020 par habitant'!$E$3:$BE$158,56,0)</f>
        <v>0</v>
      </c>
    </row>
    <row r="63" spans="2:5" x14ac:dyDescent="0.3">
      <c r="C63">
        <v>384</v>
      </c>
      <c r="D63" t="s">
        <v>124</v>
      </c>
      <c r="E63" s="89">
        <f>HLOOKUP($D$5,'4.9 Comptes 2020 par habitant'!$E$3:$BE$158,57,0)</f>
        <v>0</v>
      </c>
    </row>
    <row r="64" spans="2:5" x14ac:dyDescent="0.3">
      <c r="C64">
        <v>385</v>
      </c>
      <c r="D64" t="s">
        <v>125</v>
      </c>
      <c r="E64" s="89">
        <f>HLOOKUP($D$5,'4.9 Comptes 2020 par habitant'!$E$3:$BE$158,58,0)</f>
        <v>0</v>
      </c>
    </row>
    <row r="65" spans="1:5" x14ac:dyDescent="0.3">
      <c r="C65">
        <v>386</v>
      </c>
      <c r="D65" t="s">
        <v>126</v>
      </c>
      <c r="E65" s="89">
        <f>HLOOKUP($D$5,'4.9 Comptes 2020 par habitant'!$E$3:$BE$158,59,0)</f>
        <v>0</v>
      </c>
    </row>
    <row r="66" spans="1:5" x14ac:dyDescent="0.3">
      <c r="C66">
        <v>389</v>
      </c>
      <c r="D66" t="s">
        <v>297</v>
      </c>
      <c r="E66" s="89">
        <f>HLOOKUP($D$5,'4.9 Comptes 2020 par habitant'!$E$3:$BE$158,60,0)</f>
        <v>346.69555796316359</v>
      </c>
    </row>
    <row r="67" spans="1:5" x14ac:dyDescent="0.3">
      <c r="E67" s="4"/>
    </row>
    <row r="68" spans="1:5" x14ac:dyDescent="0.3">
      <c r="B68" s="94">
        <v>39</v>
      </c>
      <c r="C68" s="94"/>
      <c r="D68" s="94" t="s">
        <v>128</v>
      </c>
      <c r="E68" s="95">
        <f>SUM(E69:E76)</f>
        <v>53.007583965330447</v>
      </c>
    </row>
    <row r="69" spans="1:5" x14ac:dyDescent="0.3">
      <c r="C69">
        <v>390</v>
      </c>
      <c r="D69" t="s">
        <v>129</v>
      </c>
      <c r="E69" s="89">
        <f>HLOOKUP($D$5,'4.9 Comptes 2020 par habitant'!$E$3:$BE$158,63,0)</f>
        <v>0</v>
      </c>
    </row>
    <row r="70" spans="1:5" x14ac:dyDescent="0.3">
      <c r="C70">
        <v>391</v>
      </c>
      <c r="D70" t="s">
        <v>130</v>
      </c>
      <c r="E70" s="89">
        <f>HLOOKUP($D$5,'4.9 Comptes 2020 par habitant'!$E$3:$BE$158,64,0)</f>
        <v>53.007583965330447</v>
      </c>
    </row>
    <row r="71" spans="1:5" x14ac:dyDescent="0.3">
      <c r="C71">
        <v>392</v>
      </c>
      <c r="D71" t="s">
        <v>131</v>
      </c>
      <c r="E71" s="89">
        <f>HLOOKUP($D$5,'4.9 Comptes 2020 par habitant'!$E$3:$BE$158,65,0)</f>
        <v>0</v>
      </c>
    </row>
    <row r="72" spans="1:5" x14ac:dyDescent="0.3">
      <c r="C72">
        <v>393</v>
      </c>
      <c r="D72" t="s">
        <v>132</v>
      </c>
      <c r="E72" s="89">
        <f>HLOOKUP($D$5,'4.9 Comptes 2020 par habitant'!$E$3:$BE$158,66,0)</f>
        <v>0</v>
      </c>
    </row>
    <row r="73" spans="1:5" x14ac:dyDescent="0.3">
      <c r="C73">
        <v>394</v>
      </c>
      <c r="D73" t="s">
        <v>133</v>
      </c>
      <c r="E73" s="89">
        <f>HLOOKUP($D$5,'4.9 Comptes 2020 par habitant'!$E$3:$BE$158,67,0)</f>
        <v>0</v>
      </c>
    </row>
    <row r="74" spans="1:5" x14ac:dyDescent="0.3">
      <c r="C74">
        <v>395</v>
      </c>
      <c r="D74" t="s">
        <v>134</v>
      </c>
      <c r="E74" s="89">
        <f>HLOOKUP($D$5,'4.9 Comptes 2020 par habitant'!$E$3:$BE$158,68,0)</f>
        <v>0</v>
      </c>
    </row>
    <row r="75" spans="1:5" x14ac:dyDescent="0.3">
      <c r="C75">
        <v>398</v>
      </c>
      <c r="D75" t="s">
        <v>135</v>
      </c>
      <c r="E75" s="89">
        <f>HLOOKUP($D$5,'4.9 Comptes 2020 par habitant'!$E$3:$BE$158,69,0)</f>
        <v>0</v>
      </c>
    </row>
    <row r="76" spans="1:5" x14ac:dyDescent="0.3">
      <c r="C76">
        <v>399</v>
      </c>
      <c r="D76" t="s">
        <v>136</v>
      </c>
      <c r="E76" s="89">
        <f>HLOOKUP($D$5,'4.9 Comptes 2020 par habitant'!$E$3:$BE$158,70,0)</f>
        <v>0</v>
      </c>
    </row>
    <row r="77" spans="1:5" x14ac:dyDescent="0.3">
      <c r="E77" s="4"/>
    </row>
    <row r="78" spans="1:5" x14ac:dyDescent="0.3">
      <c r="E78" s="4"/>
    </row>
    <row r="79" spans="1:5" ht="21" x14ac:dyDescent="0.4">
      <c r="A79" s="98">
        <v>4</v>
      </c>
      <c r="B79" s="98"/>
      <c r="C79" s="98"/>
      <c r="D79" s="98" t="s">
        <v>137</v>
      </c>
      <c r="E79" s="172">
        <f>HLOOKUP($D$5,'4.9 Comptes 2020 par habitant'!$E$3:$BE$158,73,0)</f>
        <v>4725.6075622968583</v>
      </c>
    </row>
    <row r="80" spans="1:5" x14ac:dyDescent="0.3">
      <c r="A80" s="7"/>
      <c r="B80" s="96">
        <v>40</v>
      </c>
      <c r="C80" s="96"/>
      <c r="D80" s="96" t="s">
        <v>79</v>
      </c>
      <c r="E80" s="91">
        <f>SUM(E81:E84)</f>
        <v>3608.782936078007</v>
      </c>
    </row>
    <row r="81" spans="2:5" x14ac:dyDescent="0.3">
      <c r="C81">
        <v>400</v>
      </c>
      <c r="D81" t="s">
        <v>138</v>
      </c>
      <c r="E81" s="89">
        <f>HLOOKUP($D$5,'4.9 Comptes 2020 par habitant'!$E$3:$BE$158,75,0)</f>
        <v>2599.1880823401953</v>
      </c>
    </row>
    <row r="82" spans="2:5" x14ac:dyDescent="0.3">
      <c r="C82">
        <v>401</v>
      </c>
      <c r="D82" t="s">
        <v>139</v>
      </c>
      <c r="E82" s="89">
        <f>HLOOKUP($D$5,'4.9 Comptes 2020 par habitant'!$E$3:$BE$158,76,0)</f>
        <v>202.45260021668471</v>
      </c>
    </row>
    <row r="83" spans="2:5" x14ac:dyDescent="0.3">
      <c r="C83">
        <v>402</v>
      </c>
      <c r="D83" t="s">
        <v>140</v>
      </c>
      <c r="E83" s="89">
        <f>HLOOKUP($D$5,'4.9 Comptes 2020 par habitant'!$E$3:$BE$158,77,0)</f>
        <v>792.42118093174429</v>
      </c>
    </row>
    <row r="84" spans="2:5" x14ac:dyDescent="0.3">
      <c r="C84">
        <v>403</v>
      </c>
      <c r="D84" t="s">
        <v>141</v>
      </c>
      <c r="E84" s="89">
        <f>HLOOKUP($D$5,'4.9 Comptes 2020 par habitant'!$E$3:$BE$158,78,0)</f>
        <v>14.721072589382448</v>
      </c>
    </row>
    <row r="85" spans="2:5" x14ac:dyDescent="0.3">
      <c r="E85" s="4"/>
    </row>
    <row r="86" spans="2:5" x14ac:dyDescent="0.3">
      <c r="B86" s="96">
        <v>41</v>
      </c>
      <c r="C86" s="96"/>
      <c r="D86" s="96" t="s">
        <v>142</v>
      </c>
      <c r="E86" s="91">
        <f>SUM(E87:E90)</f>
        <v>0</v>
      </c>
    </row>
    <row r="87" spans="2:5" x14ac:dyDescent="0.3">
      <c r="C87">
        <v>410</v>
      </c>
      <c r="D87" t="s">
        <v>143</v>
      </c>
      <c r="E87" s="89">
        <f>HLOOKUP($D$5,'4.9 Comptes 2020 par habitant'!$E$3:$BE$158,81,0)</f>
        <v>0</v>
      </c>
    </row>
    <row r="88" spans="2:5" x14ac:dyDescent="0.3">
      <c r="C88">
        <v>411</v>
      </c>
      <c r="D88" t="s">
        <v>144</v>
      </c>
      <c r="E88" s="89">
        <f>HLOOKUP($D$5,'4.9 Comptes 2020 par habitant'!$E$3:$BE$158,82,0)</f>
        <v>0</v>
      </c>
    </row>
    <row r="89" spans="2:5" x14ac:dyDescent="0.3">
      <c r="C89">
        <v>412</v>
      </c>
      <c r="D89" t="s">
        <v>145</v>
      </c>
      <c r="E89" s="89">
        <f>HLOOKUP($D$5,'4.9 Comptes 2020 par habitant'!$E$3:$BE$158,83,0)</f>
        <v>0</v>
      </c>
    </row>
    <row r="90" spans="2:5" x14ac:dyDescent="0.3">
      <c r="C90">
        <v>413</v>
      </c>
      <c r="D90" t="s">
        <v>146</v>
      </c>
      <c r="E90" s="89">
        <f>HLOOKUP($D$5,'4.9 Comptes 2020 par habitant'!$E$3:$BE$158,84,0)</f>
        <v>0</v>
      </c>
    </row>
    <row r="91" spans="2:5" x14ac:dyDescent="0.3">
      <c r="E91" s="4"/>
    </row>
    <row r="92" spans="2:5" x14ac:dyDescent="0.3">
      <c r="B92" s="96">
        <v>42</v>
      </c>
      <c r="C92" s="96"/>
      <c r="D92" s="96" t="s">
        <v>147</v>
      </c>
      <c r="E92" s="91">
        <f>SUM(E93:E101)</f>
        <v>697.63892741061761</v>
      </c>
    </row>
    <row r="93" spans="2:5" x14ac:dyDescent="0.3">
      <c r="C93">
        <v>420</v>
      </c>
      <c r="D93" t="s">
        <v>148</v>
      </c>
      <c r="E93" s="89">
        <f>HLOOKUP($D$5,'4.9 Comptes 2020 par habitant'!$E$3:$BE$158,87,0)</f>
        <v>39.122156013001081</v>
      </c>
    </row>
    <row r="94" spans="2:5" x14ac:dyDescent="0.3">
      <c r="C94">
        <v>421</v>
      </c>
      <c r="D94" t="s">
        <v>149</v>
      </c>
      <c r="E94" s="89">
        <f>HLOOKUP($D$5,'4.9 Comptes 2020 par habitant'!$E$3:$BE$158,88,0)</f>
        <v>12.885969664138678</v>
      </c>
    </row>
    <row r="95" spans="2:5" x14ac:dyDescent="0.3">
      <c r="C95">
        <v>422</v>
      </c>
      <c r="D95" t="s">
        <v>150</v>
      </c>
      <c r="E95" s="89">
        <f>HLOOKUP($D$5,'4.9 Comptes 2020 par habitant'!$E$3:$BE$158,89,0)</f>
        <v>0</v>
      </c>
    </row>
    <row r="96" spans="2:5" x14ac:dyDescent="0.3">
      <c r="C96">
        <v>423</v>
      </c>
      <c r="D96" t="s">
        <v>151</v>
      </c>
      <c r="E96" s="89">
        <f>HLOOKUP($D$5,'4.9 Comptes 2020 par habitant'!$E$3:$BE$158,90,0)</f>
        <v>4.4203683640303355</v>
      </c>
    </row>
    <row r="97" spans="2:5" x14ac:dyDescent="0.3">
      <c r="C97">
        <v>424</v>
      </c>
      <c r="D97" t="s">
        <v>152</v>
      </c>
      <c r="E97" s="89">
        <f>HLOOKUP($D$5,'4.9 Comptes 2020 par habitant'!$E$3:$BE$158,91,0)</f>
        <v>589.57237269772486</v>
      </c>
    </row>
    <row r="98" spans="2:5" x14ac:dyDescent="0.3">
      <c r="C98">
        <v>425</v>
      </c>
      <c r="D98" t="s">
        <v>153</v>
      </c>
      <c r="E98" s="89">
        <f>HLOOKUP($D$5,'4.9 Comptes 2020 par habitant'!$E$3:$BE$158,92,0)</f>
        <v>8.0440411700975076</v>
      </c>
    </row>
    <row r="99" spans="2:5" x14ac:dyDescent="0.3">
      <c r="C99">
        <v>426</v>
      </c>
      <c r="D99" t="s">
        <v>154</v>
      </c>
      <c r="E99" s="89">
        <f>HLOOKUP($D$5,'4.9 Comptes 2020 par habitant'!$E$3:$BE$158,93,0)</f>
        <v>43.35566630552546</v>
      </c>
    </row>
    <row r="100" spans="2:5" x14ac:dyDescent="0.3">
      <c r="C100">
        <v>427</v>
      </c>
      <c r="D100" t="s">
        <v>155</v>
      </c>
      <c r="E100" s="89">
        <f>HLOOKUP($D$5,'4.9 Comptes 2020 par habitant'!$E$3:$BE$158,94,0)</f>
        <v>0.23835319609967498</v>
      </c>
    </row>
    <row r="101" spans="2:5" x14ac:dyDescent="0.3">
      <c r="C101">
        <v>429</v>
      </c>
      <c r="D101" t="s">
        <v>156</v>
      </c>
      <c r="E101" s="89">
        <f>HLOOKUP($D$5,'4.9 Comptes 2020 par habitant'!$E$3:$BE$158,95,0)</f>
        <v>0</v>
      </c>
    </row>
    <row r="102" spans="2:5" x14ac:dyDescent="0.3">
      <c r="E102" s="4"/>
    </row>
    <row r="103" spans="2:5" x14ac:dyDescent="0.3">
      <c r="B103" s="96">
        <v>43</v>
      </c>
      <c r="C103" s="96"/>
      <c r="D103" s="96" t="s">
        <v>157</v>
      </c>
      <c r="E103" s="91">
        <f>SUM(E104:E107)</f>
        <v>0</v>
      </c>
    </row>
    <row r="104" spans="2:5" x14ac:dyDescent="0.3">
      <c r="C104">
        <v>430</v>
      </c>
      <c r="D104" t="s">
        <v>158</v>
      </c>
      <c r="E104" s="89">
        <f>HLOOKUP($D$5,'4.9 Comptes 2020 par habitant'!$E$3:$BE$158,98,0)</f>
        <v>0</v>
      </c>
    </row>
    <row r="105" spans="2:5" x14ac:dyDescent="0.3">
      <c r="C105">
        <v>431</v>
      </c>
      <c r="D105" t="s">
        <v>159</v>
      </c>
      <c r="E105" s="89">
        <f>HLOOKUP($D$5,'4.9 Comptes 2020 par habitant'!$E$3:$BE$158,99,0)</f>
        <v>0</v>
      </c>
    </row>
    <row r="106" spans="2:5" x14ac:dyDescent="0.3">
      <c r="C106">
        <v>432</v>
      </c>
      <c r="D106" t="s">
        <v>160</v>
      </c>
      <c r="E106" s="89">
        <f>HLOOKUP($D$5,'4.9 Comptes 2020 par habitant'!$E$3:$BE$158,100,0)</f>
        <v>0</v>
      </c>
    </row>
    <row r="107" spans="2:5" x14ac:dyDescent="0.3">
      <c r="C107">
        <v>439</v>
      </c>
      <c r="D107" t="s">
        <v>161</v>
      </c>
      <c r="E107" s="89">
        <f>HLOOKUP($D$5,'4.9 Comptes 2020 par habitant'!$E$3:$BE$158,101,0)</f>
        <v>0</v>
      </c>
    </row>
    <row r="108" spans="2:5" x14ac:dyDescent="0.3">
      <c r="E108" s="4"/>
    </row>
    <row r="109" spans="2:5" x14ac:dyDescent="0.3">
      <c r="B109" s="96">
        <v>44</v>
      </c>
      <c r="C109" s="96"/>
      <c r="D109" s="96" t="s">
        <v>162</v>
      </c>
      <c r="E109" s="91">
        <f>SUM(E110:E119)</f>
        <v>51.741224268689059</v>
      </c>
    </row>
    <row r="110" spans="2:5" x14ac:dyDescent="0.3">
      <c r="C110">
        <v>440</v>
      </c>
      <c r="D110" t="s">
        <v>163</v>
      </c>
      <c r="E110" s="89">
        <f>HLOOKUP($D$5,'4.9 Comptes 2020 par habitant'!$E$3:$BE$158,104,0)</f>
        <v>25.371939328277357</v>
      </c>
    </row>
    <row r="111" spans="2:5" x14ac:dyDescent="0.3">
      <c r="C111">
        <v>441</v>
      </c>
      <c r="D111" t="s">
        <v>164</v>
      </c>
      <c r="E111" s="89">
        <f>HLOOKUP($D$5,'4.9 Comptes 2020 par habitant'!$E$3:$BE$158,105,0)</f>
        <v>0</v>
      </c>
    </row>
    <row r="112" spans="2:5" x14ac:dyDescent="0.3">
      <c r="C112">
        <v>442</v>
      </c>
      <c r="D112" t="s">
        <v>165</v>
      </c>
      <c r="E112" s="89">
        <f>HLOOKUP($D$5,'4.9 Comptes 2020 par habitant'!$E$3:$BE$158,106,0)</f>
        <v>6.5113759479956665E-2</v>
      </c>
    </row>
    <row r="113" spans="2:5" x14ac:dyDescent="0.3">
      <c r="C113">
        <v>443</v>
      </c>
      <c r="D113" t="s">
        <v>166</v>
      </c>
      <c r="E113" s="89">
        <f>HLOOKUP($D$5,'4.9 Comptes 2020 par habitant'!$E$3:$BE$158,107,0)</f>
        <v>24.909534127843987</v>
      </c>
    </row>
    <row r="114" spans="2:5" x14ac:dyDescent="0.3">
      <c r="C114">
        <v>444</v>
      </c>
      <c r="D114" t="s">
        <v>106</v>
      </c>
      <c r="E114" s="89">
        <f>HLOOKUP($D$5,'4.9 Comptes 2020 par habitant'!$E$3:$BE$158,108,0)</f>
        <v>0</v>
      </c>
    </row>
    <row r="115" spans="2:5" x14ac:dyDescent="0.3">
      <c r="C115">
        <v>445</v>
      </c>
      <c r="D115" t="s">
        <v>167</v>
      </c>
      <c r="E115" s="89">
        <f>HLOOKUP($D$5,'4.9 Comptes 2020 par habitant'!$E$3:$BE$158,109,0)</f>
        <v>0</v>
      </c>
    </row>
    <row r="116" spans="2:5" x14ac:dyDescent="0.3">
      <c r="C116">
        <v>446</v>
      </c>
      <c r="D116" t="s">
        <v>168</v>
      </c>
      <c r="E116" s="89">
        <f>HLOOKUP($D$5,'4.9 Comptes 2020 par habitant'!$E$3:$BE$158,110,0)</f>
        <v>0</v>
      </c>
    </row>
    <row r="117" spans="2:5" x14ac:dyDescent="0.3">
      <c r="C117">
        <v>447</v>
      </c>
      <c r="D117" t="s">
        <v>169</v>
      </c>
      <c r="E117" s="89">
        <f>HLOOKUP($D$5,'4.9 Comptes 2020 par habitant'!$E$3:$BE$158,111,0)</f>
        <v>1.3946370530877572</v>
      </c>
    </row>
    <row r="118" spans="2:5" x14ac:dyDescent="0.3">
      <c r="C118">
        <v>448</v>
      </c>
      <c r="D118" t="s">
        <v>170</v>
      </c>
      <c r="E118" s="89">
        <f>HLOOKUP($D$5,'4.9 Comptes 2020 par habitant'!$E$3:$BE$158,112,0)</f>
        <v>0</v>
      </c>
    </row>
    <row r="119" spans="2:5" x14ac:dyDescent="0.3">
      <c r="C119">
        <v>449</v>
      </c>
      <c r="D119" t="s">
        <v>171</v>
      </c>
      <c r="E119" s="89">
        <f>HLOOKUP($D$5,'4.9 Comptes 2020 par habitant'!$E$3:$BE$158,113,0)</f>
        <v>0</v>
      </c>
    </row>
    <row r="120" spans="2:5" x14ac:dyDescent="0.3">
      <c r="E120" s="4"/>
    </row>
    <row r="121" spans="2:5" x14ac:dyDescent="0.3">
      <c r="B121" s="96">
        <v>45</v>
      </c>
      <c r="C121" s="96"/>
      <c r="D121" s="96" t="s">
        <v>174</v>
      </c>
      <c r="E121" s="91">
        <f>SUM(E122:E123)</f>
        <v>2.8303900325027085</v>
      </c>
    </row>
    <row r="122" spans="2:5" x14ac:dyDescent="0.3">
      <c r="C122">
        <v>450</v>
      </c>
      <c r="D122" t="s">
        <v>172</v>
      </c>
      <c r="E122" s="89">
        <f>HLOOKUP($D$5,'4.9 Comptes 2020 par habitant'!$E$3:$BE$158,116,0)</f>
        <v>2.8303900325027085</v>
      </c>
    </row>
    <row r="123" spans="2:5" x14ac:dyDescent="0.3">
      <c r="C123">
        <v>451</v>
      </c>
      <c r="D123" t="s">
        <v>173</v>
      </c>
      <c r="E123" s="89">
        <f>HLOOKUP($D$5,'4.9 Comptes 2020 par habitant'!$E$3:$BE$158,117,0)</f>
        <v>0</v>
      </c>
    </row>
    <row r="124" spans="2:5" x14ac:dyDescent="0.3">
      <c r="E124" s="4"/>
    </row>
    <row r="125" spans="2:5" x14ac:dyDescent="0.3">
      <c r="B125" s="96">
        <v>46</v>
      </c>
      <c r="C125" s="96"/>
      <c r="D125" s="96" t="s">
        <v>175</v>
      </c>
      <c r="E125" s="91">
        <f>SUM(E126:E130)</f>
        <v>311.6065005417118</v>
      </c>
    </row>
    <row r="126" spans="2:5" x14ac:dyDescent="0.3">
      <c r="C126">
        <v>460</v>
      </c>
      <c r="D126" t="s">
        <v>176</v>
      </c>
      <c r="E126" s="89">
        <f>HLOOKUP($D$5,'4.9 Comptes 2020 par habitant'!$E$3:$BE$158,120,0)</f>
        <v>4.5319609967497287</v>
      </c>
    </row>
    <row r="127" spans="2:5" x14ac:dyDescent="0.3">
      <c r="C127">
        <v>461</v>
      </c>
      <c r="D127" t="s">
        <v>177</v>
      </c>
      <c r="E127" s="89">
        <f>HLOOKUP($D$5,'4.9 Comptes 2020 par habitant'!$E$3:$BE$158,121,0)</f>
        <v>157.79225352112675</v>
      </c>
    </row>
    <row r="128" spans="2:5" x14ac:dyDescent="0.3">
      <c r="C128">
        <v>462</v>
      </c>
      <c r="D128" t="s">
        <v>113</v>
      </c>
      <c r="E128" s="89">
        <f>HLOOKUP($D$5,'4.9 Comptes 2020 par habitant'!$E$3:$BE$158,122,0)</f>
        <v>101.02058504875406</v>
      </c>
    </row>
    <row r="129" spans="2:5" x14ac:dyDescent="0.3">
      <c r="C129">
        <v>463</v>
      </c>
      <c r="D129" t="s">
        <v>178</v>
      </c>
      <c r="E129" s="89">
        <f>HLOOKUP($D$5,'4.9 Comptes 2020 par habitant'!$E$3:$BE$158,123,0)</f>
        <v>48.048916576381366</v>
      </c>
    </row>
    <row r="130" spans="2:5" x14ac:dyDescent="0.3">
      <c r="C130">
        <v>469</v>
      </c>
      <c r="D130" t="s">
        <v>179</v>
      </c>
      <c r="E130" s="89">
        <f>HLOOKUP($D$5,'4.9 Comptes 2020 par habitant'!$E$3:$BE$158,124,0)</f>
        <v>0.21278439869989166</v>
      </c>
    </row>
    <row r="131" spans="2:5" x14ac:dyDescent="0.3">
      <c r="E131" s="4"/>
    </row>
    <row r="132" spans="2:5" x14ac:dyDescent="0.3">
      <c r="B132" s="96">
        <v>47</v>
      </c>
      <c r="C132" s="96"/>
      <c r="D132" s="96" t="s">
        <v>119</v>
      </c>
      <c r="E132" s="91">
        <f>SUM(E133)</f>
        <v>0</v>
      </c>
    </row>
    <row r="133" spans="2:5" x14ac:dyDescent="0.3">
      <c r="C133">
        <v>470</v>
      </c>
      <c r="D133" t="s">
        <v>180</v>
      </c>
      <c r="E133" s="89">
        <f>HLOOKUP($D$5,'4.9 Comptes 2020 par habitant'!$E$3:$BE$158,127,0)</f>
        <v>0</v>
      </c>
    </row>
    <row r="134" spans="2:5" x14ac:dyDescent="0.3">
      <c r="E134" s="4"/>
    </row>
    <row r="135" spans="2:5" x14ac:dyDescent="0.3">
      <c r="B135" s="96">
        <v>48</v>
      </c>
      <c r="C135" s="96"/>
      <c r="D135" s="96" t="s">
        <v>181</v>
      </c>
      <c r="E135" s="91">
        <f>SUM(E136:E142)</f>
        <v>0</v>
      </c>
    </row>
    <row r="136" spans="2:5" x14ac:dyDescent="0.3">
      <c r="C136">
        <v>481</v>
      </c>
      <c r="D136" t="s">
        <v>182</v>
      </c>
      <c r="E136" s="89">
        <f>HLOOKUP($D$5,'4.9 Comptes 2020 par habitant'!$E$3:$BE$158,130,0)</f>
        <v>0</v>
      </c>
    </row>
    <row r="137" spans="2:5" x14ac:dyDescent="0.3">
      <c r="C137">
        <v>482</v>
      </c>
      <c r="D137" t="s">
        <v>183</v>
      </c>
      <c r="E137" s="89">
        <f>HLOOKUP($D$5,'4.9 Comptes 2020 par habitant'!$E$3:$BE$158,131,0)</f>
        <v>0</v>
      </c>
    </row>
    <row r="138" spans="2:5" x14ac:dyDescent="0.3">
      <c r="C138">
        <v>483</v>
      </c>
      <c r="D138" t="s">
        <v>184</v>
      </c>
      <c r="E138" s="89">
        <f>HLOOKUP($D$5,'4.9 Comptes 2020 par habitant'!$E$3:$BE$158,132,0)</f>
        <v>0</v>
      </c>
    </row>
    <row r="139" spans="2:5" x14ac:dyDescent="0.3">
      <c r="C139">
        <v>484</v>
      </c>
      <c r="D139" t="s">
        <v>185</v>
      </c>
      <c r="E139" s="89">
        <f>HLOOKUP($D$5,'4.9 Comptes 2020 par habitant'!$E$3:$BE$158,133,0)</f>
        <v>0</v>
      </c>
    </row>
    <row r="140" spans="2:5" x14ac:dyDescent="0.3">
      <c r="C140">
        <v>485</v>
      </c>
      <c r="D140" t="s">
        <v>186</v>
      </c>
      <c r="E140" s="89">
        <f>HLOOKUP($D$5,'4.9 Comptes 2020 par habitant'!$E$3:$BE$158,134,0)</f>
        <v>0</v>
      </c>
    </row>
    <row r="141" spans="2:5" x14ac:dyDescent="0.3">
      <c r="C141">
        <v>486</v>
      </c>
      <c r="D141" t="s">
        <v>187</v>
      </c>
      <c r="E141" s="89">
        <f>HLOOKUP($D$5,'4.9 Comptes 2020 par habitant'!$E$3:$BE$158,135,0)</f>
        <v>0</v>
      </c>
    </row>
    <row r="142" spans="2:5" x14ac:dyDescent="0.3">
      <c r="C142">
        <v>489</v>
      </c>
      <c r="D142" t="s">
        <v>188</v>
      </c>
      <c r="E142" s="89">
        <f>HLOOKUP($D$5,'4.9 Comptes 2020 par habitant'!$E$3:$BE$158,136,0)</f>
        <v>0</v>
      </c>
    </row>
    <row r="143" spans="2:5" x14ac:dyDescent="0.3">
      <c r="E143" s="4"/>
    </row>
    <row r="144" spans="2:5" x14ac:dyDescent="0.3">
      <c r="B144" s="96">
        <v>49</v>
      </c>
      <c r="C144" s="96"/>
      <c r="D144" s="96" t="s">
        <v>128</v>
      </c>
      <c r="E144" s="91">
        <f>SUM(E145:E152)</f>
        <v>53.007583965330447</v>
      </c>
    </row>
    <row r="145" spans="1:5" x14ac:dyDescent="0.3">
      <c r="C145">
        <v>490</v>
      </c>
      <c r="D145" t="s">
        <v>129</v>
      </c>
      <c r="E145" s="89">
        <f>HLOOKUP($D$5,'4.9 Comptes 2020 par habitant'!$E$3:$BE$158,139,0)</f>
        <v>0</v>
      </c>
    </row>
    <row r="146" spans="1:5" x14ac:dyDescent="0.3">
      <c r="C146">
        <v>491</v>
      </c>
      <c r="D146" t="s">
        <v>130</v>
      </c>
      <c r="E146" s="89">
        <f>HLOOKUP($D$5,'4.9 Comptes 2020 par habitant'!$E$3:$BE$158,140,0)</f>
        <v>53.007583965330447</v>
      </c>
    </row>
    <row r="147" spans="1:5" x14ac:dyDescent="0.3">
      <c r="C147">
        <v>492</v>
      </c>
      <c r="D147" t="s">
        <v>189</v>
      </c>
      <c r="E147" s="89">
        <f>HLOOKUP($D$5,'4.9 Comptes 2020 par habitant'!$E$3:$BE$158,141,0)</f>
        <v>0</v>
      </c>
    </row>
    <row r="148" spans="1:5" x14ac:dyDescent="0.3">
      <c r="C148">
        <v>493</v>
      </c>
      <c r="D148" t="s">
        <v>190</v>
      </c>
      <c r="E148" s="89">
        <f>HLOOKUP($D$5,'4.9 Comptes 2020 par habitant'!$E$3:$BE$158,142,0)</f>
        <v>0</v>
      </c>
    </row>
    <row r="149" spans="1:5" x14ac:dyDescent="0.3">
      <c r="C149">
        <v>494</v>
      </c>
      <c r="D149" t="s">
        <v>133</v>
      </c>
      <c r="E149" s="89">
        <f>HLOOKUP($D$5,'4.9 Comptes 2020 par habitant'!$E$3:$BE$158,143,0)</f>
        <v>0</v>
      </c>
    </row>
    <row r="150" spans="1:5" x14ac:dyDescent="0.3">
      <c r="C150">
        <v>495</v>
      </c>
      <c r="D150" t="s">
        <v>191</v>
      </c>
      <c r="E150" s="89">
        <f>HLOOKUP($D$5,'4.9 Comptes 2020 par habitant'!$E$3:$BE$158,144,0)</f>
        <v>0</v>
      </c>
    </row>
    <row r="151" spans="1:5" x14ac:dyDescent="0.3">
      <c r="C151">
        <v>498</v>
      </c>
      <c r="D151" t="s">
        <v>192</v>
      </c>
      <c r="E151" s="89">
        <f>HLOOKUP($D$5,'4.9 Comptes 2020 par habitant'!$E$3:$BE$158,145,0)</f>
        <v>0</v>
      </c>
    </row>
    <row r="152" spans="1:5" x14ac:dyDescent="0.3">
      <c r="C152">
        <v>499</v>
      </c>
      <c r="D152" t="s">
        <v>136</v>
      </c>
      <c r="E152" s="89">
        <f>HLOOKUP($D$5,'4.9 Comptes 2020 par habitant'!$E$3:$BE$158,146,0)</f>
        <v>0</v>
      </c>
    </row>
    <row r="153" spans="1:5" x14ac:dyDescent="0.3">
      <c r="E153" s="4"/>
    </row>
    <row r="154" spans="1:5" x14ac:dyDescent="0.3">
      <c r="E154" s="4"/>
    </row>
    <row r="155" spans="1:5" x14ac:dyDescent="0.3">
      <c r="E155" s="4"/>
    </row>
    <row r="156" spans="1:5" x14ac:dyDescent="0.3">
      <c r="A156" s="106">
        <v>9</v>
      </c>
      <c r="B156" s="106"/>
      <c r="C156" s="106"/>
      <c r="D156" s="106" t="s">
        <v>194</v>
      </c>
      <c r="E156" s="107"/>
    </row>
    <row r="157" spans="1:5" x14ac:dyDescent="0.3">
      <c r="A157" s="106"/>
      <c r="B157" s="106">
        <v>90</v>
      </c>
      <c r="C157" s="106"/>
      <c r="D157" s="106" t="s">
        <v>195</v>
      </c>
      <c r="E157" s="108">
        <f>SUM(E158:E159)</f>
        <v>366.27193932827737</v>
      </c>
    </row>
    <row r="158" spans="1:5" x14ac:dyDescent="0.3">
      <c r="C158">
        <v>900</v>
      </c>
      <c r="D158" t="s">
        <v>196</v>
      </c>
      <c r="E158" s="89">
        <f>HLOOKUP($D$5,'4.9 Comptes 2020 par habitant'!$E$3:$BE$158,152,0)</f>
        <v>6.5169555796316354</v>
      </c>
    </row>
    <row r="159" spans="1:5" x14ac:dyDescent="0.3">
      <c r="C159">
        <v>901</v>
      </c>
      <c r="D159" t="s">
        <v>197</v>
      </c>
      <c r="E159" s="89">
        <f>HLOOKUP($D$5,'4.9 Comptes 2020 par habitant'!$E$3:$BE$158,153,0)</f>
        <v>359.75498374864571</v>
      </c>
    </row>
    <row r="160" spans="1:5" x14ac:dyDescent="0.3">
      <c r="E160" s="4"/>
    </row>
    <row r="161" spans="4:5" x14ac:dyDescent="0.3">
      <c r="D161" s="7" t="s">
        <v>198</v>
      </c>
      <c r="E161" s="80">
        <f>HLOOKUP($D$5,'4.9 Comptes 2020 par habitant'!$E$3:$BE$158,155,0)</f>
        <v>366.27193932827737</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2020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2020 natures</vt:lpstr>
      <vt:lpstr>Graphique par nature</vt:lpstr>
      <vt:lpstr>Résultats par commune</vt:lpstr>
      <vt:lpstr>4.2 Comptes 2020 par commune</vt:lpstr>
      <vt:lpstr>4.9 Comptes 2020 par habitant</vt:lpstr>
      <vt:lpstr>4.10 Comptes 2020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7.11 Indicateurs par commune</vt:lpstr>
      <vt:lpstr>Bourgeoisies Comptes 2020</vt:lpstr>
      <vt:lpstr>Comptes 2020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bourrgeoisie</vt:lpstr>
      <vt:lpstr>Bourgeoisie endettement</vt:lpstr>
      <vt:lpstr>Endettement par bourgeoisie</vt:lpstr>
      <vt:lpstr>Bourgeoisie investissement</vt:lpstr>
      <vt:lpstr>Investissement par bourgeoisie</vt:lpstr>
      <vt:lpstr>Syndicats comptes 2020</vt:lpstr>
      <vt:lpstr>Comptes 2020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Riat Christophe</cp:lastModifiedBy>
  <cp:lastPrinted>2022-06-08T07:02:35Z</cp:lastPrinted>
  <dcterms:created xsi:type="dcterms:W3CDTF">2015-10-26T07:38:03Z</dcterms:created>
  <dcterms:modified xsi:type="dcterms:W3CDTF">2022-06-14T23:26:55Z</dcterms:modified>
</cp:coreProperties>
</file>