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48" activeTab="48"/>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8.1 Bourgeoisies Comptes 2021" sheetId="55" state="hidden" r:id="rId38"/>
    <sheet name="8.2 Comptes par Bourgeoisie" sheetId="56" state="hidden" r:id="rId39"/>
    <sheet name="8.5 Bourgeoisie vue d'ensemble" sheetId="57" state="hidden" r:id="rId40"/>
    <sheet name="8.6 Vue par Bourgeoisie" sheetId="58" state="hidden" r:id="rId41"/>
    <sheet name="8.3 Bourgeoisie 3 niveaux" sheetId="59" state="hidden" r:id="rId42"/>
    <sheet name="8.4 3 niveaux par bourgeoisie" sheetId="60" state="hidden" r:id="rId43"/>
    <sheet name="8.7 Autofinancement" sheetId="61" state="hidden" r:id="rId44"/>
    <sheet name="8.8 par Bourgeoisie" sheetId="62" state="hidden" r:id="rId45"/>
    <sheet name="8.9 Bourgeoisie bilan" sheetId="63" state="hidden" r:id="rId46"/>
    <sheet name="8.10 Bilan par bourgeoisie" sheetId="64" state="hidden" r:id="rId47"/>
    <sheet name="8.11 Bourgeoisie endettement" sheetId="65" state="hidden" r:id="rId48"/>
    <sheet name="8.12Endettement par bourgeoisie" sheetId="66" r:id="rId49"/>
    <sheet name="8.13 Bourgeoisie investissement" sheetId="67" state="hidden" r:id="rId50"/>
    <sheet name="8.14 par bourgeoisie" sheetId="68" state="hidden" r:id="rId51"/>
    <sheet name="9.1 Syndicats comptes 2021" sheetId="69" state="hidden" r:id="rId52"/>
    <sheet name="9.2 Comptes 2021 par Syndicats" sheetId="70" state="hidden" r:id="rId53"/>
    <sheet name="9.5 Syndicats vue d'ensemble" sheetId="71" state="hidden" r:id="rId54"/>
    <sheet name="9.6 Vue d'ensemble par syndicat" sheetId="72" state="hidden" r:id="rId55"/>
    <sheet name="9.3 Syndicats à 3 niveaux" sheetId="73" state="hidden" r:id="rId56"/>
    <sheet name="9.4 3 niveaux par syndicat" sheetId="74" state="hidden" r:id="rId57"/>
    <sheet name="9.7 Syndicats Bilan" sheetId="75" state="hidden" r:id="rId58"/>
    <sheet name="9.8 Bilan par Syndicats" sheetId="76" state="hidden" r:id="rId59"/>
    <sheet name="9.9 Syndicats endettement" sheetId="77" state="hidden" r:id="rId60"/>
    <sheet name="9.10 Endettement par syndicat" sheetId="78" state="hidden" r:id="rId61"/>
  </sheets>
  <definedNames>
    <definedName name="_xlnm.Print_Area" localSheetId="13">'4.7 Autofinancement'!$A$1:$D$92</definedName>
    <definedName name="_xlnm.Print_Area" localSheetId="44">'8.8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<sst xmlns="http://schemas.openxmlformats.org/spreadsheetml/2006/main" count="5456" uniqueCount="864">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</sst>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4">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9" t="s">
        <v>71</v>
      </c>
      <c r="C5" s="220"/>
      <c r="D5" s="221"/>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6" t="s">
        <v>740</v>
      </c>
      <c r="H2" s="217"/>
      <c r="I2" s="217"/>
      <c r="J2" s="217"/>
      <c r="K2" s="218"/>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2" t="s">
        <v>645</v>
      </c>
      <c r="B14" s="223"/>
      <c r="C14" s="223"/>
      <c r="D14" s="223"/>
      <c r="E14" s="223"/>
      <c r="F14" s="223"/>
      <c r="G14" s="223"/>
      <c r="H14" s="224"/>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2" t="s">
        <v>657</v>
      </c>
      <c r="B24" s="223"/>
      <c r="C24" s="223"/>
      <c r="D24" s="223"/>
      <c r="E24" s="223"/>
      <c r="F24" s="223"/>
      <c r="G24" s="223"/>
      <c r="H24" s="224"/>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2" t="s">
        <v>665</v>
      </c>
      <c r="B32" s="223"/>
      <c r="C32" s="223"/>
      <c r="D32" s="223"/>
      <c r="E32" s="223"/>
      <c r="F32" s="223"/>
      <c r="G32" s="223"/>
      <c r="H32" s="224"/>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2" t="s">
        <v>676</v>
      </c>
      <c r="B42" s="223"/>
      <c r="C42" s="223"/>
      <c r="D42" s="223"/>
      <c r="E42" s="223"/>
      <c r="F42" s="223"/>
      <c r="G42" s="223"/>
      <c r="H42" s="224"/>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2" t="s">
        <v>687</v>
      </c>
      <c r="B53" s="223"/>
      <c r="C53" s="223"/>
      <c r="D53" s="223"/>
      <c r="E53" s="223"/>
      <c r="F53" s="223"/>
      <c r="G53" s="223"/>
      <c r="H53" s="224"/>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2" t="s">
        <v>696</v>
      </c>
      <c r="B62" s="223"/>
      <c r="C62" s="223"/>
      <c r="D62" s="223"/>
      <c r="E62" s="223"/>
      <c r="F62" s="223"/>
      <c r="G62" s="223"/>
      <c r="H62" s="224"/>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2" t="s">
        <v>705</v>
      </c>
      <c r="B71" s="223"/>
      <c r="C71" s="223"/>
      <c r="D71" s="223"/>
      <c r="E71" s="223"/>
      <c r="F71" s="223"/>
      <c r="G71" s="223"/>
      <c r="H71" s="224"/>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2" t="s">
        <v>717</v>
      </c>
      <c r="B81" s="223"/>
      <c r="C81" s="223"/>
      <c r="D81" s="223"/>
      <c r="E81" s="223"/>
      <c r="F81" s="223"/>
      <c r="G81" s="223"/>
      <c r="H81" s="224"/>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2" t="s">
        <v>724</v>
      </c>
      <c r="B89" s="223"/>
      <c r="C89" s="223"/>
      <c r="D89" s="223"/>
      <c r="E89" s="223"/>
      <c r="F89" s="223"/>
      <c r="G89" s="223"/>
      <c r="H89" s="224"/>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2" t="s">
        <v>732</v>
      </c>
      <c r="B98" s="223"/>
      <c r="C98" s="223"/>
      <c r="D98" s="223"/>
      <c r="E98" s="223"/>
      <c r="F98" s="223"/>
      <c r="G98" s="223"/>
      <c r="H98" s="224"/>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5" t="s">
        <v>494</v>
      </c>
      <c r="B8" s="225"/>
      <c r="C8" s="225"/>
      <c r="D8" s="225"/>
    </row>
    <row r="9" spans="1:60" ht="15.75" thickBot="1" x14ac:dyDescent="0.3"/>
    <row r="10" spans="1:60" ht="15.75" thickBot="1" x14ac:dyDescent="0.3">
      <c r="A10" s="226" t="s">
        <v>566</v>
      </c>
      <c r="B10" s="227"/>
      <c r="C10" s="227"/>
      <c r="D10" s="228"/>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5"/>
      <c r="B1" s="225"/>
      <c r="C1" s="225"/>
      <c r="D1" s="225"/>
    </row>
    <row r="2" spans="1:8" ht="18.75" x14ac:dyDescent="0.3">
      <c r="A2" s="232" t="s">
        <v>855</v>
      </c>
      <c r="B2" s="232"/>
      <c r="C2" s="232"/>
      <c r="D2" s="232"/>
      <c r="E2" s="225"/>
      <c r="F2" s="225"/>
      <c r="G2" s="225"/>
      <c r="H2" s="225"/>
    </row>
    <row r="3" spans="1:8" ht="18.75" x14ac:dyDescent="0.3">
      <c r="A3" s="155"/>
      <c r="B3" s="155"/>
      <c r="C3" s="155"/>
      <c r="D3" s="155"/>
      <c r="E3" s="155"/>
      <c r="F3" s="155"/>
      <c r="G3" s="155"/>
      <c r="H3" s="155"/>
    </row>
    <row r="4" spans="1:8" ht="15.75" thickBot="1" x14ac:dyDescent="0.3">
      <c r="B4" s="233" t="s">
        <v>797</v>
      </c>
      <c r="C4" s="233"/>
      <c r="D4" s="233"/>
    </row>
    <row r="5" spans="1:8" ht="15.75" thickBot="1" x14ac:dyDescent="0.3">
      <c r="A5" s="156" t="s">
        <v>573</v>
      </c>
      <c r="B5" s="219" t="s">
        <v>71</v>
      </c>
      <c r="C5" s="220"/>
      <c r="D5" s="221"/>
      <c r="F5" s="110"/>
    </row>
    <row r="6" spans="1:8" ht="15.75" thickBot="1" x14ac:dyDescent="0.3">
      <c r="E6" s="7"/>
      <c r="H6" s="117"/>
    </row>
    <row r="7" spans="1:8" ht="15.75" thickBot="1" x14ac:dyDescent="0.3">
      <c r="A7" s="229" t="s">
        <v>566</v>
      </c>
      <c r="B7" s="230"/>
      <c r="C7" s="230"/>
      <c r="D7" s="231"/>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M136" activePane="bottomRight" state="frozen"/>
      <selection pane="topRight" activeCell="E1" sqref="E1"/>
      <selection pane="bottomLeft" activeCell="A4" sqref="A4"/>
      <selection pane="bottomRight" activeCell="M155" sqref="M155"/>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E3" sqref="E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752</v>
      </c>
    </row>
    <row r="7" spans="1:5" x14ac:dyDescent="0.25">
      <c r="E7" s="65" t="s">
        <v>202</v>
      </c>
    </row>
    <row r="8" spans="1:5" ht="21" x14ac:dyDescent="0.35">
      <c r="A8" s="92">
        <v>3</v>
      </c>
      <c r="B8" s="92"/>
      <c r="C8" s="92"/>
      <c r="D8" s="92" t="s">
        <v>60</v>
      </c>
      <c r="E8" s="171">
        <f>HLOOKUP($D$5,'8.1 Bourgeoisies Comptes 2021'!$E$3:$R$165,2,0)</f>
        <v>12237.75</v>
      </c>
    </row>
    <row r="9" spans="1:5" x14ac:dyDescent="0.25">
      <c r="A9" s="94"/>
      <c r="B9" s="94">
        <v>30</v>
      </c>
      <c r="C9" s="94"/>
      <c r="D9" s="94" t="s">
        <v>61</v>
      </c>
      <c r="E9" s="95">
        <f>HLOOKUP($D$5,'8.1 Bourgeoisies Comptes 2021'!$E$3:$R$165,3,0)</f>
        <v>2263.3000000000002</v>
      </c>
    </row>
    <row r="10" spans="1:5" x14ac:dyDescent="0.25">
      <c r="C10">
        <v>300</v>
      </c>
      <c r="D10" t="s">
        <v>80</v>
      </c>
      <c r="E10" s="89">
        <f>HLOOKUP($D$5,'8.1 Bourgeoisies Comptes 2021'!$E$3:$R$165,4,0)</f>
        <v>450</v>
      </c>
    </row>
    <row r="11" spans="1:5" x14ac:dyDescent="0.25">
      <c r="C11">
        <v>301</v>
      </c>
      <c r="D11" t="s">
        <v>81</v>
      </c>
      <c r="E11" s="89">
        <f>HLOOKUP($D$5,'8.1 Bourgeoisies Comptes 2021'!$E$3:$R$165,5,0)</f>
        <v>1490.7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0</v>
      </c>
    </row>
    <row r="15" spans="1:5" x14ac:dyDescent="0.25">
      <c r="C15">
        <v>305</v>
      </c>
      <c r="D15" t="s">
        <v>84</v>
      </c>
      <c r="E15" s="89">
        <f>HLOOKUP($D$5,'8.1 Bourgeoisies Comptes 2021'!$E$3:$R$165,9,0)</f>
        <v>322.60000000000002</v>
      </c>
    </row>
    <row r="16" spans="1:5" x14ac:dyDescent="0.25">
      <c r="C16">
        <v>306</v>
      </c>
      <c r="D16" t="s">
        <v>85</v>
      </c>
      <c r="E16" s="89">
        <f>HLOOKUP($D$5,'8.1 Bourgeoisies Comptes 2021'!$E$3:$R$165,10,0)</f>
        <v>0</v>
      </c>
    </row>
    <row r="17" spans="2:5" x14ac:dyDescent="0.25">
      <c r="C17">
        <v>309</v>
      </c>
      <c r="D17" t="s">
        <v>86</v>
      </c>
      <c r="E17" s="89">
        <f>HLOOKUP($D$5,'8.1 Bourgeoisies Comptes 2021'!$E$3:$R$165,11,0)</f>
        <v>0</v>
      </c>
    </row>
    <row r="18" spans="2:5" x14ac:dyDescent="0.25">
      <c r="E18" s="4"/>
    </row>
    <row r="19" spans="2:5" x14ac:dyDescent="0.25">
      <c r="B19" s="94">
        <v>31</v>
      </c>
      <c r="C19" s="94"/>
      <c r="D19" s="94" t="s">
        <v>87</v>
      </c>
      <c r="E19" s="95">
        <f>SUM(E20:E29)</f>
        <v>7152.1999999999989</v>
      </c>
    </row>
    <row r="20" spans="2:5" x14ac:dyDescent="0.25">
      <c r="C20">
        <v>310</v>
      </c>
      <c r="D20" t="s">
        <v>88</v>
      </c>
      <c r="E20" s="89">
        <f>HLOOKUP($D$5,'8.1 Bourgeoisies Comptes 2021'!$E$3:$R$165,14,0)</f>
        <v>53.95</v>
      </c>
    </row>
    <row r="21" spans="2:5" x14ac:dyDescent="0.25">
      <c r="C21">
        <v>311</v>
      </c>
      <c r="D21" t="s">
        <v>452</v>
      </c>
      <c r="E21" s="89">
        <f>HLOOKUP($D$5,'8.1 Bourgeoisies Comptes 2021'!$E$3:$R$165,15,0)</f>
        <v>0</v>
      </c>
    </row>
    <row r="22" spans="2:5" x14ac:dyDescent="0.25">
      <c r="C22">
        <v>312</v>
      </c>
      <c r="D22" t="s">
        <v>90</v>
      </c>
      <c r="E22" s="89">
        <f>HLOOKUP($D$5,'8.1 Bourgeoisies Comptes 2021'!$E$3:$R$165,16,0)</f>
        <v>1259.45</v>
      </c>
    </row>
    <row r="23" spans="2:5" x14ac:dyDescent="0.25">
      <c r="C23">
        <v>313</v>
      </c>
      <c r="D23" t="s">
        <v>91</v>
      </c>
      <c r="E23" s="89">
        <f>HLOOKUP($D$5,'8.1 Bourgeoisies Comptes 2021'!$E$3:$R$165,17,0)</f>
        <v>4932.6499999999996</v>
      </c>
    </row>
    <row r="24" spans="2:5" x14ac:dyDescent="0.25">
      <c r="C24">
        <v>314</v>
      </c>
      <c r="D24" t="s">
        <v>92</v>
      </c>
      <c r="E24" s="89">
        <f>HLOOKUP($D$5,'8.1 Bourgeoisies Comptes 2021'!$E$3:$R$165,18,0)</f>
        <v>0</v>
      </c>
    </row>
    <row r="25" spans="2:5" x14ac:dyDescent="0.25">
      <c r="C25">
        <v>315</v>
      </c>
      <c r="D25" t="s">
        <v>93</v>
      </c>
      <c r="E25" s="89">
        <f>HLOOKUP($D$5,'8.1 Bourgeoisies Comptes 2021'!$E$3:$R$165,19,0)</f>
        <v>270.2</v>
      </c>
    </row>
    <row r="26" spans="2:5" x14ac:dyDescent="0.25">
      <c r="C26">
        <v>316</v>
      </c>
      <c r="D26" t="s">
        <v>94</v>
      </c>
      <c r="E26" s="89">
        <f>HLOOKUP($D$5,'8.1 Bourgeoisies Comptes 2021'!$E$3:$R$165,20,0)</f>
        <v>0</v>
      </c>
    </row>
    <row r="27" spans="2:5" x14ac:dyDescent="0.25">
      <c r="C27">
        <v>317</v>
      </c>
      <c r="D27" t="s">
        <v>95</v>
      </c>
      <c r="E27" s="89">
        <f>HLOOKUP($D$5,'8.1 Bourgeoisies Comptes 2021'!$E$3:$R$165,21,0)</f>
        <v>635.95000000000005</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1332.5</v>
      </c>
    </row>
    <row r="32" spans="2:5" x14ac:dyDescent="0.25">
      <c r="C32">
        <v>330</v>
      </c>
      <c r="D32" t="s">
        <v>100</v>
      </c>
      <c r="E32" s="89">
        <f>HLOOKUP($D$5,'8.1 Bourgeoisies Comptes 2021'!$E$3:$R$165,26,0)</f>
        <v>1332.5</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0</v>
      </c>
    </row>
    <row r="36" spans="2:5" x14ac:dyDescent="0.25">
      <c r="C36">
        <v>340</v>
      </c>
      <c r="D36" t="s">
        <v>102</v>
      </c>
      <c r="E36" s="89">
        <f>HLOOKUP($D$5,'8.1 Bourgeoisies Comptes 2021'!$E$3:$R$165,30,0)</f>
        <v>0</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0</v>
      </c>
    </row>
    <row r="40" spans="2:5" x14ac:dyDescent="0.25">
      <c r="C40">
        <v>344</v>
      </c>
      <c r="D40" t="s">
        <v>106</v>
      </c>
      <c r="E40" s="89">
        <f>HLOOKUP($D$5,'8.1 Bourgeoisies Comptes 2021'!$E$3:$R$165,34,0)</f>
        <v>0</v>
      </c>
    </row>
    <row r="41" spans="2:5" x14ac:dyDescent="0.25">
      <c r="C41">
        <v>349</v>
      </c>
      <c r="D41" t="s">
        <v>107</v>
      </c>
      <c r="E41" s="89">
        <f>HLOOKUP($D$5,'8.1 Bourgeoisies Comptes 2021'!$E$3:$R$165,35,0)</f>
        <v>0</v>
      </c>
    </row>
    <row r="42" spans="2:5" x14ac:dyDescent="0.25">
      <c r="E42" s="4"/>
    </row>
    <row r="43" spans="2:5" x14ac:dyDescent="0.25">
      <c r="B43" s="94">
        <v>35</v>
      </c>
      <c r="C43" s="94"/>
      <c r="D43" s="94" t="s">
        <v>109</v>
      </c>
      <c r="E43" s="95">
        <f>SUM(E44:E45)</f>
        <v>0</v>
      </c>
    </row>
    <row r="44" spans="2:5" x14ac:dyDescent="0.25">
      <c r="C44">
        <v>350</v>
      </c>
      <c r="D44" t="s">
        <v>109</v>
      </c>
      <c r="E44" s="89">
        <f>HLOOKUP($D$5,'8.1 Bourgeoisies Comptes 2021'!$E$3:$R$165,38,0)</f>
        <v>0</v>
      </c>
    </row>
    <row r="45" spans="2:5" x14ac:dyDescent="0.25">
      <c r="C45">
        <v>351</v>
      </c>
      <c r="D45" t="s">
        <v>108</v>
      </c>
      <c r="E45" s="89">
        <f>HLOOKUP($D$5,'8.1 Bourgeoisies Comptes 2021'!$E$3:$R$165,39,0)</f>
        <v>0</v>
      </c>
    </row>
    <row r="46" spans="2:5" x14ac:dyDescent="0.25">
      <c r="E46" s="4"/>
    </row>
    <row r="47" spans="2:5" x14ac:dyDescent="0.25">
      <c r="B47" s="94">
        <v>36</v>
      </c>
      <c r="C47" s="94"/>
      <c r="D47" s="94" t="s">
        <v>110</v>
      </c>
      <c r="E47" s="95">
        <f>SUM(E48:E55)</f>
        <v>1489.75</v>
      </c>
    </row>
    <row r="48" spans="2:5" x14ac:dyDescent="0.25">
      <c r="C48">
        <v>360</v>
      </c>
      <c r="D48" t="s">
        <v>111</v>
      </c>
      <c r="E48" s="89">
        <f>HLOOKUP($D$5,'8.1 Bourgeoisies Comptes 2021'!$E$3:$R$165,42,0)</f>
        <v>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1489.75</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5745.8399999999992</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1495</v>
      </c>
    </row>
    <row r="93" spans="2:5" x14ac:dyDescent="0.25">
      <c r="C93">
        <v>420</v>
      </c>
      <c r="D93" t="s">
        <v>148</v>
      </c>
      <c r="E93" s="89">
        <f>HLOOKUP($D$5,'8.1 Bourgeoisies Comptes 2021'!$E$3:$R$165,87,0)</f>
        <v>0</v>
      </c>
    </row>
    <row r="94" spans="2:5" x14ac:dyDescent="0.25">
      <c r="C94">
        <v>421</v>
      </c>
      <c r="D94" t="s">
        <v>149</v>
      </c>
      <c r="E94" s="89">
        <f>HLOOKUP($D$5,'8.1 Bourgeoisies Comptes 2021'!$E$3:$R$165,88,0)</f>
        <v>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0</v>
      </c>
    </row>
    <row r="98" spans="2:5" x14ac:dyDescent="0.25">
      <c r="C98">
        <v>425</v>
      </c>
      <c r="D98" t="s">
        <v>153</v>
      </c>
      <c r="E98" s="89">
        <f>HLOOKUP($D$5,'8.1 Bourgeoisies Comptes 2021'!$E$3:$R$165,92,0)</f>
        <v>1495</v>
      </c>
    </row>
    <row r="99" spans="2:5" x14ac:dyDescent="0.25">
      <c r="C99">
        <v>426</v>
      </c>
      <c r="D99" t="s">
        <v>154</v>
      </c>
      <c r="E99" s="89">
        <f>HLOOKUP($D$5,'8.1 Bourgeoisies Comptes 2021'!$E$3:$R$165,93,0)</f>
        <v>0</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HLOOKUP($D$5,'8.1 Bourgeoisies Comptes 2021'!$E$3:$R$165,98,0)</f>
        <v>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3625.72</v>
      </c>
    </row>
    <row r="110" spans="2:5" x14ac:dyDescent="0.25">
      <c r="C110">
        <v>440</v>
      </c>
      <c r="D110" t="s">
        <v>163</v>
      </c>
      <c r="E110" s="89">
        <f>HLOOKUP($D$5,'8.1 Bourgeoisies Comptes 2021'!$E$3:$R$165,104,0)</f>
        <v>79.89</v>
      </c>
    </row>
    <row r="111" spans="2:5" x14ac:dyDescent="0.25">
      <c r="C111">
        <v>441</v>
      </c>
      <c r="D111" t="s">
        <v>164</v>
      </c>
      <c r="E111" s="89">
        <f>HLOOKUP($D$5,'8.1 Bourgeoisies Comptes 2021'!$E$3:$R$165,105,0)</f>
        <v>0</v>
      </c>
    </row>
    <row r="112" spans="2:5" x14ac:dyDescent="0.25">
      <c r="C112">
        <v>442</v>
      </c>
      <c r="D112" t="s">
        <v>165</v>
      </c>
      <c r="E112" s="89">
        <f>HLOOKUP($D$5,'8.1 Bourgeoisies Comptes 2021'!$E$3:$R$165,106,0)</f>
        <v>0</v>
      </c>
    </row>
    <row r="113" spans="2:5" x14ac:dyDescent="0.25">
      <c r="C113">
        <v>443</v>
      </c>
      <c r="D113" t="s">
        <v>166</v>
      </c>
      <c r="E113" s="89">
        <f>HLOOKUP($D$5,'8.1 Bourgeoisies Comptes 2021'!$E$3:$R$165,107,0)</f>
        <v>0</v>
      </c>
    </row>
    <row r="114" spans="2:5" x14ac:dyDescent="0.25">
      <c r="C114">
        <v>444</v>
      </c>
      <c r="D114" t="s">
        <v>106</v>
      </c>
      <c r="E114" s="89">
        <f>HLOOKUP($D$5,'8.1 Bourgeoisies Comptes 2021'!$E$3:$R$165,108,0)</f>
        <v>0</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3569</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-23.17</v>
      </c>
    </row>
    <row r="120" spans="2:5" x14ac:dyDescent="0.25">
      <c r="E120" s="4"/>
    </row>
    <row r="121" spans="2:5" x14ac:dyDescent="0.25">
      <c r="B121" s="96">
        <v>45</v>
      </c>
      <c r="C121" s="96"/>
      <c r="D121" s="96" t="s">
        <v>174</v>
      </c>
      <c r="E121" s="91">
        <f>SUM(E122:E123)</f>
        <v>23.17</v>
      </c>
    </row>
    <row r="122" spans="2:5" x14ac:dyDescent="0.25">
      <c r="C122">
        <v>450</v>
      </c>
      <c r="D122" t="s">
        <v>172</v>
      </c>
      <c r="E122" s="89">
        <f>HLOOKUP($D$5,'8.1 Bourgeoisies Comptes 2021'!$E$3:$R$165,116,0)</f>
        <v>23.17</v>
      </c>
    </row>
    <row r="123" spans="2:5" x14ac:dyDescent="0.25">
      <c r="C123">
        <v>451</v>
      </c>
      <c r="D123" t="s">
        <v>173</v>
      </c>
      <c r="E123" s="89">
        <f>HLOOKUP($D$5,'8.1 Bourgeoisies Comptes 2021'!$E$3:$R$165,117,0)</f>
        <v>0</v>
      </c>
    </row>
    <row r="124" spans="2:5" x14ac:dyDescent="0.25">
      <c r="E124" s="4"/>
    </row>
    <row r="125" spans="2:5" x14ac:dyDescent="0.25">
      <c r="B125" s="96">
        <v>46</v>
      </c>
      <c r="C125" s="96"/>
      <c r="D125" s="96" t="s">
        <v>175</v>
      </c>
      <c r="E125" s="91">
        <f>SUM(E126:E130)</f>
        <v>601.95000000000005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500</v>
      </c>
    </row>
    <row r="130" spans="2:5" x14ac:dyDescent="0.25">
      <c r="C130">
        <v>469</v>
      </c>
      <c r="D130" t="s">
        <v>179</v>
      </c>
      <c r="E130" s="89">
        <f>HLOOKUP($D$5,'8.1 Bourgeoisies Comptes 2021'!$E$3:$R$165,124,0)</f>
        <v>101.95</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-6491.91</v>
      </c>
    </row>
    <row r="158" spans="1:5" x14ac:dyDescent="0.25">
      <c r="C158">
        <v>900</v>
      </c>
      <c r="D158" t="s">
        <v>196</v>
      </c>
      <c r="E158" s="89">
        <f>HLOOKUP($D$5,'8.1 Bourgeoisies Comptes 2021'!$E$3:$R$165,152,0)</f>
        <v>-6491.91</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-6491.91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4" sqref="B4"/>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752</v>
      </c>
    </row>
    <row r="8" spans="1:3" x14ac:dyDescent="0.25">
      <c r="A8" s="51" t="s">
        <v>216</v>
      </c>
      <c r="B8" s="51" t="s">
        <v>201</v>
      </c>
      <c r="C8" s="51" t="s">
        <v>840</v>
      </c>
    </row>
    <row r="9" spans="1:3" x14ac:dyDescent="0.25">
      <c r="A9" s="52">
        <v>90</v>
      </c>
      <c r="B9" s="53" t="s">
        <v>798</v>
      </c>
      <c r="C9" s="56">
        <f>HLOOKUP($B$5,'8.1 Bourgeoisies Comptes 2021'!$E$3:$R$165,151,0)</f>
        <v>-6491.91</v>
      </c>
    </row>
    <row r="10" spans="1:3" x14ac:dyDescent="0.25">
      <c r="A10" s="52">
        <v>900</v>
      </c>
      <c r="B10" s="53" t="s">
        <v>219</v>
      </c>
      <c r="C10" s="56">
        <f>HLOOKUP($B$5,'8.1 Bourgeoisies Comptes 2021'!$E$3:$R$165,152,0)</f>
        <v>-6491.91</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0</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C3" sqref="C3"/>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752</v>
      </c>
    </row>
    <row r="7" spans="1:3" x14ac:dyDescent="0.25">
      <c r="A7" s="51" t="s">
        <v>200</v>
      </c>
      <c r="B7" s="51" t="s">
        <v>201</v>
      </c>
      <c r="C7" s="51" t="s">
        <v>202</v>
      </c>
    </row>
    <row r="8" spans="1:3" x14ac:dyDescent="0.25">
      <c r="A8" s="52" t="s">
        <v>209</v>
      </c>
      <c r="B8" s="53" t="s">
        <v>203</v>
      </c>
      <c r="C8" s="56">
        <f>HLOOKUP($B$5,'8.1 Bourgeoisies Comptes 2021'!$E$3:$R$168,162,0)</f>
        <v>12237.75</v>
      </c>
    </row>
    <row r="9" spans="1:3" x14ac:dyDescent="0.25">
      <c r="A9" s="52" t="s">
        <v>210</v>
      </c>
      <c r="B9" s="53" t="s">
        <v>204</v>
      </c>
      <c r="C9" s="56">
        <f>HLOOKUP($B$5,'8.1 Bourgeoisies Comptes 2021'!$E$3:$R$168,163,0)</f>
        <v>2120.12</v>
      </c>
    </row>
    <row r="10" spans="1:3" x14ac:dyDescent="0.25">
      <c r="A10" s="53"/>
      <c r="B10" s="55" t="s">
        <v>205</v>
      </c>
      <c r="C10" s="62">
        <f>C9-C8</f>
        <v>-10117.630000000001</v>
      </c>
    </row>
    <row r="11" spans="1:3" x14ac:dyDescent="0.25">
      <c r="A11" s="53"/>
      <c r="B11" s="53"/>
      <c r="C11" s="53"/>
    </row>
    <row r="12" spans="1:3" x14ac:dyDescent="0.25">
      <c r="A12" s="53">
        <v>34</v>
      </c>
      <c r="B12" s="53" t="s">
        <v>101</v>
      </c>
      <c r="C12" s="56">
        <f>HLOOKUP($B$5,'8.1 Bourgeoisies Comptes 2021'!$E$3:$R$168,29,0)</f>
        <v>0</v>
      </c>
    </row>
    <row r="13" spans="1:3" x14ac:dyDescent="0.25">
      <c r="A13" s="53">
        <v>44</v>
      </c>
      <c r="B13" s="53" t="s">
        <v>162</v>
      </c>
      <c r="C13" s="56">
        <f>HLOOKUP($B$5,'8.1 Bourgeoisies Comptes 2021'!$E$3:$R$168,103,0)</f>
        <v>3625.72</v>
      </c>
    </row>
    <row r="14" spans="1:3" x14ac:dyDescent="0.25">
      <c r="A14" s="53"/>
      <c r="B14" s="55" t="s">
        <v>238</v>
      </c>
      <c r="C14" s="62">
        <f>C13-C12</f>
        <v>3625.72</v>
      </c>
    </row>
    <row r="15" spans="1:3" x14ac:dyDescent="0.25">
      <c r="A15" s="53"/>
      <c r="B15" s="53"/>
      <c r="C15" s="53"/>
    </row>
    <row r="16" spans="1:3" x14ac:dyDescent="0.25">
      <c r="A16" s="53"/>
      <c r="B16" s="55" t="s">
        <v>206</v>
      </c>
      <c r="C16" s="62">
        <f>C10+C14</f>
        <v>-6491.9100000000017</v>
      </c>
    </row>
    <row r="17" spans="1:3" x14ac:dyDescent="0.25">
      <c r="A17" s="53"/>
      <c r="B17" s="53"/>
      <c r="C17" s="53"/>
    </row>
    <row r="18" spans="1:3" x14ac:dyDescent="0.25">
      <c r="A18" s="53">
        <v>38</v>
      </c>
      <c r="B18" s="53" t="s">
        <v>121</v>
      </c>
      <c r="C18" s="56">
        <f>HLOOKUP($B$5,'8.1 Bourgeoisies Comptes 2021'!$E$3:$R$168,54,0)</f>
        <v>0</v>
      </c>
    </row>
    <row r="19" spans="1:3" x14ac:dyDescent="0.25">
      <c r="A19" s="53">
        <v>48</v>
      </c>
      <c r="B19" s="53" t="s">
        <v>181</v>
      </c>
      <c r="C19" s="56">
        <f>HLOOKUP($B$5,'8.1 Bourgeoisies Comptes 2021'!$E$3:$R$168,129,0)</f>
        <v>0</v>
      </c>
    </row>
    <row r="20" spans="1:3" x14ac:dyDescent="0.25">
      <c r="A20" s="53"/>
      <c r="B20" s="55" t="s">
        <v>207</v>
      </c>
      <c r="C20" s="62">
        <f>C19-C18</f>
        <v>0</v>
      </c>
    </row>
    <row r="21" spans="1:3" x14ac:dyDescent="0.25">
      <c r="A21" s="53"/>
      <c r="B21" s="53"/>
      <c r="C21" s="53"/>
    </row>
    <row r="22" spans="1:3" x14ac:dyDescent="0.25">
      <c r="A22" s="53"/>
      <c r="B22" s="55" t="s">
        <v>208</v>
      </c>
      <c r="C22" s="62">
        <f>C16+C20</f>
        <v>-6491.9100000000017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D36" sqref="D36"/>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9" t="s">
        <v>752</v>
      </c>
      <c r="C5" s="220"/>
      <c r="D5" s="221"/>
    </row>
    <row r="7" spans="1:5" x14ac:dyDescent="0.25">
      <c r="B7" s="51" t="s">
        <v>223</v>
      </c>
      <c r="C7" s="51"/>
      <c r="D7" s="51" t="s">
        <v>201</v>
      </c>
      <c r="E7" s="51" t="s">
        <v>202</v>
      </c>
    </row>
    <row r="8" spans="1:5" x14ac:dyDescent="0.25">
      <c r="B8" s="53">
        <v>90</v>
      </c>
      <c r="C8" s="58"/>
      <c r="D8" s="53" t="s">
        <v>799</v>
      </c>
      <c r="E8" s="56">
        <f>HLOOKUP($B$5,'8.1 Bourgeoisies Comptes 2021'!$E$3:$R$167,151,0)</f>
        <v>-6491.91</v>
      </c>
    </row>
    <row r="9" spans="1:5" x14ac:dyDescent="0.25">
      <c r="B9" s="53">
        <v>33</v>
      </c>
      <c r="C9" s="58" t="s">
        <v>225</v>
      </c>
      <c r="D9" s="53" t="s">
        <v>98</v>
      </c>
      <c r="E9" s="56">
        <f>HLOOKUP($B$5,'8.1 Bourgeoisies Comptes 2021'!$E$3:$R$167,25,0)</f>
        <v>1332.5</v>
      </c>
    </row>
    <row r="10" spans="1:5" x14ac:dyDescent="0.25">
      <c r="B10" s="53">
        <v>35</v>
      </c>
      <c r="C10" s="58" t="s">
        <v>225</v>
      </c>
      <c r="D10" s="53" t="s">
        <v>227</v>
      </c>
      <c r="E10" s="56">
        <f>HLOOKUP($B$5,'8.1 Bourgeoisies Comptes 2021'!$E$3:$R$167,37,0)</f>
        <v>0</v>
      </c>
    </row>
    <row r="11" spans="1:5" x14ac:dyDescent="0.25">
      <c r="B11" s="53">
        <v>45</v>
      </c>
      <c r="C11" s="58" t="s">
        <v>226</v>
      </c>
      <c r="D11" s="53" t="s">
        <v>174</v>
      </c>
      <c r="E11" s="56">
        <f>HLOOKUP($B$5,'8.1 Bourgeoisies Comptes 2021'!$E$3:$R$167,115,0)</f>
        <v>23.17</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0</v>
      </c>
    </row>
    <row r="16" spans="1:5" x14ac:dyDescent="0.25">
      <c r="B16" s="53">
        <v>4490</v>
      </c>
      <c r="C16" s="58" t="s">
        <v>226</v>
      </c>
      <c r="D16" s="53" t="s">
        <v>236</v>
      </c>
      <c r="E16" s="56">
        <f>HLOOKUP($B$5,'8.1 Bourgeoisies Comptes 2021'!$E$3:$R$167,113,0)</f>
        <v>-23.17</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-5159.41</v>
      </c>
    </row>
    <row r="20" spans="2:5" x14ac:dyDescent="0.25">
      <c r="B20" s="53"/>
      <c r="C20" s="53"/>
      <c r="D20" s="53"/>
      <c r="E20" s="56"/>
    </row>
    <row r="21" spans="2:5" x14ac:dyDescent="0.25">
      <c r="B21" s="53" t="s">
        <v>224</v>
      </c>
      <c r="C21" s="59" t="s">
        <v>226</v>
      </c>
      <c r="D21" s="53" t="s">
        <v>230</v>
      </c>
      <c r="E21" s="56">
        <f>HLOOKUP($B$5,'8.13 Bourgeoisie investissement'!$E$3:$R$183,180,0)</f>
        <v>0</v>
      </c>
    </row>
    <row r="22" spans="2:5" x14ac:dyDescent="0.25">
      <c r="B22" s="53"/>
      <c r="C22" s="53"/>
      <c r="D22" s="53"/>
      <c r="E22" s="56"/>
    </row>
    <row r="23" spans="2:5" x14ac:dyDescent="0.25">
      <c r="B23" s="54"/>
      <c r="C23" s="54"/>
      <c r="D23" s="55" t="s">
        <v>231</v>
      </c>
      <c r="E23" s="62">
        <f>E19-E21</f>
        <v>-5159.41</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N193" activePane="bottomRight" state="frozen"/>
      <selection pane="topRight" activeCell="F1" sqref="F1"/>
      <selection pane="bottomLeft" activeCell="A4" sqref="A4"/>
      <selection pane="bottomRight" activeCell="N217" sqref="N217"/>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tabSelected="1"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752</v>
      </c>
    </row>
    <row r="5" spans="1:3" ht="15" customHeight="1" x14ac:dyDescent="0.25">
      <c r="C5" s="65"/>
    </row>
    <row r="6" spans="1:3" ht="15" customHeight="1" x14ac:dyDescent="0.25">
      <c r="C6" s="182" t="s">
        <v>202</v>
      </c>
    </row>
    <row r="7" spans="1:3" x14ac:dyDescent="0.25">
      <c r="A7" s="67">
        <v>10</v>
      </c>
      <c r="B7" s="67" t="s">
        <v>240</v>
      </c>
      <c r="C7" s="4">
        <f>HLOOKUP($B$4,'8.11 Bourgeoisie endettement'!$C$6:$P$22,2,0)</f>
        <v>92238.42</v>
      </c>
    </row>
    <row r="8" spans="1:3" x14ac:dyDescent="0.25">
      <c r="A8" s="67"/>
      <c r="B8" s="67"/>
      <c r="C8" s="4"/>
    </row>
    <row r="9" spans="1:3" x14ac:dyDescent="0.25">
      <c r="A9" s="67">
        <v>20</v>
      </c>
      <c r="B9" s="67" t="s">
        <v>252</v>
      </c>
      <c r="C9" s="4">
        <f>HLOOKUP($B$4,'8.11 Bourgeoisie endettement'!$C$6:$P$22,4,0)</f>
        <v>15400</v>
      </c>
    </row>
    <row r="10" spans="1:3" x14ac:dyDescent="0.25">
      <c r="A10" s="67"/>
      <c r="B10" s="67"/>
      <c r="C10" s="4"/>
    </row>
    <row r="11" spans="1:3" x14ac:dyDescent="0.25">
      <c r="A11" s="67">
        <v>200</v>
      </c>
      <c r="B11" s="67" t="s">
        <v>451</v>
      </c>
      <c r="C11" s="4">
        <f>HLOOKUP($B$4,'8.11 Bourgeoisie endettement'!$C$6:$P$22,6,0)</f>
        <v>0</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15400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15400</v>
      </c>
    </row>
    <row r="21" spans="1:3" x14ac:dyDescent="0.25">
      <c r="A21" s="67"/>
      <c r="B21" s="7"/>
      <c r="C21" s="41"/>
    </row>
    <row r="22" spans="1:3" x14ac:dyDescent="0.25">
      <c r="A22" s="67"/>
      <c r="B22" s="99" t="s">
        <v>498</v>
      </c>
      <c r="C22" s="100">
        <f>HLOOKUP($B$4,'8.11 Bourgeoisie endettement'!$C$6:$P$22,17,0)</f>
        <v>-76838.42</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K148" activePane="bottomRight" state="frozen"/>
      <selection pane="topRight" activeCell="E1" sqref="E1"/>
      <selection pane="bottomLeft" activeCell="A4" sqref="A4"/>
      <selection pane="bottomRight" activeCell="Q179" sqref="Q179"/>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E30" sqref="E30"/>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P137" activePane="bottomRight" state="frozen"/>
      <selection pane="topRight" activeCell="E1" sqref="E1"/>
      <selection pane="bottomLeft" activeCell="A4" sqref="A4"/>
      <selection pane="bottomRight" activeCell="P156" sqref="P156"/>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32335214.139999993</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5253221.1500000004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252852.39999999997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4016797.05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14246461.259999998</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1919204.8099999998</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276294.69999999995</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7209032.1699999999</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32589993.309999999</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14172605.699999999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13501573.049999999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254779.17000000551</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-5.5588316172361374E-9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30217769.619999994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31740413.02</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811</v>
      </c>
    </row>
    <row r="7" spans="1:5" x14ac:dyDescent="0.25">
      <c r="E7" s="65" t="s">
        <v>202</v>
      </c>
    </row>
    <row r="8" spans="1:5" ht="21" x14ac:dyDescent="0.35">
      <c r="A8" s="92">
        <v>3</v>
      </c>
      <c r="B8" s="92"/>
      <c r="C8" s="92"/>
      <c r="D8" s="92" t="s">
        <v>60</v>
      </c>
      <c r="E8" s="171">
        <f>HLOOKUP($D$5,'9.1 Syndicats comptes 2021'!$E$3:$AF$167,2,0)</f>
        <v>35267.050000000003</v>
      </c>
    </row>
    <row r="9" spans="1:5" x14ac:dyDescent="0.25">
      <c r="A9" s="94"/>
      <c r="B9" s="94">
        <v>30</v>
      </c>
      <c r="C9" s="94"/>
      <c r="D9" s="94" t="s">
        <v>61</v>
      </c>
      <c r="E9" s="95">
        <f>HLOOKUP($D$5,'9.1 Syndicats comptes 2021'!$E$3:$AF$167,3,0)</f>
        <v>3750</v>
      </c>
    </row>
    <row r="10" spans="1:5" x14ac:dyDescent="0.25">
      <c r="C10">
        <v>300</v>
      </c>
      <c r="D10" t="s">
        <v>80</v>
      </c>
      <c r="E10" s="4">
        <f>HLOOKUP($D$5,'9.1 Syndicats comptes 2021'!$E$3:$AF$167,4,0)</f>
        <v>1330</v>
      </c>
    </row>
    <row r="11" spans="1:5" x14ac:dyDescent="0.25">
      <c r="C11">
        <v>301</v>
      </c>
      <c r="D11" t="s">
        <v>81</v>
      </c>
      <c r="E11" s="4">
        <f>HLOOKUP($D$5,'9.1 Syndicats comptes 2021'!$E$3:$AF$167,5,0)</f>
        <v>2420</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0</v>
      </c>
    </row>
    <row r="16" spans="1:5" x14ac:dyDescent="0.25">
      <c r="C16">
        <v>306</v>
      </c>
      <c r="D16" t="s">
        <v>85</v>
      </c>
      <c r="E16" s="4">
        <f>HLOOKUP($D$5,'9.1 Syndicats comptes 2021'!$E$3:$AF$167,10,0)</f>
        <v>0</v>
      </c>
    </row>
    <row r="17" spans="2:5" x14ac:dyDescent="0.25">
      <c r="C17">
        <v>309</v>
      </c>
      <c r="D17" t="s">
        <v>86</v>
      </c>
      <c r="E17" s="4">
        <f>HLOOKUP($D$5,'9.1 Syndicats comptes 2021'!$E$3:$AF$167,11,0)</f>
        <v>0</v>
      </c>
    </row>
    <row r="18" spans="2:5" x14ac:dyDescent="0.25">
      <c r="E18" s="4"/>
    </row>
    <row r="19" spans="2:5" x14ac:dyDescent="0.25">
      <c r="B19" s="94">
        <v>31</v>
      </c>
      <c r="C19" s="94"/>
      <c r="D19" s="94" t="s">
        <v>87</v>
      </c>
      <c r="E19" s="95">
        <f>HLOOKUP($D$5,'9.1 Syndicats comptes 2021'!$E$3:$AF$167,13,0)</f>
        <v>26183.5</v>
      </c>
    </row>
    <row r="20" spans="2:5" x14ac:dyDescent="0.25">
      <c r="C20">
        <v>310</v>
      </c>
      <c r="D20" t="s">
        <v>88</v>
      </c>
      <c r="E20" s="4">
        <f>HLOOKUP($D$5,'9.1 Syndicats comptes 2021'!$E$3:$AF$167,14,0)</f>
        <v>2623.7</v>
      </c>
    </row>
    <row r="21" spans="2:5" x14ac:dyDescent="0.25">
      <c r="C21">
        <v>311</v>
      </c>
      <c r="D21" t="s">
        <v>452</v>
      </c>
      <c r="E21" s="4">
        <f>HLOOKUP($D$5,'9.1 Syndicats comptes 2021'!$E$3:$AF$167,15,0)</f>
        <v>4588</v>
      </c>
    </row>
    <row r="22" spans="2:5" x14ac:dyDescent="0.25">
      <c r="C22">
        <v>312</v>
      </c>
      <c r="D22" t="s">
        <v>90</v>
      </c>
      <c r="E22" s="4">
        <f>HLOOKUP($D$5,'9.1 Syndicats comptes 2021'!$E$3:$AF$167,16,0)</f>
        <v>0</v>
      </c>
    </row>
    <row r="23" spans="2:5" x14ac:dyDescent="0.25">
      <c r="C23">
        <v>313</v>
      </c>
      <c r="D23" t="s">
        <v>91</v>
      </c>
      <c r="E23" s="4">
        <f>HLOOKUP($D$5,'9.1 Syndicats comptes 2021'!$E$3:$AF$167,17,0)</f>
        <v>1929.6</v>
      </c>
    </row>
    <row r="24" spans="2:5" x14ac:dyDescent="0.25">
      <c r="C24">
        <v>314</v>
      </c>
      <c r="D24" t="s">
        <v>92</v>
      </c>
      <c r="E24" s="4">
        <f>HLOOKUP($D$5,'9.1 Syndicats comptes 2021'!$E$3:$AF$167,18,0)</f>
        <v>17042.2</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5333.55</v>
      </c>
    </row>
    <row r="32" spans="2:5" x14ac:dyDescent="0.25">
      <c r="C32">
        <v>330</v>
      </c>
      <c r="D32" t="s">
        <v>100</v>
      </c>
      <c r="E32" s="4">
        <f>HLOOKUP($D$5,'9.1 Syndicats comptes 2021'!$E$3:$AF$167,26,0)</f>
        <v>5333.55</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0</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0</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35267.050000000003</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10450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10450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0</v>
      </c>
    </row>
    <row r="110" spans="2:5" x14ac:dyDescent="0.25">
      <c r="C110">
        <v>440</v>
      </c>
      <c r="D110" t="s">
        <v>163</v>
      </c>
      <c r="E110" s="4">
        <f>HLOOKUP($D$5,'9.1 Syndicats comptes 2021'!$E$3:$AF$167,104,0)</f>
        <v>0</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24817.05</v>
      </c>
    </row>
    <row r="126" spans="2:5" x14ac:dyDescent="0.25">
      <c r="C126">
        <v>460</v>
      </c>
      <c r="D126" t="s">
        <v>176</v>
      </c>
      <c r="E126" s="4">
        <f>HLOOKUP($D$5,'9.1 Syndicats comptes 2021'!$E$3:$AF$167,120,0)</f>
        <v>0</v>
      </c>
    </row>
    <row r="127" spans="2:5" x14ac:dyDescent="0.25">
      <c r="C127">
        <v>461</v>
      </c>
      <c r="D127" t="s">
        <v>177</v>
      </c>
      <c r="E127" s="4">
        <f>HLOOKUP($D$5,'9.1 Syndicats comptes 2021'!$E$3:$AF$167,121,0)</f>
        <v>24817.05</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0</v>
      </c>
    </row>
    <row r="158" spans="1:5" x14ac:dyDescent="0.25">
      <c r="C158">
        <v>900</v>
      </c>
      <c r="D158" t="s">
        <v>196</v>
      </c>
      <c r="E158" s="4">
        <f>HLOOKUP($D$5,'9.1 Syndicats comptes 2021'!$E$3:$AF$167,152,0)</f>
        <v>0</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254779.16999999995</v>
      </c>
    </row>
    <row r="7" spans="1:3" x14ac:dyDescent="0.25">
      <c r="A7" s="52">
        <v>900</v>
      </c>
      <c r="B7" s="53" t="s">
        <v>219</v>
      </c>
      <c r="C7" s="56">
        <f>'9.1 Syndicats comptes 2021'!AF154</f>
        <v>171133.39999999997</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C18" sqref="C18"/>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811</v>
      </c>
    </row>
    <row r="8" spans="1:3" x14ac:dyDescent="0.25">
      <c r="A8" s="51" t="s">
        <v>216</v>
      </c>
      <c r="B8" s="51" t="s">
        <v>201</v>
      </c>
      <c r="C8" s="51" t="s">
        <v>840</v>
      </c>
    </row>
    <row r="9" spans="1:3" x14ac:dyDescent="0.25">
      <c r="A9" s="52">
        <v>90</v>
      </c>
      <c r="B9" s="53" t="s">
        <v>218</v>
      </c>
      <c r="C9" s="56">
        <f>HLOOKUP($B$5,'9.1 Syndicats comptes 2021'!$E$3:$AF$168,151,0)</f>
        <v>0</v>
      </c>
    </row>
    <row r="10" spans="1:3" x14ac:dyDescent="0.25">
      <c r="A10" s="52">
        <v>900</v>
      </c>
      <c r="B10" s="53" t="s">
        <v>219</v>
      </c>
      <c r="C10" s="56">
        <f>HLOOKUP($B$5,'9.1 Syndicats comptes 2021'!$E$3:$AF$168,152,0)</f>
        <v>0</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30217769.619999994</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31740413.02</v>
      </c>
    </row>
    <row r="10" spans="1:3" x14ac:dyDescent="0.25">
      <c r="A10" s="53"/>
      <c r="B10" s="55" t="s">
        <v>205</v>
      </c>
      <c r="C10" s="62">
        <f>C9-C8</f>
        <v>1522643.400000006</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1385423.7800000061</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254779.17000000598</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C4" sqref="C4"/>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811</v>
      </c>
    </row>
    <row r="7" spans="1:3" x14ac:dyDescent="0.25">
      <c r="A7" s="51" t="s">
        <v>200</v>
      </c>
      <c r="B7" s="51" t="s">
        <v>201</v>
      </c>
      <c r="C7" s="51" t="s">
        <v>202</v>
      </c>
    </row>
    <row r="8" spans="1:3" x14ac:dyDescent="0.25">
      <c r="A8" s="52" t="s">
        <v>209</v>
      </c>
      <c r="B8" s="53" t="s">
        <v>203</v>
      </c>
      <c r="C8" s="56">
        <f>HLOOKUP($B$5,'9.1 Syndicats comptes 2021'!$E$3:$AF$167,164,0)</f>
        <v>35267.050000000003</v>
      </c>
    </row>
    <row r="9" spans="1:3" x14ac:dyDescent="0.25">
      <c r="A9" s="52" t="s">
        <v>210</v>
      </c>
      <c r="B9" s="53" t="s">
        <v>204</v>
      </c>
      <c r="C9" s="56">
        <f>HLOOKUP($B$5,'9.1 Syndicats comptes 2021'!$E$3:$AF$167,165,0)</f>
        <v>35267.050000000003</v>
      </c>
    </row>
    <row r="10" spans="1:3" x14ac:dyDescent="0.25">
      <c r="A10" s="53"/>
      <c r="B10" s="55" t="s">
        <v>205</v>
      </c>
      <c r="C10" s="62">
        <f>C9-C8</f>
        <v>0</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0</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0</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Q196" activePane="bottomRight" state="frozen"/>
      <selection pane="topRight" activeCell="F1" sqref="F1"/>
      <selection pane="bottomLeft" activeCell="A4" sqref="A4"/>
      <selection pane="bottomRight" activeCell="Q218" sqref="Q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153492882.36000001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33576352.059999987</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19461544.199999996</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15382.610000000002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15797710.65</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153492882.36000001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100916011.76000001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6854292.2300000004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6626817.4100000001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0</v>
      </c>
      <c r="AA7" s="101">
        <f>'9.7 Syndicats Bilan'!AD5</f>
        <v>150475.90000000002</v>
      </c>
      <c r="AB7" s="101">
        <f>'9.7 Syndicats Bilan'!AE5</f>
        <v>590901.02</v>
      </c>
      <c r="AC7" s="101">
        <f>'9.7 Syndicats Bilan'!AF5</f>
        <v>751902.5</v>
      </c>
      <c r="AD7" s="101">
        <f>SUM(C7:AC7)</f>
        <v>33576352.059999987</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9" sqref="B9"/>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811</v>
      </c>
    </row>
    <row r="5" spans="1:3" ht="15" customHeight="1" x14ac:dyDescent="0.25">
      <c r="C5" s="65"/>
    </row>
    <row r="6" spans="1:3" ht="15" customHeight="1" x14ac:dyDescent="0.25">
      <c r="C6" s="182" t="s">
        <v>202</v>
      </c>
    </row>
    <row r="7" spans="1:3" x14ac:dyDescent="0.25">
      <c r="A7" s="67">
        <v>10</v>
      </c>
      <c r="B7" s="67" t="s">
        <v>240</v>
      </c>
      <c r="C7" s="4">
        <f>HLOOKUP($B$4,'9.9 Syndicats endettement'!C6:AD23,2,0)</f>
        <v>40453.33</v>
      </c>
    </row>
    <row r="8" spans="1:3" x14ac:dyDescent="0.25">
      <c r="A8" s="67"/>
      <c r="B8" s="67"/>
      <c r="C8" s="4"/>
    </row>
    <row r="9" spans="1:3" x14ac:dyDescent="0.25">
      <c r="A9" s="67">
        <v>20</v>
      </c>
      <c r="B9" s="67" t="s">
        <v>252</v>
      </c>
      <c r="C9" s="4">
        <f>HLOOKUP($B$4,'9.9 Syndicats endettement'!$C$6:$AD$20,4,0)</f>
        <v>112.5</v>
      </c>
    </row>
    <row r="10" spans="1:3" x14ac:dyDescent="0.25">
      <c r="A10" s="67"/>
      <c r="B10" s="67"/>
      <c r="C10" s="4"/>
    </row>
    <row r="11" spans="1:3" x14ac:dyDescent="0.25">
      <c r="A11" s="67">
        <v>200</v>
      </c>
      <c r="B11" s="67" t="s">
        <v>451</v>
      </c>
      <c r="C11" s="4">
        <f>HLOOKUP($B$4,'9.9 Syndicats endettement'!$C$6:$AD$20,6,0)</f>
        <v>112.5</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112.5</v>
      </c>
    </row>
    <row r="21" spans="1:3" x14ac:dyDescent="0.25">
      <c r="B21" s="99" t="s">
        <v>498</v>
      </c>
      <c r="C21" s="100">
        <f>C20-C7</f>
        <v>-40340.83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2023-06-06T07:59:22Z</cp:lastPrinted>
  <dcterms:created xsi:type="dcterms:W3CDTF">2015-10-26T07:38:03Z</dcterms:created>
  <dcterms:modified xsi:type="dcterms:W3CDTF">2023-06-06T08:40:54Z</dcterms:modified>
</cp:coreProperties>
</file>