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57" activeTab="57"/>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state="hidden"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8.1 Bourgeoisies Comptes 2021" sheetId="55" state="hidden" r:id="rId38"/>
    <sheet name="8.2 Comptes par Bourgeoisie" sheetId="56" state="hidden" r:id="rId39"/>
    <sheet name="8.5 Bourgeoisie vue d'ensemble" sheetId="57" state="hidden" r:id="rId40"/>
    <sheet name="8.6 Vue par Bourgeoisie" sheetId="58" state="hidden" r:id="rId41"/>
    <sheet name="8.3 Bourgeoisie 3 niveaux" sheetId="59" state="hidden" r:id="rId42"/>
    <sheet name="8.4 3 niveaux par bourgeoisie" sheetId="60" state="hidden" r:id="rId43"/>
    <sheet name="8.7 Autofinancement" sheetId="61" state="hidden" r:id="rId44"/>
    <sheet name="8.8 par Bourgeoisie" sheetId="62" state="hidden" r:id="rId45"/>
    <sheet name="8.9 Bourgeoisie bilan" sheetId="63" state="hidden" r:id="rId46"/>
    <sheet name="8.10 Bilan par bourgeoisie" sheetId="64" state="hidden" r:id="rId47"/>
    <sheet name="8.11 Bourgeoisie endettement" sheetId="65" state="hidden" r:id="rId48"/>
    <sheet name="8.12Endettement par bourgeoisie" sheetId="66" state="hidden" r:id="rId49"/>
    <sheet name="8.13 Bourgeoisie investissement" sheetId="67" state="hidden" r:id="rId50"/>
    <sheet name="8.14 par bourgeoisie" sheetId="68" state="hidden" r:id="rId51"/>
    <sheet name="9.1 Syndicats comptes 2021" sheetId="69" state="hidden" r:id="rId52"/>
    <sheet name="9.2 Comptes 2021 par Syndicats" sheetId="70" state="hidden" r:id="rId53"/>
    <sheet name="9.5 Syndicats vue d'ensemble" sheetId="71" state="hidden" r:id="rId54"/>
    <sheet name="9.6 Vue d'ensemble par syndicat" sheetId="72" state="hidden" r:id="rId55"/>
    <sheet name="9.3 Syndicats à 3 niveaux" sheetId="73" state="hidden" r:id="rId56"/>
    <sheet name="9.4 3 niveaux par syndicat" sheetId="74" state="hidden" r:id="rId57"/>
    <sheet name="9.7 Syndicats Bilan" sheetId="75" r:id="rId58"/>
    <sheet name="9.8 Bilan par Syndicats" sheetId="76" state="hidden" r:id="rId59"/>
    <sheet name="9.9 Syndicats endettement" sheetId="77" state="hidden" r:id="rId60"/>
    <sheet name="9.10 Endettement par syndicat" sheetId="78" state="hidden" r:id="rId61"/>
  </sheets>
  <definedNames>
    <definedName name="_xlnm.Print_Area" localSheetId="13">'4.7 Autofinancement'!$A$1:$D$92</definedName>
    <definedName name="_xlnm.Print_Area" localSheetId="44">'8.8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<sst xmlns="http://schemas.openxmlformats.org/spreadsheetml/2006/main" count="5456" uniqueCount="864">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</sst>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4">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6" fillId="0" borderId="9" xfId="0" applyFont="1" applyBorder="1" applyAlignment="1">
      <alignment horizontal="center"/>
    </xf>
    <xf numFmtId="0" fontId="6" fillId="0" borderId="0" xfId="0" applyFont="1" applyBorder="1" applyAlignment="1">
      <alignment horizontal="center"/>
    </xf>
    <xf numFmtId="0" fontId="6" fillId="0" borderId="0" xfId="0" applyFont="1"/>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9" t="s">
        <v>71</v>
      </c>
      <c r="C5" s="220"/>
      <c r="D5" s="221"/>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6" t="s">
        <v>740</v>
      </c>
      <c r="H2" s="217"/>
      <c r="I2" s="217"/>
      <c r="J2" s="217"/>
      <c r="K2" s="218"/>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G228"/>
  <sheetViews>
    <sheetView workbookViewId="0">
      <selection activeCell="I7" sqref="I7"/>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7" ht="26.25" x14ac:dyDescent="0.4">
      <c r="A1" s="42" t="s">
        <v>849</v>
      </c>
      <c r="B1" s="7"/>
      <c r="C1" s="7"/>
      <c r="D1" s="7"/>
      <c r="E1" s="78"/>
    </row>
    <row r="3" spans="1:7" ht="15.75" thickBot="1" x14ac:dyDescent="0.3">
      <c r="E3" s="213" t="s">
        <v>594</v>
      </c>
      <c r="F3" s="214"/>
      <c r="G3" s="214"/>
    </row>
    <row r="4" spans="1:7" ht="15.75" thickBot="1" x14ac:dyDescent="0.3">
      <c r="A4" t="s">
        <v>635</v>
      </c>
      <c r="E4" s="174" t="s">
        <v>56</v>
      </c>
    </row>
    <row r="7" spans="1:7" ht="21" x14ac:dyDescent="0.35">
      <c r="A7" s="73">
        <v>1</v>
      </c>
      <c r="B7" s="73"/>
      <c r="C7" s="73"/>
      <c r="D7" s="73"/>
      <c r="E7" s="73" t="s">
        <v>239</v>
      </c>
      <c r="F7" s="175">
        <f>HLOOKUP($E$4,'5. Bilan'!$F$3:$BF$226,2,0)</f>
        <v>15188762.25</v>
      </c>
    </row>
    <row r="8" spans="1:7" x14ac:dyDescent="0.25">
      <c r="A8" s="78"/>
      <c r="B8" s="74">
        <v>10</v>
      </c>
      <c r="C8" s="74"/>
      <c r="D8" s="74"/>
      <c r="E8" s="74" t="s">
        <v>240</v>
      </c>
      <c r="F8" s="75">
        <f>HLOOKUP($E$4,'5. Bilan'!$F$3:$BF$226,3,0)</f>
        <v>6215834.7400000002</v>
      </c>
    </row>
    <row r="9" spans="1:7" x14ac:dyDescent="0.25">
      <c r="A9" s="79"/>
      <c r="B9" s="79"/>
      <c r="C9" s="69">
        <v>100</v>
      </c>
      <c r="D9" s="69"/>
      <c r="E9" s="69" t="s">
        <v>241</v>
      </c>
      <c r="F9" s="176">
        <f>SUM(F10:F15)</f>
        <v>4761773.55</v>
      </c>
    </row>
    <row r="10" spans="1:7" x14ac:dyDescent="0.25">
      <c r="D10">
        <v>1000</v>
      </c>
      <c r="E10" t="s">
        <v>313</v>
      </c>
      <c r="F10" s="4">
        <f>HLOOKUP($E$4,'5. Bilan'!$F$3:$BF$226,5,0)</f>
        <v>267.60000000000002</v>
      </c>
    </row>
    <row r="11" spans="1:7" x14ac:dyDescent="0.25">
      <c r="D11">
        <v>1001</v>
      </c>
      <c r="E11" t="s">
        <v>314</v>
      </c>
      <c r="F11" s="4">
        <f>HLOOKUP($E$4,'5. Bilan'!$F$3:$BF$226,6,0)</f>
        <v>741863.52</v>
      </c>
    </row>
    <row r="12" spans="1:7" x14ac:dyDescent="0.25">
      <c r="D12">
        <v>1002</v>
      </c>
      <c r="E12" t="s">
        <v>322</v>
      </c>
      <c r="F12" s="4">
        <f>HLOOKUP($E$4,'5. Bilan'!$F$3:$BF$226,7,0)</f>
        <v>4019642.43</v>
      </c>
    </row>
    <row r="13" spans="1:7" x14ac:dyDescent="0.25">
      <c r="D13">
        <v>1003</v>
      </c>
      <c r="E13" t="s">
        <v>315</v>
      </c>
      <c r="F13" s="4">
        <f>HLOOKUP($E$4,'5. Bilan'!$F$3:$BF$226,8,0)</f>
        <v>0</v>
      </c>
    </row>
    <row r="14" spans="1:7" x14ac:dyDescent="0.25">
      <c r="D14">
        <v>1004</v>
      </c>
      <c r="E14" t="s">
        <v>316</v>
      </c>
      <c r="F14" s="4">
        <f>HLOOKUP($E$4,'5. Bilan'!$F$3:$BF$226,9,0)</f>
        <v>0</v>
      </c>
    </row>
    <row r="15" spans="1:7" x14ac:dyDescent="0.25">
      <c r="D15">
        <v>1009</v>
      </c>
      <c r="E15" t="s">
        <v>317</v>
      </c>
      <c r="F15" s="4">
        <f>HLOOKUP($E$4,'5. Bilan'!$F$3:$BF$226,10,0)</f>
        <v>0</v>
      </c>
    </row>
    <row r="16" spans="1:7" x14ac:dyDescent="0.25">
      <c r="F16" s="4"/>
    </row>
    <row r="17" spans="1:6" x14ac:dyDescent="0.25">
      <c r="A17" s="79"/>
      <c r="B17" s="79"/>
      <c r="C17" s="69">
        <v>101</v>
      </c>
      <c r="D17" s="69"/>
      <c r="E17" s="69" t="s">
        <v>242</v>
      </c>
      <c r="F17" s="70">
        <f>SUM(F18:F25)</f>
        <v>988069.3</v>
      </c>
    </row>
    <row r="18" spans="1:6" x14ac:dyDescent="0.25">
      <c r="D18">
        <v>1010</v>
      </c>
      <c r="E18" t="s">
        <v>318</v>
      </c>
      <c r="F18" s="4">
        <f>HLOOKUP($E$4,'5. Bilan'!$F$3:$BF$226,13,0)</f>
        <v>166340</v>
      </c>
    </row>
    <row r="19" spans="1:6" x14ac:dyDescent="0.25">
      <c r="D19">
        <v>1011</v>
      </c>
      <c r="E19" t="s">
        <v>399</v>
      </c>
      <c r="F19" s="4">
        <f>HLOOKUP($E$4,'5. Bilan'!$F$3:$BF$226,14,0)</f>
        <v>0</v>
      </c>
    </row>
    <row r="20" spans="1:6" x14ac:dyDescent="0.25">
      <c r="D20">
        <v>1012</v>
      </c>
      <c r="E20" t="s">
        <v>319</v>
      </c>
      <c r="F20" s="4">
        <f>HLOOKUP($E$4,'5. Bilan'!$F$3:$BF$226,15,0)</f>
        <v>697600.16</v>
      </c>
    </row>
    <row r="21" spans="1:6" x14ac:dyDescent="0.25">
      <c r="D21">
        <v>1013</v>
      </c>
      <c r="E21" t="s">
        <v>320</v>
      </c>
      <c r="F21" s="4">
        <f>HLOOKUP($E$4,'5. Bilan'!$F$3:$BF$226,16,0)</f>
        <v>0</v>
      </c>
    </row>
    <row r="22" spans="1:6" x14ac:dyDescent="0.25">
      <c r="D22">
        <v>1014</v>
      </c>
      <c r="E22" t="s">
        <v>321</v>
      </c>
      <c r="F22" s="4">
        <f>HLOOKUP($E$4,'5. Bilan'!$F$3:$BF$226,17,0)</f>
        <v>0</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124129.14</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201236.19000000003</v>
      </c>
    </row>
    <row r="34" spans="3:6" x14ac:dyDescent="0.25">
      <c r="D34">
        <v>1040</v>
      </c>
      <c r="E34" t="s">
        <v>61</v>
      </c>
      <c r="F34" s="4">
        <f>HLOOKUP($E$4,'5. Bilan'!$F$3:$BF$226,29,0)</f>
        <v>0</v>
      </c>
    </row>
    <row r="35" spans="3:6" x14ac:dyDescent="0.25">
      <c r="D35">
        <v>1041</v>
      </c>
      <c r="E35" t="s">
        <v>330</v>
      </c>
      <c r="F35" s="4">
        <f>HLOOKUP($E$4,'5. Bilan'!$F$3:$BF$226,30,0)</f>
        <v>178325.95</v>
      </c>
    </row>
    <row r="36" spans="3:6" x14ac:dyDescent="0.25">
      <c r="D36">
        <v>1042</v>
      </c>
      <c r="E36" t="s">
        <v>331</v>
      </c>
      <c r="F36" s="4">
        <f>HLOOKUP($E$4,'5. Bilan'!$F$3:$BF$226,31,0)</f>
        <v>22910.2</v>
      </c>
    </row>
    <row r="37" spans="3:6" x14ac:dyDescent="0.25">
      <c r="D37">
        <v>1043</v>
      </c>
      <c r="E37" t="s">
        <v>332</v>
      </c>
      <c r="F37" s="4">
        <f>HLOOKUP($E$4,'5. Bilan'!$F$3:$BF$226,32,0)</f>
        <v>0.04</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2601</v>
      </c>
    </row>
    <row r="51" spans="3:6" x14ac:dyDescent="0.25">
      <c r="D51">
        <v>1070</v>
      </c>
      <c r="E51" t="s">
        <v>342</v>
      </c>
      <c r="F51" s="4">
        <f>HLOOKUP($E$4,'5. Bilan'!$F$3:$BF$226,46,0)</f>
        <v>2601</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262154.7</v>
      </c>
    </row>
    <row r="57" spans="3:6" x14ac:dyDescent="0.25">
      <c r="D57">
        <v>1080</v>
      </c>
      <c r="E57" t="s">
        <v>347</v>
      </c>
      <c r="F57" s="4">
        <f>HLOOKUP($E$4,'5. Bilan'!$F$3:$BF$226,52,0)</f>
        <v>0</v>
      </c>
    </row>
    <row r="58" spans="3:6" x14ac:dyDescent="0.25">
      <c r="D58">
        <v>1084</v>
      </c>
      <c r="E58" t="s">
        <v>348</v>
      </c>
      <c r="F58" s="4">
        <f>HLOOKUP($E$4,'5. Bilan'!$F$3:$BF$226,53,0)</f>
        <v>262154.7</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8972927.5099999998</v>
      </c>
    </row>
    <row r="71" spans="2:6" x14ac:dyDescent="0.25">
      <c r="C71" s="69">
        <v>140</v>
      </c>
      <c r="D71" s="69"/>
      <c r="E71" s="69" t="s">
        <v>249</v>
      </c>
      <c r="F71" s="70">
        <f>SUM(F72:F80)</f>
        <v>8956624.5600000005</v>
      </c>
    </row>
    <row r="72" spans="2:6" x14ac:dyDescent="0.25">
      <c r="D72">
        <v>1400</v>
      </c>
      <c r="E72" t="s">
        <v>357</v>
      </c>
      <c r="F72" s="4">
        <f>HLOOKUP($E$4,'5. Bilan'!$F$3:$BF$226,67,0)</f>
        <v>141467</v>
      </c>
    </row>
    <row r="73" spans="2:6" x14ac:dyDescent="0.25">
      <c r="D73">
        <v>1401</v>
      </c>
      <c r="E73" t="s">
        <v>358</v>
      </c>
      <c r="F73" s="4">
        <f>HLOOKUP($E$4,'5. Bilan'!$F$3:$BF$226,68,0)</f>
        <v>2791732.15</v>
      </c>
    </row>
    <row r="74" spans="2:6" x14ac:dyDescent="0.25">
      <c r="D74">
        <v>1402</v>
      </c>
      <c r="E74" t="s">
        <v>359</v>
      </c>
      <c r="F74" s="4">
        <f>HLOOKUP($E$4,'5. Bilan'!$F$3:$BF$226,69,0)</f>
        <v>0</v>
      </c>
    </row>
    <row r="75" spans="2:6" x14ac:dyDescent="0.25">
      <c r="D75">
        <v>1403</v>
      </c>
      <c r="E75" t="s">
        <v>360</v>
      </c>
      <c r="F75" s="4">
        <f>HLOOKUP($E$4,'5. Bilan'!$F$3:$BF$226,70,0)</f>
        <v>5449351.1100000003</v>
      </c>
    </row>
    <row r="76" spans="2:6" x14ac:dyDescent="0.25">
      <c r="D76">
        <v>1404</v>
      </c>
      <c r="E76" t="s">
        <v>361</v>
      </c>
      <c r="F76" s="4">
        <f>HLOOKUP($E$4,'5. Bilan'!$F$3:$BF$226,71,0)</f>
        <v>574074.30000000005</v>
      </c>
    </row>
    <row r="77" spans="2:6" x14ac:dyDescent="0.25">
      <c r="D77">
        <v>1405</v>
      </c>
      <c r="E77" t="s">
        <v>362</v>
      </c>
      <c r="F77" s="4">
        <f>HLOOKUP($E$4,'5. Bilan'!$F$3:$BF$226,72,0)</f>
        <v>0</v>
      </c>
    </row>
    <row r="78" spans="2:6" x14ac:dyDescent="0.25">
      <c r="D78">
        <v>1406</v>
      </c>
      <c r="E78" t="s">
        <v>363</v>
      </c>
      <c r="F78" s="4">
        <f>HLOOKUP($E$4,'5. Bilan'!$F$3:$BF$226,73,0)</f>
        <v>0</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0</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0</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16302.95</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16302.95</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15188762.25</v>
      </c>
    </row>
    <row r="124" spans="1:6" x14ac:dyDescent="0.25">
      <c r="A124" s="7"/>
      <c r="B124" s="85">
        <v>20</v>
      </c>
      <c r="C124" s="85"/>
      <c r="D124" s="85"/>
      <c r="E124" s="85" t="s">
        <v>252</v>
      </c>
      <c r="F124" s="86">
        <f>HLOOKUP($E$4,'5. Bilan'!$F$3:$BF$226,119,0)</f>
        <v>10597593.460000001</v>
      </c>
    </row>
    <row r="125" spans="1:6" x14ac:dyDescent="0.25">
      <c r="C125" s="83">
        <v>200</v>
      </c>
      <c r="D125" s="83"/>
      <c r="E125" s="83" t="s">
        <v>253</v>
      </c>
      <c r="F125" s="84">
        <f>SUM(F126:F133)</f>
        <v>0</v>
      </c>
    </row>
    <row r="126" spans="1:6" x14ac:dyDescent="0.25">
      <c r="D126">
        <v>2000</v>
      </c>
      <c r="E126" t="s">
        <v>398</v>
      </c>
      <c r="F126" s="4">
        <f>HLOOKUP($E$4,'5. Bilan'!$F$3:$BF$226,121,0)</f>
        <v>0</v>
      </c>
    </row>
    <row r="127" spans="1:6" x14ac:dyDescent="0.25">
      <c r="D127">
        <v>2001</v>
      </c>
      <c r="E127" t="s">
        <v>399</v>
      </c>
      <c r="F127" s="4">
        <f>HLOOKUP($E$4,'5. Bilan'!$F$3:$BF$226,122,0)</f>
        <v>0</v>
      </c>
    </row>
    <row r="128" spans="1:6" x14ac:dyDescent="0.25">
      <c r="D128">
        <v>2002</v>
      </c>
      <c r="E128" t="s">
        <v>400</v>
      </c>
      <c r="F128" s="4">
        <f>HLOOKUP($E$4,'5. Bilan'!$F$3:$BF$226,123,0)</f>
        <v>0</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0</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5748056.3600000003</v>
      </c>
    </row>
    <row r="136" spans="3:6" x14ac:dyDescent="0.25">
      <c r="D136">
        <v>2010</v>
      </c>
      <c r="E136" t="s">
        <v>405</v>
      </c>
      <c r="F136" s="4">
        <f>HLOOKUP($E$4,'5. Bilan'!$F$3:$BF$226,131,0)</f>
        <v>5619656.3600000003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128400</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166973.4</v>
      </c>
    </row>
    <row r="146" spans="3:6" x14ac:dyDescent="0.25">
      <c r="D146">
        <v>2040</v>
      </c>
      <c r="E146" t="s">
        <v>61</v>
      </c>
      <c r="F146" s="4">
        <f>HLOOKUP($E$4,'5. Bilan'!$F$3:$BF$226,141,0)</f>
        <v>0</v>
      </c>
    </row>
    <row r="147" spans="3:6" x14ac:dyDescent="0.25">
      <c r="D147">
        <v>2041</v>
      </c>
      <c r="E147" t="s">
        <v>277</v>
      </c>
      <c r="F147" s="4">
        <f>HLOOKUP($E$4,'5. Bilan'!$F$3:$BF$226,142,0)</f>
        <v>154885.6</v>
      </c>
    </row>
    <row r="148" spans="3:6" x14ac:dyDescent="0.25">
      <c r="D148">
        <v>2042</v>
      </c>
      <c r="E148" t="s">
        <v>331</v>
      </c>
      <c r="F148" s="4">
        <f>HLOOKUP($E$4,'5. Bilan'!$F$3:$BF$226,143,0)</f>
        <v>12087.8</v>
      </c>
    </row>
    <row r="149" spans="3:6" x14ac:dyDescent="0.25">
      <c r="D149">
        <v>2043</v>
      </c>
      <c r="E149" t="s">
        <v>332</v>
      </c>
      <c r="F149" s="4">
        <f>HLOOKUP($E$4,'5. Bilan'!$F$3:$BF$226,144,0)</f>
        <v>0</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4604400</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0</v>
      </c>
    </row>
    <row r="171" spans="3:6" x14ac:dyDescent="0.25">
      <c r="D171">
        <v>2064</v>
      </c>
      <c r="E171" t="s">
        <v>448</v>
      </c>
      <c r="F171" s="4">
        <f>HLOOKUP($E$4,'5. Bilan'!$F$3:$BF$226,166,0)</f>
        <v>4604400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78163.7</v>
      </c>
    </row>
    <row r="187" spans="2:6" x14ac:dyDescent="0.25">
      <c r="D187">
        <v>2090</v>
      </c>
      <c r="E187" t="s">
        <v>259</v>
      </c>
      <c r="F187" s="4">
        <f>HLOOKUP($E$4,'5. Bilan'!$F$3:$BF$226,182,0)</f>
        <v>0</v>
      </c>
    </row>
    <row r="188" spans="2:6" x14ac:dyDescent="0.25">
      <c r="D188">
        <v>2091</v>
      </c>
      <c r="E188" t="s">
        <v>440</v>
      </c>
      <c r="F188" s="4">
        <f>HLOOKUP($E$4,'5. Bilan'!$F$3:$BF$226,183,0)</f>
        <v>78163.7</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4591168.79</v>
      </c>
    </row>
    <row r="193" spans="3:6" x14ac:dyDescent="0.25">
      <c r="C193" s="83">
        <v>290</v>
      </c>
      <c r="D193" s="83"/>
      <c r="E193" s="83" t="s">
        <v>261</v>
      </c>
      <c r="F193" s="84">
        <f>SUM(F194)</f>
        <v>2151199.2599999998</v>
      </c>
    </row>
    <row r="194" spans="3:6" x14ac:dyDescent="0.25">
      <c r="D194">
        <v>2900</v>
      </c>
      <c r="E194" t="s">
        <v>261</v>
      </c>
      <c r="F194" s="4">
        <f>HLOOKUP($E$4,'5. Bilan'!$F$3:$BF$226,189,0)</f>
        <v>2151199.2599999998</v>
      </c>
    </row>
    <row r="195" spans="3:6" x14ac:dyDescent="0.25">
      <c r="F195" s="4"/>
    </row>
    <row r="196" spans="3:6" x14ac:dyDescent="0.25">
      <c r="C196" s="83">
        <v>291</v>
      </c>
      <c r="D196" s="83"/>
      <c r="E196" s="83" t="s">
        <v>262</v>
      </c>
      <c r="F196" s="84">
        <f>SUM(F197:F198)</f>
        <v>50921.1</v>
      </c>
    </row>
    <row r="197" spans="3:6" x14ac:dyDescent="0.25">
      <c r="D197">
        <v>2910</v>
      </c>
      <c r="E197" t="s">
        <v>262</v>
      </c>
      <c r="F197" s="4">
        <f>HLOOKUP($E$4,'5. Bilan'!$F$3:$BF$226,192,0)</f>
        <v>50921.1</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320000</v>
      </c>
    </row>
    <row r="207" spans="3:6" x14ac:dyDescent="0.25">
      <c r="D207">
        <v>2940</v>
      </c>
      <c r="E207" t="s">
        <v>265</v>
      </c>
      <c r="F207" s="4">
        <f>HLOOKUP($E$4,'5. Bilan'!$F$3:$BF$226,202,0)</f>
        <v>320000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2069048.43</v>
      </c>
    </row>
    <row r="219" spans="3:6" x14ac:dyDescent="0.25">
      <c r="D219">
        <v>2990</v>
      </c>
      <c r="E219" t="s">
        <v>444</v>
      </c>
      <c r="F219" s="4">
        <f>HLOOKUP($E$4,'5. Bilan'!$F$3:$BF$226,214,0)</f>
        <v>-157625.18</v>
      </c>
    </row>
    <row r="220" spans="3:6" x14ac:dyDescent="0.25">
      <c r="D220">
        <v>2999</v>
      </c>
      <c r="E220" t="s">
        <v>582</v>
      </c>
      <c r="F220" s="4">
        <f>HLOOKUP($E$4,'5. Bilan'!$F$3:$BF$226,215,0)</f>
        <v>2226673.61</v>
      </c>
    </row>
    <row r="221" spans="3:6" x14ac:dyDescent="0.25">
      <c r="F221" s="4"/>
    </row>
    <row r="222" spans="3:6" x14ac:dyDescent="0.25">
      <c r="C222" s="160"/>
      <c r="D222" s="160"/>
      <c r="E222" s="160" t="s">
        <v>587</v>
      </c>
      <c r="F222" s="178"/>
    </row>
    <row r="223" spans="3:6" x14ac:dyDescent="0.25">
      <c r="D223">
        <v>290</v>
      </c>
      <c r="E223" t="s">
        <v>586</v>
      </c>
      <c r="F223" s="4">
        <f>HLOOKUP($E$4,'5. Bilan'!$F$3:$BF$226,218,0)</f>
        <v>202553.28</v>
      </c>
    </row>
    <row r="224" spans="3:6" x14ac:dyDescent="0.25">
      <c r="D224">
        <v>2990</v>
      </c>
      <c r="E224" t="s">
        <v>590</v>
      </c>
      <c r="F224" s="4">
        <f>HLOOKUP($E$4,'5. Bilan'!$F$3:$BF$226,219,0)</f>
        <v>-157625.18</v>
      </c>
    </row>
    <row r="225" spans="5:6" x14ac:dyDescent="0.25">
      <c r="F225" s="4"/>
    </row>
    <row r="226" spans="5:6" x14ac:dyDescent="0.25">
      <c r="E226" s="7" t="s">
        <v>589</v>
      </c>
      <c r="F226" s="4">
        <f>HLOOKUP($E$4,'5. Bilan'!$F$3:$BF$226,221,0)</f>
        <v>44928.100000000006</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22" t="s">
        <v>645</v>
      </c>
      <c r="B14" s="223"/>
      <c r="C14" s="223"/>
      <c r="D14" s="223"/>
      <c r="E14" s="223"/>
      <c r="F14" s="223"/>
      <c r="G14" s="223"/>
      <c r="H14" s="224"/>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22" t="s">
        <v>657</v>
      </c>
      <c r="B24" s="223"/>
      <c r="C24" s="223"/>
      <c r="D24" s="223"/>
      <c r="E24" s="223"/>
      <c r="F24" s="223"/>
      <c r="G24" s="223"/>
      <c r="H24" s="224"/>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22" t="s">
        <v>665</v>
      </c>
      <c r="B32" s="223"/>
      <c r="C32" s="223"/>
      <c r="D32" s="223"/>
      <c r="E32" s="223"/>
      <c r="F32" s="223"/>
      <c r="G32" s="223"/>
      <c r="H32" s="224"/>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22" t="s">
        <v>676</v>
      </c>
      <c r="B42" s="223"/>
      <c r="C42" s="223"/>
      <c r="D42" s="223"/>
      <c r="E42" s="223"/>
      <c r="F42" s="223"/>
      <c r="G42" s="223"/>
      <c r="H42" s="224"/>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22" t="s">
        <v>687</v>
      </c>
      <c r="B53" s="223"/>
      <c r="C53" s="223"/>
      <c r="D53" s="223"/>
      <c r="E53" s="223"/>
      <c r="F53" s="223"/>
      <c r="G53" s="223"/>
      <c r="H53" s="224"/>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22" t="s">
        <v>696</v>
      </c>
      <c r="B62" s="223"/>
      <c r="C62" s="223"/>
      <c r="D62" s="223"/>
      <c r="E62" s="223"/>
      <c r="F62" s="223"/>
      <c r="G62" s="223"/>
      <c r="H62" s="224"/>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22" t="s">
        <v>705</v>
      </c>
      <c r="B71" s="223"/>
      <c r="C71" s="223"/>
      <c r="D71" s="223"/>
      <c r="E71" s="223"/>
      <c r="F71" s="223"/>
      <c r="G71" s="223"/>
      <c r="H71" s="224"/>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22" t="s">
        <v>717</v>
      </c>
      <c r="B81" s="223"/>
      <c r="C81" s="223"/>
      <c r="D81" s="223"/>
      <c r="E81" s="223"/>
      <c r="F81" s="223"/>
      <c r="G81" s="223"/>
      <c r="H81" s="224"/>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22" t="s">
        <v>724</v>
      </c>
      <c r="B89" s="223"/>
      <c r="C89" s="223"/>
      <c r="D89" s="223"/>
      <c r="E89" s="223"/>
      <c r="F89" s="223"/>
      <c r="G89" s="223"/>
      <c r="H89" s="224"/>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22" t="s">
        <v>732</v>
      </c>
      <c r="B98" s="223"/>
      <c r="C98" s="223"/>
      <c r="D98" s="223"/>
      <c r="E98" s="223"/>
      <c r="F98" s="223"/>
      <c r="G98" s="223"/>
      <c r="H98" s="224"/>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5" t="s">
        <v>494</v>
      </c>
      <c r="B8" s="225"/>
      <c r="C8" s="225"/>
      <c r="D8" s="225"/>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5" t="s">
        <v>494</v>
      </c>
      <c r="B8" s="225"/>
      <c r="C8" s="225"/>
      <c r="D8" s="225"/>
    </row>
    <row r="9" spans="1:60" ht="15.75" thickBot="1" x14ac:dyDescent="0.3"/>
    <row r="10" spans="1:60" ht="15.75" thickBot="1" x14ac:dyDescent="0.3">
      <c r="A10" s="226" t="s">
        <v>566</v>
      </c>
      <c r="B10" s="227"/>
      <c r="C10" s="227"/>
      <c r="D10" s="228"/>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5"/>
      <c r="B1" s="225"/>
      <c r="C1" s="225"/>
      <c r="D1" s="225"/>
    </row>
    <row r="2" spans="1:8" ht="18.75" x14ac:dyDescent="0.3">
      <c r="A2" s="232" t="s">
        <v>855</v>
      </c>
      <c r="B2" s="232"/>
      <c r="C2" s="232"/>
      <c r="D2" s="232"/>
      <c r="E2" s="225"/>
      <c r="F2" s="225"/>
      <c r="G2" s="225"/>
      <c r="H2" s="225"/>
    </row>
    <row r="3" spans="1:8" ht="18.75" x14ac:dyDescent="0.3">
      <c r="A3" s="155"/>
      <c r="B3" s="155"/>
      <c r="C3" s="155"/>
      <c r="D3" s="155"/>
      <c r="E3" s="155"/>
      <c r="F3" s="155"/>
      <c r="G3" s="155"/>
      <c r="H3" s="155"/>
    </row>
    <row r="4" spans="1:8" ht="15.75" thickBot="1" x14ac:dyDescent="0.3">
      <c r="B4" s="233" t="s">
        <v>797</v>
      </c>
      <c r="C4" s="233"/>
      <c r="D4" s="233"/>
    </row>
    <row r="5" spans="1:8" ht="15.75" thickBot="1" x14ac:dyDescent="0.3">
      <c r="A5" s="156" t="s">
        <v>573</v>
      </c>
      <c r="B5" s="219" t="s">
        <v>71</v>
      </c>
      <c r="C5" s="220"/>
      <c r="D5" s="221"/>
      <c r="F5" s="110"/>
    </row>
    <row r="6" spans="1:8" ht="15.75" thickBot="1" x14ac:dyDescent="0.3">
      <c r="E6" s="7"/>
      <c r="H6" s="117"/>
    </row>
    <row r="7" spans="1:8" ht="15.75" thickBot="1" x14ac:dyDescent="0.3">
      <c r="A7" s="229" t="s">
        <v>566</v>
      </c>
      <c r="B7" s="230"/>
      <c r="C7" s="230"/>
      <c r="D7" s="231"/>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M136" activePane="bottomRight" state="frozen"/>
      <selection pane="topRight" activeCell="E1" sqref="E1"/>
      <selection pane="bottomLeft" activeCell="A4" sqref="A4"/>
      <selection pane="bottomRight" activeCell="M155" sqref="M155"/>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12237.75</v>
      </c>
      <c r="N4" s="93">
        <f t="shared" si="0"/>
        <v>28273.79</v>
      </c>
      <c r="O4" s="93">
        <f t="shared" si="0"/>
        <v>156496.59000000003</v>
      </c>
      <c r="P4" s="93">
        <f t="shared" si="0"/>
        <v>200007.37</v>
      </c>
      <c r="Q4" s="93">
        <f t="shared" si="0"/>
        <v>410782.54000000004</v>
      </c>
      <c r="R4" s="93">
        <f t="shared" si="0"/>
        <v>4086583.4499999997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2263.3000000000002</v>
      </c>
      <c r="N5" s="95">
        <f t="shared" si="1"/>
        <v>6371.6</v>
      </c>
      <c r="O5" s="95">
        <f t="shared" si="1"/>
        <v>27172.7</v>
      </c>
      <c r="P5" s="95">
        <f t="shared" si="1"/>
        <v>9887.7000000000007</v>
      </c>
      <c r="Q5" s="95">
        <f t="shared" si="1"/>
        <v>50808.95</v>
      </c>
      <c r="R5" s="95">
        <f t="shared" si="1"/>
        <v>797853.55000000016</v>
      </c>
      <c r="S5">
        <v>3</v>
      </c>
    </row>
    <row r="6" spans="1:19" x14ac:dyDescent="0.25">
      <c r="C6">
        <v>300</v>
      </c>
      <c r="D6" t="s">
        <v>80</v>
      </c>
      <c r="E6" s="4">
        <v>27583.8</v>
      </c>
      <c r="F6" s="4">
        <v>10898.15</v>
      </c>
      <c r="G6" s="4">
        <v>5691</v>
      </c>
      <c r="H6" s="4">
        <v>3015</v>
      </c>
      <c r="I6" s="4">
        <v>13880</v>
      </c>
      <c r="J6" s="4">
        <v>54744.65</v>
      </c>
      <c r="K6" s="4">
        <v>3362</v>
      </c>
      <c r="L6" s="4">
        <v>15172.65</v>
      </c>
      <c r="M6" s="4">
        <v>450</v>
      </c>
      <c r="N6" s="4">
        <v>1192.5</v>
      </c>
      <c r="O6" s="4">
        <v>22734.75</v>
      </c>
      <c r="P6" s="4">
        <v>1920</v>
      </c>
      <c r="Q6" s="4">
        <v>9595.9500000000007</v>
      </c>
      <c r="R6" s="4">
        <f t="shared" ref="R6:R13" si="2">SUM(E6:Q6)</f>
        <v>170240.45</v>
      </c>
      <c r="S6">
        <v>4</v>
      </c>
    </row>
    <row r="7" spans="1:19" x14ac:dyDescent="0.25">
      <c r="C7">
        <v>301</v>
      </c>
      <c r="D7" t="s">
        <v>81</v>
      </c>
      <c r="E7" s="4">
        <v>145332.95000000001</v>
      </c>
      <c r="F7" s="4">
        <v>0</v>
      </c>
      <c r="G7" s="4">
        <v>6568.4</v>
      </c>
      <c r="H7" s="4">
        <v>6200</v>
      </c>
      <c r="I7" s="4">
        <v>19957</v>
      </c>
      <c r="J7" s="4">
        <v>225542.7</v>
      </c>
      <c r="K7" s="4">
        <v>7750</v>
      </c>
      <c r="L7" s="4">
        <v>16377.6</v>
      </c>
      <c r="M7" s="4">
        <v>1490.7</v>
      </c>
      <c r="N7" s="4">
        <v>4940</v>
      </c>
      <c r="O7" s="4">
        <v>613.4</v>
      </c>
      <c r="P7" s="4">
        <v>7517.5</v>
      </c>
      <c r="Q7" s="4">
        <v>31863.200000000001</v>
      </c>
      <c r="R7" s="4">
        <f t="shared" si="2"/>
        <v>474153.45000000007</v>
      </c>
      <c r="S7">
        <v>5</v>
      </c>
    </row>
    <row r="8" spans="1:19" x14ac:dyDescent="0.25">
      <c r="C8">
        <v>302</v>
      </c>
      <c r="D8" t="s">
        <v>82</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v>0</v>
      </c>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v>0</v>
      </c>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v>322.60000000000002</v>
      </c>
      <c r="N11" s="4">
        <v>239.1</v>
      </c>
      <c r="O11" s="4">
        <v>3003.55</v>
      </c>
      <c r="P11" s="4">
        <v>111.6</v>
      </c>
      <c r="Q11" s="4">
        <v>8949.7999999999993</v>
      </c>
      <c r="R11" s="4">
        <f t="shared" si="2"/>
        <v>113654.15000000002</v>
      </c>
      <c r="S11">
        <v>9</v>
      </c>
    </row>
    <row r="12" spans="1:19" x14ac:dyDescent="0.25">
      <c r="C12">
        <v>306</v>
      </c>
      <c r="D12" t="s">
        <v>85</v>
      </c>
      <c r="E12" s="4">
        <v>0</v>
      </c>
      <c r="F12" s="4">
        <v>0</v>
      </c>
      <c r="G12" s="4">
        <v>0</v>
      </c>
      <c r="H12" s="4">
        <v>0</v>
      </c>
      <c r="I12" s="4">
        <v>0</v>
      </c>
      <c r="J12" s="4">
        <v>0</v>
      </c>
      <c r="K12" s="4">
        <v>0</v>
      </c>
      <c r="L12" s="4">
        <v>0</v>
      </c>
      <c r="M12" s="4">
        <v>0</v>
      </c>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v>0</v>
      </c>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7152.1999999999989</v>
      </c>
      <c r="N15" s="95">
        <f t="shared" si="3"/>
        <v>14547.24</v>
      </c>
      <c r="O15" s="95">
        <f t="shared" si="3"/>
        <v>88734.5</v>
      </c>
      <c r="P15" s="95">
        <f t="shared" si="3"/>
        <v>73019.639999999985</v>
      </c>
      <c r="Q15" s="95">
        <f t="shared" si="3"/>
        <v>157809.04</v>
      </c>
      <c r="R15" s="95">
        <f t="shared" si="3"/>
        <v>1468819.78</v>
      </c>
      <c r="S15">
        <v>13</v>
      </c>
    </row>
    <row r="16" spans="1:19" x14ac:dyDescent="0.25">
      <c r="C16">
        <v>310</v>
      </c>
      <c r="D16" t="s">
        <v>88</v>
      </c>
      <c r="E16" s="4">
        <v>37014.35</v>
      </c>
      <c r="F16" s="4">
        <v>11383.75</v>
      </c>
      <c r="G16" s="4">
        <v>1976.1</v>
      </c>
      <c r="H16" s="4">
        <v>1375.14</v>
      </c>
      <c r="I16" s="4">
        <v>6433.25</v>
      </c>
      <c r="J16" s="4">
        <v>7535.05</v>
      </c>
      <c r="K16" s="4">
        <v>5349.8</v>
      </c>
      <c r="L16" s="4">
        <v>8397.4</v>
      </c>
      <c r="M16" s="4">
        <v>53.95</v>
      </c>
      <c r="N16" s="4">
        <v>2854.2</v>
      </c>
      <c r="O16" s="4">
        <v>722.3</v>
      </c>
      <c r="P16" s="4">
        <v>8803.65</v>
      </c>
      <c r="Q16" s="4">
        <v>1094.1500000000001</v>
      </c>
      <c r="R16" s="4">
        <f t="shared" ref="R16:R25" si="4">SUM(E16:Q16)</f>
        <v>92993.089999999982</v>
      </c>
      <c r="S16">
        <v>14</v>
      </c>
    </row>
    <row r="17" spans="2:19" x14ac:dyDescent="0.25">
      <c r="C17">
        <v>311</v>
      </c>
      <c r="D17" t="s">
        <v>452</v>
      </c>
      <c r="E17" s="4">
        <v>3423</v>
      </c>
      <c r="F17" s="4">
        <v>0</v>
      </c>
      <c r="G17" s="4">
        <v>288.89999999999998</v>
      </c>
      <c r="H17" s="4">
        <v>0</v>
      </c>
      <c r="I17" s="4">
        <v>370</v>
      </c>
      <c r="J17" s="4">
        <v>17109.400000000001</v>
      </c>
      <c r="K17" s="4">
        <v>700</v>
      </c>
      <c r="L17" s="4">
        <v>1702.3</v>
      </c>
      <c r="M17" s="4">
        <v>0</v>
      </c>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v>1259.45</v>
      </c>
      <c r="N18" s="4">
        <v>692.7</v>
      </c>
      <c r="O18" s="4">
        <v>37151.300000000003</v>
      </c>
      <c r="P18" s="4">
        <v>0</v>
      </c>
      <c r="Q18" s="4">
        <v>10364.799999999999</v>
      </c>
      <c r="R18" s="4">
        <f t="shared" si="4"/>
        <v>203865.95</v>
      </c>
      <c r="S18">
        <v>16</v>
      </c>
    </row>
    <row r="19" spans="2:19" x14ac:dyDescent="0.25">
      <c r="C19">
        <v>313</v>
      </c>
      <c r="D19" t="s">
        <v>91</v>
      </c>
      <c r="E19" s="4">
        <v>195902.24</v>
      </c>
      <c r="F19" s="4">
        <v>38019.85</v>
      </c>
      <c r="G19" s="4">
        <v>45204.01</v>
      </c>
      <c r="H19" s="4">
        <v>18259</v>
      </c>
      <c r="I19" s="4">
        <v>89864.87</v>
      </c>
      <c r="J19" s="4">
        <v>174482.3</v>
      </c>
      <c r="K19" s="4">
        <v>36336</v>
      </c>
      <c r="L19" s="4">
        <v>62064.51</v>
      </c>
      <c r="M19" s="4">
        <v>4932.6499999999996</v>
      </c>
      <c r="N19" s="4">
        <v>10108.94</v>
      </c>
      <c r="O19" s="4">
        <v>29626.25</v>
      </c>
      <c r="P19" s="4">
        <v>58044.89</v>
      </c>
      <c r="Q19" s="4">
        <v>92115.89</v>
      </c>
      <c r="R19" s="4">
        <f t="shared" si="4"/>
        <v>854961.4</v>
      </c>
      <c r="S19">
        <v>17</v>
      </c>
    </row>
    <row r="20" spans="2:19" x14ac:dyDescent="0.25">
      <c r="C20">
        <v>314</v>
      </c>
      <c r="D20" t="s">
        <v>92</v>
      </c>
      <c r="E20" s="4">
        <v>4252</v>
      </c>
      <c r="F20" s="4">
        <v>4565</v>
      </c>
      <c r="G20" s="4">
        <v>3761.75</v>
      </c>
      <c r="H20" s="4">
        <v>6289.1</v>
      </c>
      <c r="I20" s="4">
        <v>5579.05</v>
      </c>
      <c r="J20" s="4">
        <v>151932.04999999999</v>
      </c>
      <c r="K20" s="4">
        <v>1187.8499999999999</v>
      </c>
      <c r="L20" s="4">
        <v>0</v>
      </c>
      <c r="M20" s="4">
        <v>0</v>
      </c>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v>270.2</v>
      </c>
      <c r="N21" s="4">
        <v>0</v>
      </c>
      <c r="O21" s="4">
        <v>0</v>
      </c>
      <c r="P21" s="4">
        <v>590</v>
      </c>
      <c r="Q21" s="4">
        <v>323.10000000000002</v>
      </c>
      <c r="R21" s="4">
        <f t="shared" si="4"/>
        <v>19385.8</v>
      </c>
      <c r="S21">
        <v>19</v>
      </c>
    </row>
    <row r="22" spans="2:19" x14ac:dyDescent="0.25">
      <c r="C22">
        <v>316</v>
      </c>
      <c r="D22" t="s">
        <v>94</v>
      </c>
      <c r="E22" s="4">
        <v>2023.45</v>
      </c>
      <c r="F22" s="4">
        <v>0</v>
      </c>
      <c r="G22" s="4">
        <v>950</v>
      </c>
      <c r="H22" s="4">
        <v>0</v>
      </c>
      <c r="I22" s="4">
        <v>0</v>
      </c>
      <c r="J22" s="4">
        <v>0</v>
      </c>
      <c r="K22" s="4">
        <v>0</v>
      </c>
      <c r="L22" s="4">
        <v>0</v>
      </c>
      <c r="M22" s="4">
        <v>0</v>
      </c>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v>635.95000000000005</v>
      </c>
      <c r="N23" s="4">
        <v>352.9</v>
      </c>
      <c r="O23" s="4">
        <v>158.9</v>
      </c>
      <c r="P23" s="4">
        <v>0</v>
      </c>
      <c r="Q23" s="4">
        <v>565</v>
      </c>
      <c r="R23" s="4">
        <f t="shared" si="4"/>
        <v>10189.1</v>
      </c>
      <c r="S23">
        <v>21</v>
      </c>
    </row>
    <row r="24" spans="2:19" x14ac:dyDescent="0.25">
      <c r="C24">
        <v>318</v>
      </c>
      <c r="D24" t="s">
        <v>96</v>
      </c>
      <c r="E24" s="4">
        <v>240</v>
      </c>
      <c r="F24" s="4">
        <v>0</v>
      </c>
      <c r="G24" s="4">
        <v>0</v>
      </c>
      <c r="H24" s="4">
        <v>0</v>
      </c>
      <c r="I24" s="4">
        <v>0</v>
      </c>
      <c r="J24" s="4">
        <v>0</v>
      </c>
      <c r="K24" s="4">
        <v>0</v>
      </c>
      <c r="L24" s="4">
        <v>0</v>
      </c>
      <c r="M24" s="4">
        <v>0</v>
      </c>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v>0</v>
      </c>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1332.5</v>
      </c>
      <c r="N27" s="95">
        <f t="shared" si="5"/>
        <v>0</v>
      </c>
      <c r="O27" s="95">
        <f t="shared" si="5"/>
        <v>22000</v>
      </c>
      <c r="P27" s="95">
        <f t="shared" si="5"/>
        <v>32530</v>
      </c>
      <c r="Q27" s="95">
        <f t="shared" si="5"/>
        <v>0</v>
      </c>
      <c r="R27" s="95">
        <f t="shared" si="5"/>
        <v>208630.15</v>
      </c>
      <c r="S27">
        <v>25</v>
      </c>
    </row>
    <row r="28" spans="2:19" x14ac:dyDescent="0.25">
      <c r="C28">
        <v>330</v>
      </c>
      <c r="D28" t="s">
        <v>100</v>
      </c>
      <c r="E28" s="4">
        <v>65732.7</v>
      </c>
      <c r="F28" s="4">
        <v>11268</v>
      </c>
      <c r="G28" s="4">
        <v>3218.95</v>
      </c>
      <c r="H28" s="4">
        <v>0</v>
      </c>
      <c r="I28" s="4">
        <v>31218</v>
      </c>
      <c r="J28" s="4">
        <v>41330</v>
      </c>
      <c r="K28" s="4">
        <v>0</v>
      </c>
      <c r="L28" s="4">
        <v>0</v>
      </c>
      <c r="M28" s="4">
        <v>1332.5</v>
      </c>
      <c r="N28" s="4">
        <v>0</v>
      </c>
      <c r="O28" s="4">
        <v>22000</v>
      </c>
      <c r="P28" s="4">
        <v>32530</v>
      </c>
      <c r="Q28" s="4">
        <v>0</v>
      </c>
      <c r="R28" s="4">
        <f>SUM(E28:Q28)</f>
        <v>208630.15</v>
      </c>
      <c r="S28">
        <v>26</v>
      </c>
    </row>
    <row r="29" spans="2:19" x14ac:dyDescent="0.25">
      <c r="C29">
        <v>332</v>
      </c>
      <c r="D29" t="s">
        <v>99</v>
      </c>
      <c r="E29" s="4">
        <v>0</v>
      </c>
      <c r="F29" s="4">
        <v>0</v>
      </c>
      <c r="G29" s="4">
        <v>0</v>
      </c>
      <c r="H29" s="4">
        <v>0</v>
      </c>
      <c r="I29" s="4">
        <v>0</v>
      </c>
      <c r="J29" s="4">
        <v>0</v>
      </c>
      <c r="K29" s="4">
        <v>0</v>
      </c>
      <c r="L29" s="4">
        <v>0</v>
      </c>
      <c r="M29" s="4">
        <v>0</v>
      </c>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v>0</v>
      </c>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v>0</v>
      </c>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v>0</v>
      </c>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v>0</v>
      </c>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v>0</v>
      </c>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v>0</v>
      </c>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v>0</v>
      </c>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1489.75</v>
      </c>
      <c r="N43" s="95">
        <f t="shared" si="10"/>
        <v>7354.95</v>
      </c>
      <c r="O43" s="95">
        <f t="shared" si="10"/>
        <v>10383.75</v>
      </c>
      <c r="P43" s="95">
        <f t="shared" si="10"/>
        <v>44191.4</v>
      </c>
      <c r="Q43" s="95">
        <f t="shared" si="10"/>
        <v>26250</v>
      </c>
      <c r="R43" s="95">
        <f t="shared" si="10"/>
        <v>310815</v>
      </c>
      <c r="S43">
        <v>41</v>
      </c>
    </row>
    <row r="44" spans="2:19" x14ac:dyDescent="0.25">
      <c r="C44">
        <v>360</v>
      </c>
      <c r="D44" t="s">
        <v>111</v>
      </c>
      <c r="E44" s="4">
        <v>4177.1000000000004</v>
      </c>
      <c r="F44" s="4">
        <v>0</v>
      </c>
      <c r="G44" s="4">
        <v>0</v>
      </c>
      <c r="H44" s="4">
        <v>0</v>
      </c>
      <c r="I44" s="4">
        <v>0</v>
      </c>
      <c r="J44" s="4">
        <v>2000</v>
      </c>
      <c r="K44" s="4">
        <v>0</v>
      </c>
      <c r="L44" s="4">
        <v>0</v>
      </c>
      <c r="M44" s="4">
        <v>0</v>
      </c>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v>0</v>
      </c>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v>0</v>
      </c>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v>1489.75</v>
      </c>
      <c r="N47" s="4">
        <v>0</v>
      </c>
      <c r="O47" s="4">
        <v>10383.75</v>
      </c>
      <c r="P47" s="4">
        <v>43482.75</v>
      </c>
      <c r="Q47" s="4">
        <v>1250</v>
      </c>
      <c r="R47" s="4">
        <f t="shared" si="11"/>
        <v>263765.75</v>
      </c>
      <c r="S47">
        <v>45</v>
      </c>
    </row>
    <row r="48" spans="2:19" x14ac:dyDescent="0.25">
      <c r="C48">
        <v>364</v>
      </c>
      <c r="D48" t="s">
        <v>115</v>
      </c>
      <c r="E48" s="4">
        <v>0</v>
      </c>
      <c r="F48" s="4">
        <v>0</v>
      </c>
      <c r="G48" s="4">
        <v>0</v>
      </c>
      <c r="H48" s="4">
        <v>0</v>
      </c>
      <c r="I48" s="4">
        <v>0</v>
      </c>
      <c r="J48" s="4">
        <v>0</v>
      </c>
      <c r="K48" s="4">
        <v>0</v>
      </c>
      <c r="L48" s="4">
        <v>0</v>
      </c>
      <c r="M48" s="4">
        <v>0</v>
      </c>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v>0</v>
      </c>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v>0</v>
      </c>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v>0</v>
      </c>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v>0</v>
      </c>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v>0</v>
      </c>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v>0</v>
      </c>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v>0</v>
      </c>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v>0</v>
      </c>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v>0</v>
      </c>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v>0</v>
      </c>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v>0</v>
      </c>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v>0</v>
      </c>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v>0</v>
      </c>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v>0</v>
      </c>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v>0</v>
      </c>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v>0</v>
      </c>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v>0</v>
      </c>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v>0</v>
      </c>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5745.8399999999992</v>
      </c>
      <c r="N75" s="97">
        <f t="shared" si="17"/>
        <v>29286.699999999997</v>
      </c>
      <c r="O75" s="97">
        <f t="shared" si="17"/>
        <v>159401</v>
      </c>
      <c r="P75" s="97">
        <f t="shared" si="17"/>
        <v>205852.6</v>
      </c>
      <c r="Q75" s="97">
        <f t="shared" si="17"/>
        <v>402356</v>
      </c>
      <c r="R75" s="97">
        <f t="shared" si="17"/>
        <v>4242100.74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v>0</v>
      </c>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v>0</v>
      </c>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v>0</v>
      </c>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v>0</v>
      </c>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v>0</v>
      </c>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v>0</v>
      </c>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v>0</v>
      </c>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v>0</v>
      </c>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1495</v>
      </c>
      <c r="N88" s="91">
        <f t="shared" si="20"/>
        <v>7960.05</v>
      </c>
      <c r="O88" s="91">
        <f t="shared" si="20"/>
        <v>24710.75</v>
      </c>
      <c r="P88" s="91">
        <f t="shared" si="20"/>
        <v>105104.95000000001</v>
      </c>
      <c r="Q88" s="91">
        <f t="shared" si="20"/>
        <v>136140.04999999999</v>
      </c>
      <c r="R88" s="91">
        <f t="shared" si="20"/>
        <v>1269375.97</v>
      </c>
      <c r="S88">
        <v>86</v>
      </c>
    </row>
    <row r="89" spans="2:19" x14ac:dyDescent="0.25">
      <c r="C89">
        <v>420</v>
      </c>
      <c r="D89" t="s">
        <v>148</v>
      </c>
      <c r="E89" s="4">
        <v>0</v>
      </c>
      <c r="F89" s="4">
        <v>0</v>
      </c>
      <c r="G89" s="4">
        <v>0</v>
      </c>
      <c r="H89" s="4">
        <v>0</v>
      </c>
      <c r="I89" s="4">
        <v>0</v>
      </c>
      <c r="J89" s="4">
        <v>0</v>
      </c>
      <c r="K89" s="4">
        <v>0</v>
      </c>
      <c r="L89" s="4">
        <v>0</v>
      </c>
      <c r="M89" s="4">
        <v>0</v>
      </c>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v>0</v>
      </c>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v>0</v>
      </c>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v>0</v>
      </c>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v>0</v>
      </c>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v>1495</v>
      </c>
      <c r="N94" s="4">
        <v>327.8</v>
      </c>
      <c r="O94" s="4">
        <v>24710.75</v>
      </c>
      <c r="P94" s="4">
        <v>72200.600000000006</v>
      </c>
      <c r="Q94" s="4">
        <v>80770.899999999994</v>
      </c>
      <c r="R94" s="4">
        <f t="shared" si="21"/>
        <v>998799.94</v>
      </c>
      <c r="S94">
        <v>92</v>
      </c>
    </row>
    <row r="95" spans="2:19" x14ac:dyDescent="0.25">
      <c r="C95">
        <v>426</v>
      </c>
      <c r="D95" t="s">
        <v>154</v>
      </c>
      <c r="E95" s="4">
        <v>450</v>
      </c>
      <c r="F95" s="4">
        <v>891.55</v>
      </c>
      <c r="G95" s="4">
        <v>3000</v>
      </c>
      <c r="H95" s="4">
        <v>1543.6</v>
      </c>
      <c r="I95" s="4">
        <v>10389.1</v>
      </c>
      <c r="J95" s="4">
        <v>58310.9</v>
      </c>
      <c r="K95" s="4">
        <v>1317.55</v>
      </c>
      <c r="L95" s="4">
        <v>10561.83</v>
      </c>
      <c r="M95" s="4">
        <v>0</v>
      </c>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v>0</v>
      </c>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v>0</v>
      </c>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v>0</v>
      </c>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v>0</v>
      </c>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v>0</v>
      </c>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3625.72</v>
      </c>
      <c r="N105" s="91">
        <f t="shared" si="23"/>
        <v>4367.3</v>
      </c>
      <c r="O105" s="91">
        <f t="shared" si="23"/>
        <v>116940.45</v>
      </c>
      <c r="P105" s="91">
        <f t="shared" si="23"/>
        <v>99670.8</v>
      </c>
      <c r="Q105" s="91">
        <f t="shared" si="23"/>
        <v>37231.550000000003</v>
      </c>
      <c r="R105" s="91">
        <f t="shared" si="23"/>
        <v>1961053.9500000002</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v>79.89</v>
      </c>
      <c r="N106" s="4">
        <v>3.3</v>
      </c>
      <c r="O106" s="4">
        <v>363.45</v>
      </c>
      <c r="P106" s="4">
        <v>3.25</v>
      </c>
      <c r="Q106" s="4">
        <v>2155</v>
      </c>
      <c r="R106" s="4">
        <f t="shared" ref="R106:R115" si="24">SUM(E106:Q106)</f>
        <v>49142.789999999994</v>
      </c>
      <c r="S106">
        <v>104</v>
      </c>
    </row>
    <row r="107" spans="2:19" x14ac:dyDescent="0.25">
      <c r="C107">
        <v>441</v>
      </c>
      <c r="D107" t="s">
        <v>164</v>
      </c>
      <c r="E107" s="4">
        <v>0</v>
      </c>
      <c r="F107" s="4">
        <v>0</v>
      </c>
      <c r="G107" s="4">
        <v>0</v>
      </c>
      <c r="H107" s="4">
        <v>0</v>
      </c>
      <c r="I107" s="4">
        <v>0</v>
      </c>
      <c r="J107" s="4">
        <v>9352.2800000000007</v>
      </c>
      <c r="K107" s="4">
        <v>0</v>
      </c>
      <c r="L107" s="4">
        <v>0</v>
      </c>
      <c r="M107" s="4">
        <v>0</v>
      </c>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v>0</v>
      </c>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v>0</v>
      </c>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v>0</v>
      </c>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v>3569</v>
      </c>
      <c r="N113" s="4">
        <v>4364</v>
      </c>
      <c r="O113" s="4">
        <v>81777</v>
      </c>
      <c r="P113" s="4">
        <v>66904.850000000006</v>
      </c>
      <c r="Q113" s="4">
        <v>32876.550000000003</v>
      </c>
      <c r="R113" s="4">
        <f t="shared" si="24"/>
        <v>798597.85000000009</v>
      </c>
      <c r="S113">
        <v>111</v>
      </c>
    </row>
    <row r="114" spans="2:19"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v>-23.17</v>
      </c>
      <c r="N115" s="4">
        <v>0</v>
      </c>
      <c r="O115" s="4">
        <v>0</v>
      </c>
      <c r="P115" s="4">
        <v>0</v>
      </c>
      <c r="Q115" s="4">
        <v>0</v>
      </c>
      <c r="R115" s="4">
        <f t="shared" si="24"/>
        <v>-23.17</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23.17</v>
      </c>
      <c r="N117" s="91">
        <f t="shared" si="25"/>
        <v>0</v>
      </c>
      <c r="O117" s="91">
        <f t="shared" si="25"/>
        <v>5456</v>
      </c>
      <c r="P117" s="91">
        <f t="shared" si="25"/>
        <v>39</v>
      </c>
      <c r="Q117" s="91">
        <f t="shared" si="25"/>
        <v>3900</v>
      </c>
      <c r="R117" s="91">
        <f t="shared" si="25"/>
        <v>201048.74000000002</v>
      </c>
      <c r="S117">
        <v>115</v>
      </c>
    </row>
    <row r="118" spans="2:19" x14ac:dyDescent="0.25">
      <c r="C118">
        <v>450</v>
      </c>
      <c r="D118" t="s">
        <v>172</v>
      </c>
      <c r="E118" s="4">
        <v>0</v>
      </c>
      <c r="F118" s="4">
        <v>0</v>
      </c>
      <c r="G118" s="4">
        <v>0</v>
      </c>
      <c r="H118" s="4">
        <v>0</v>
      </c>
      <c r="I118" s="4">
        <v>0</v>
      </c>
      <c r="J118" s="4">
        <v>0</v>
      </c>
      <c r="K118" s="4">
        <v>0</v>
      </c>
      <c r="L118" s="4">
        <v>2200</v>
      </c>
      <c r="M118" s="4">
        <v>23.17</v>
      </c>
      <c r="N118" s="4">
        <v>0</v>
      </c>
      <c r="O118" s="4">
        <v>0</v>
      </c>
      <c r="P118" s="4">
        <v>39</v>
      </c>
      <c r="Q118" s="4">
        <v>0</v>
      </c>
      <c r="R118" s="4">
        <f>SUM(E118:Q118)</f>
        <v>2262.17</v>
      </c>
      <c r="S118">
        <v>116</v>
      </c>
    </row>
    <row r="119" spans="2:19" x14ac:dyDescent="0.25">
      <c r="C119">
        <v>451</v>
      </c>
      <c r="D119" t="s">
        <v>173</v>
      </c>
      <c r="E119" s="4">
        <v>0</v>
      </c>
      <c r="F119" s="4">
        <v>0</v>
      </c>
      <c r="G119" s="4">
        <v>5087.25</v>
      </c>
      <c r="H119" s="4">
        <v>0</v>
      </c>
      <c r="I119" s="4">
        <v>10043.32</v>
      </c>
      <c r="J119" s="4">
        <v>174300</v>
      </c>
      <c r="K119" s="4">
        <v>0</v>
      </c>
      <c r="L119" s="4">
        <v>0</v>
      </c>
      <c r="M119" s="4">
        <v>0</v>
      </c>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601.95000000000005</v>
      </c>
      <c r="N121" s="91">
        <f t="shared" si="26"/>
        <v>16959.349999999999</v>
      </c>
      <c r="O121" s="91">
        <f t="shared" si="26"/>
        <v>12293.8</v>
      </c>
      <c r="P121" s="91">
        <f t="shared" si="26"/>
        <v>1037.8499999999999</v>
      </c>
      <c r="Q121" s="91">
        <f t="shared" si="26"/>
        <v>225084.4</v>
      </c>
      <c r="R121" s="91">
        <f t="shared" si="26"/>
        <v>545859.54999999993</v>
      </c>
      <c r="S121">
        <v>119</v>
      </c>
    </row>
    <row r="122" spans="2:19"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v>0</v>
      </c>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v>500</v>
      </c>
      <c r="N125" s="4">
        <v>16730.3</v>
      </c>
      <c r="O125" s="4">
        <v>11832.5</v>
      </c>
      <c r="P125" s="4">
        <v>0</v>
      </c>
      <c r="Q125" s="4">
        <v>224733.3</v>
      </c>
      <c r="R125" s="4">
        <f>SUM(E125:Q125)</f>
        <v>536100.39999999991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v>101.95</v>
      </c>
      <c r="N126" s="4">
        <v>229.05</v>
      </c>
      <c r="O126" s="4">
        <v>461.3</v>
      </c>
      <c r="P126" s="4">
        <v>1037.8499999999999</v>
      </c>
      <c r="Q126" s="4">
        <v>351.1</v>
      </c>
      <c r="R126" s="4">
        <f>SUM(E126:Q126)</f>
        <v>9059.15</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v>0</v>
      </c>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v>0</v>
      </c>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v>0</v>
      </c>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v>0</v>
      </c>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v>0</v>
      </c>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v>0</v>
      </c>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-6491.91</v>
      </c>
      <c r="N153" s="108">
        <f t="shared" si="32"/>
        <v>1012.91</v>
      </c>
      <c r="O153" s="108">
        <f t="shared" si="32"/>
        <v>2904.41</v>
      </c>
      <c r="P153" s="108">
        <f t="shared" si="32"/>
        <v>5845.23</v>
      </c>
      <c r="Q153" s="108">
        <f t="shared" si="32"/>
        <v>-8426.5400000000009</v>
      </c>
      <c r="R153" s="108">
        <f t="shared" si="32"/>
        <v>155517.29</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v>-6491.91</v>
      </c>
      <c r="N154" s="4">
        <v>1012.91</v>
      </c>
      <c r="O154" s="4">
        <v>2904.41</v>
      </c>
      <c r="P154" s="4">
        <v>5845.23</v>
      </c>
      <c r="Q154" s="4">
        <v>-8426.5400000000009</v>
      </c>
      <c r="R154" s="4">
        <f>SUM(E154:Q154)</f>
        <v>155517.29</v>
      </c>
      <c r="S154">
        <v>152</v>
      </c>
    </row>
    <row r="155" spans="1:19" x14ac:dyDescent="0.25">
      <c r="C155">
        <v>901</v>
      </c>
      <c r="D155" t="s">
        <v>197</v>
      </c>
      <c r="E155" s="4">
        <v>0</v>
      </c>
      <c r="F155" s="4">
        <v>0</v>
      </c>
      <c r="G155" s="4">
        <v>0</v>
      </c>
      <c r="H155" s="4">
        <v>0</v>
      </c>
      <c r="I155" s="4">
        <v>0</v>
      </c>
      <c r="J155" s="4">
        <v>0</v>
      </c>
      <c r="K155" s="4">
        <v>0</v>
      </c>
      <c r="L155" s="4">
        <v>0</v>
      </c>
      <c r="M155" s="4">
        <v>0</v>
      </c>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-6491.91</v>
      </c>
      <c r="N157" s="41">
        <f t="shared" si="33"/>
        <v>1012.91</v>
      </c>
      <c r="O157" s="41">
        <f t="shared" si="33"/>
        <v>2904.41</v>
      </c>
      <c r="P157" s="41">
        <f t="shared" si="33"/>
        <v>5845.23</v>
      </c>
      <c r="Q157" s="41">
        <f t="shared" si="33"/>
        <v>-8426.5400000000009</v>
      </c>
      <c r="R157" s="41">
        <f t="shared" si="33"/>
        <v>155517.29</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-6491.9100000000008</v>
      </c>
      <c r="N159" s="41">
        <f t="shared" si="34"/>
        <v>1012.9099999999962</v>
      </c>
      <c r="O159" s="41">
        <f t="shared" si="34"/>
        <v>2904.4099999999744</v>
      </c>
      <c r="P159" s="41">
        <f t="shared" si="34"/>
        <v>5845.2300000000105</v>
      </c>
      <c r="Q159" s="41">
        <f t="shared" si="34"/>
        <v>-8426.5400000000373</v>
      </c>
      <c r="R159" s="41">
        <f t="shared" si="34"/>
        <v>155517.2900000005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-4.9476511776447296E-10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12237.75</v>
      </c>
      <c r="N164" s="4">
        <f t="shared" si="37"/>
        <v>28273.79</v>
      </c>
      <c r="O164" s="4">
        <f t="shared" si="37"/>
        <v>148481.49000000002</v>
      </c>
      <c r="P164" s="4">
        <f t="shared" si="37"/>
        <v>154254.49</v>
      </c>
      <c r="Q164" s="4">
        <f t="shared" si="37"/>
        <v>383378.39</v>
      </c>
      <c r="R164" s="4">
        <f t="shared" si="37"/>
        <v>3286495.6599999997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2120.12</v>
      </c>
      <c r="N165" s="4">
        <f t="shared" si="38"/>
        <v>24919.399999999998</v>
      </c>
      <c r="O165" s="4">
        <f t="shared" si="38"/>
        <v>42460.55</v>
      </c>
      <c r="P165" s="4">
        <f t="shared" si="38"/>
        <v>106181.80000000002</v>
      </c>
      <c r="Q165" s="4">
        <f t="shared" si="38"/>
        <v>365124.44999999995</v>
      </c>
      <c r="R165" s="4">
        <f t="shared" si="38"/>
        <v>2038340.7599999998</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E3" sqref="E3"/>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c r="D4" s="60" t="s">
        <v>758</v>
      </c>
    </row>
    <row r="5" spans="1:5" ht="15.75" thickBot="1" x14ac:dyDescent="0.3">
      <c r="A5" t="s">
        <v>749</v>
      </c>
      <c r="D5" s="174" t="s">
        <v>752</v>
      </c>
    </row>
    <row r="7" spans="1:5" x14ac:dyDescent="0.25">
      <c r="E7" s="65" t="s">
        <v>202</v>
      </c>
    </row>
    <row r="8" spans="1:5" ht="21" x14ac:dyDescent="0.35">
      <c r="A8" s="92">
        <v>3</v>
      </c>
      <c r="B8" s="92"/>
      <c r="C8" s="92"/>
      <c r="D8" s="92" t="s">
        <v>60</v>
      </c>
      <c r="E8" s="171">
        <f>HLOOKUP($D$5,'8.1 Bourgeoisies Comptes 2021'!$E$3:$R$165,2,0)</f>
        <v>12237.75</v>
      </c>
    </row>
    <row r="9" spans="1:5" x14ac:dyDescent="0.25">
      <c r="A9" s="94"/>
      <c r="B9" s="94">
        <v>30</v>
      </c>
      <c r="C9" s="94"/>
      <c r="D9" s="94" t="s">
        <v>61</v>
      </c>
      <c r="E9" s="95">
        <f>HLOOKUP($D$5,'8.1 Bourgeoisies Comptes 2021'!$E$3:$R$165,3,0)</f>
        <v>2263.3000000000002</v>
      </c>
    </row>
    <row r="10" spans="1:5" x14ac:dyDescent="0.25">
      <c r="C10">
        <v>300</v>
      </c>
      <c r="D10" t="s">
        <v>80</v>
      </c>
      <c r="E10" s="89">
        <f>HLOOKUP($D$5,'8.1 Bourgeoisies Comptes 2021'!$E$3:$R$165,4,0)</f>
        <v>450</v>
      </c>
    </row>
    <row r="11" spans="1:5" x14ac:dyDescent="0.25">
      <c r="C11">
        <v>301</v>
      </c>
      <c r="D11" t="s">
        <v>81</v>
      </c>
      <c r="E11" s="89">
        <f>HLOOKUP($D$5,'8.1 Bourgeoisies Comptes 2021'!$E$3:$R$165,5,0)</f>
        <v>1490.7</v>
      </c>
    </row>
    <row r="12" spans="1:5" x14ac:dyDescent="0.25">
      <c r="C12">
        <v>302</v>
      </c>
      <c r="D12" t="s">
        <v>82</v>
      </c>
      <c r="E12" s="89">
        <f>HLOOKUP($D$5,'8.1 Bourgeoisies Comptes 2021'!$E$3:$R$165,6,0)</f>
        <v>0</v>
      </c>
    </row>
    <row r="13" spans="1:5" x14ac:dyDescent="0.25">
      <c r="C13">
        <v>303</v>
      </c>
      <c r="D13" t="s">
        <v>83</v>
      </c>
      <c r="E13" s="89">
        <f>HLOOKUP($D$5,'8.1 Bourgeoisies Comptes 2021'!$E$3:$R$165,7,0)</f>
        <v>0</v>
      </c>
    </row>
    <row r="14" spans="1:5" x14ac:dyDescent="0.25">
      <c r="C14">
        <v>304</v>
      </c>
      <c r="D14" t="s">
        <v>583</v>
      </c>
      <c r="E14" s="89">
        <f>HLOOKUP($D$5,'8.1 Bourgeoisies Comptes 2021'!$E$3:$R$165,8,0)</f>
        <v>0</v>
      </c>
    </row>
    <row r="15" spans="1:5" x14ac:dyDescent="0.25">
      <c r="C15">
        <v>305</v>
      </c>
      <c r="D15" t="s">
        <v>84</v>
      </c>
      <c r="E15" s="89">
        <f>HLOOKUP($D$5,'8.1 Bourgeoisies Comptes 2021'!$E$3:$R$165,9,0)</f>
        <v>322.60000000000002</v>
      </c>
    </row>
    <row r="16" spans="1:5" x14ac:dyDescent="0.25">
      <c r="C16">
        <v>306</v>
      </c>
      <c r="D16" t="s">
        <v>85</v>
      </c>
      <c r="E16" s="89">
        <f>HLOOKUP($D$5,'8.1 Bourgeoisies Comptes 2021'!$E$3:$R$165,10,0)</f>
        <v>0</v>
      </c>
    </row>
    <row r="17" spans="2:5" x14ac:dyDescent="0.25">
      <c r="C17">
        <v>309</v>
      </c>
      <c r="D17" t="s">
        <v>86</v>
      </c>
      <c r="E17" s="89">
        <f>HLOOKUP($D$5,'8.1 Bourgeoisies Comptes 2021'!$E$3:$R$165,11,0)</f>
        <v>0</v>
      </c>
    </row>
    <row r="18" spans="2:5" x14ac:dyDescent="0.25">
      <c r="E18" s="4"/>
    </row>
    <row r="19" spans="2:5" x14ac:dyDescent="0.25">
      <c r="B19" s="94">
        <v>31</v>
      </c>
      <c r="C19" s="94"/>
      <c r="D19" s="94" t="s">
        <v>87</v>
      </c>
      <c r="E19" s="95">
        <f>SUM(E20:E29)</f>
        <v>7152.1999999999989</v>
      </c>
    </row>
    <row r="20" spans="2:5" x14ac:dyDescent="0.25">
      <c r="C20">
        <v>310</v>
      </c>
      <c r="D20" t="s">
        <v>88</v>
      </c>
      <c r="E20" s="89">
        <f>HLOOKUP($D$5,'8.1 Bourgeoisies Comptes 2021'!$E$3:$R$165,14,0)</f>
        <v>53.95</v>
      </c>
    </row>
    <row r="21" spans="2:5" x14ac:dyDescent="0.25">
      <c r="C21">
        <v>311</v>
      </c>
      <c r="D21" t="s">
        <v>452</v>
      </c>
      <c r="E21" s="89">
        <f>HLOOKUP($D$5,'8.1 Bourgeoisies Comptes 2021'!$E$3:$R$165,15,0)</f>
        <v>0</v>
      </c>
    </row>
    <row r="22" spans="2:5" x14ac:dyDescent="0.25">
      <c r="C22">
        <v>312</v>
      </c>
      <c r="D22" t="s">
        <v>90</v>
      </c>
      <c r="E22" s="89">
        <f>HLOOKUP($D$5,'8.1 Bourgeoisies Comptes 2021'!$E$3:$R$165,16,0)</f>
        <v>1259.45</v>
      </c>
    </row>
    <row r="23" spans="2:5" x14ac:dyDescent="0.25">
      <c r="C23">
        <v>313</v>
      </c>
      <c r="D23" t="s">
        <v>91</v>
      </c>
      <c r="E23" s="89">
        <f>HLOOKUP($D$5,'8.1 Bourgeoisies Comptes 2021'!$E$3:$R$165,17,0)</f>
        <v>4932.6499999999996</v>
      </c>
    </row>
    <row r="24" spans="2:5" x14ac:dyDescent="0.25">
      <c r="C24">
        <v>314</v>
      </c>
      <c r="D24" t="s">
        <v>92</v>
      </c>
      <c r="E24" s="89">
        <f>HLOOKUP($D$5,'8.1 Bourgeoisies Comptes 2021'!$E$3:$R$165,18,0)</f>
        <v>0</v>
      </c>
    </row>
    <row r="25" spans="2:5" x14ac:dyDescent="0.25">
      <c r="C25">
        <v>315</v>
      </c>
      <c r="D25" t="s">
        <v>93</v>
      </c>
      <c r="E25" s="89">
        <f>HLOOKUP($D$5,'8.1 Bourgeoisies Comptes 2021'!$E$3:$R$165,19,0)</f>
        <v>270.2</v>
      </c>
    </row>
    <row r="26" spans="2:5" x14ac:dyDescent="0.25">
      <c r="C26">
        <v>316</v>
      </c>
      <c r="D26" t="s">
        <v>94</v>
      </c>
      <c r="E26" s="89">
        <f>HLOOKUP($D$5,'8.1 Bourgeoisies Comptes 2021'!$E$3:$R$165,20,0)</f>
        <v>0</v>
      </c>
    </row>
    <row r="27" spans="2:5" x14ac:dyDescent="0.25">
      <c r="C27">
        <v>317</v>
      </c>
      <c r="D27" t="s">
        <v>95</v>
      </c>
      <c r="E27" s="89">
        <f>HLOOKUP($D$5,'8.1 Bourgeoisies Comptes 2021'!$E$3:$R$165,21,0)</f>
        <v>635.95000000000005</v>
      </c>
    </row>
    <row r="28" spans="2:5" x14ac:dyDescent="0.25">
      <c r="C28">
        <v>318</v>
      </c>
      <c r="D28" t="s">
        <v>96</v>
      </c>
      <c r="E28" s="89">
        <f>HLOOKUP($D$5,'8.1 Bourgeoisies Comptes 2021'!$E$3:$R$165,22,0)</f>
        <v>0</v>
      </c>
    </row>
    <row r="29" spans="2:5" x14ac:dyDescent="0.25">
      <c r="C29">
        <v>319</v>
      </c>
      <c r="D29" t="s">
        <v>97</v>
      </c>
      <c r="E29" s="89">
        <f>HLOOKUP($D$5,'8.1 Bourgeoisies Comptes 2021'!$E$3:$R$165,23,0)</f>
        <v>0</v>
      </c>
    </row>
    <row r="30" spans="2:5" x14ac:dyDescent="0.25">
      <c r="E30" s="4"/>
    </row>
    <row r="31" spans="2:5" x14ac:dyDescent="0.25">
      <c r="B31" s="94">
        <v>33</v>
      </c>
      <c r="C31" s="94"/>
      <c r="D31" s="94" t="s">
        <v>98</v>
      </c>
      <c r="E31" s="95">
        <f>SUM(E32:E33)</f>
        <v>1332.5</v>
      </c>
    </row>
    <row r="32" spans="2:5" x14ac:dyDescent="0.25">
      <c r="C32">
        <v>330</v>
      </c>
      <c r="D32" t="s">
        <v>100</v>
      </c>
      <c r="E32" s="89">
        <f>HLOOKUP($D$5,'8.1 Bourgeoisies Comptes 2021'!$E$3:$R$165,26,0)</f>
        <v>1332.5</v>
      </c>
    </row>
    <row r="33" spans="2:5" x14ac:dyDescent="0.25">
      <c r="C33">
        <v>332</v>
      </c>
      <c r="D33" t="s">
        <v>99</v>
      </c>
      <c r="E33" s="89">
        <f>HLOOKUP($D$5,'8.1 Bourgeoisies Comptes 2021'!$E$3:$R$165,27,0)</f>
        <v>0</v>
      </c>
    </row>
    <row r="34" spans="2:5" x14ac:dyDescent="0.25">
      <c r="E34" s="4"/>
    </row>
    <row r="35" spans="2:5" x14ac:dyDescent="0.25">
      <c r="B35" s="94">
        <v>34</v>
      </c>
      <c r="C35" s="94"/>
      <c r="D35" s="94" t="s">
        <v>101</v>
      </c>
      <c r="E35" s="95">
        <f>SUM(E36:E41)</f>
        <v>0</v>
      </c>
    </row>
    <row r="36" spans="2:5" x14ac:dyDescent="0.25">
      <c r="C36">
        <v>340</v>
      </c>
      <c r="D36" t="s">
        <v>102</v>
      </c>
      <c r="E36" s="89">
        <f>HLOOKUP($D$5,'8.1 Bourgeoisies Comptes 2021'!$E$3:$R$165,30,0)</f>
        <v>0</v>
      </c>
    </row>
    <row r="37" spans="2:5" x14ac:dyDescent="0.25">
      <c r="C37">
        <v>341</v>
      </c>
      <c r="D37" t="s">
        <v>103</v>
      </c>
      <c r="E37" s="89">
        <f>HLOOKUP($D$5,'8.1 Bourgeoisies Comptes 2021'!$E$3:$R$165,31,0)</f>
        <v>0</v>
      </c>
    </row>
    <row r="38" spans="2:5" x14ac:dyDescent="0.25">
      <c r="C38">
        <v>342</v>
      </c>
      <c r="D38" t="s">
        <v>104</v>
      </c>
      <c r="E38" s="89">
        <f>HLOOKUP($D$5,'8.1 Bourgeoisies Comptes 2021'!$E$3:$R$165,32,0)</f>
        <v>0</v>
      </c>
    </row>
    <row r="39" spans="2:5" x14ac:dyDescent="0.25">
      <c r="C39">
        <v>343</v>
      </c>
      <c r="D39" t="s">
        <v>105</v>
      </c>
      <c r="E39" s="89">
        <f>HLOOKUP($D$5,'8.1 Bourgeoisies Comptes 2021'!$E$3:$R$165,33,0)</f>
        <v>0</v>
      </c>
    </row>
    <row r="40" spans="2:5" x14ac:dyDescent="0.25">
      <c r="C40">
        <v>344</v>
      </c>
      <c r="D40" t="s">
        <v>106</v>
      </c>
      <c r="E40" s="89">
        <f>HLOOKUP($D$5,'8.1 Bourgeoisies Comptes 2021'!$E$3:$R$165,34,0)</f>
        <v>0</v>
      </c>
    </row>
    <row r="41" spans="2:5" x14ac:dyDescent="0.25">
      <c r="C41">
        <v>349</v>
      </c>
      <c r="D41" t="s">
        <v>107</v>
      </c>
      <c r="E41" s="89">
        <f>HLOOKUP($D$5,'8.1 Bourgeoisies Comptes 2021'!$E$3:$R$165,35,0)</f>
        <v>0</v>
      </c>
    </row>
    <row r="42" spans="2:5" x14ac:dyDescent="0.25">
      <c r="E42" s="4"/>
    </row>
    <row r="43" spans="2:5" x14ac:dyDescent="0.25">
      <c r="B43" s="94">
        <v>35</v>
      </c>
      <c r="C43" s="94"/>
      <c r="D43" s="94" t="s">
        <v>109</v>
      </c>
      <c r="E43" s="95">
        <f>SUM(E44:E45)</f>
        <v>0</v>
      </c>
    </row>
    <row r="44" spans="2:5" x14ac:dyDescent="0.25">
      <c r="C44">
        <v>350</v>
      </c>
      <c r="D44" t="s">
        <v>109</v>
      </c>
      <c r="E44" s="89">
        <f>HLOOKUP($D$5,'8.1 Bourgeoisies Comptes 2021'!$E$3:$R$165,38,0)</f>
        <v>0</v>
      </c>
    </row>
    <row r="45" spans="2:5" x14ac:dyDescent="0.25">
      <c r="C45">
        <v>351</v>
      </c>
      <c r="D45" t="s">
        <v>108</v>
      </c>
      <c r="E45" s="89">
        <f>HLOOKUP($D$5,'8.1 Bourgeoisies Comptes 2021'!$E$3:$R$165,39,0)</f>
        <v>0</v>
      </c>
    </row>
    <row r="46" spans="2:5" x14ac:dyDescent="0.25">
      <c r="E46" s="4"/>
    </row>
    <row r="47" spans="2:5" x14ac:dyDescent="0.25">
      <c r="B47" s="94">
        <v>36</v>
      </c>
      <c r="C47" s="94"/>
      <c r="D47" s="94" t="s">
        <v>110</v>
      </c>
      <c r="E47" s="95">
        <f>SUM(E48:E55)</f>
        <v>1489.75</v>
      </c>
    </row>
    <row r="48" spans="2:5" x14ac:dyDescent="0.25">
      <c r="C48">
        <v>360</v>
      </c>
      <c r="D48" t="s">
        <v>111</v>
      </c>
      <c r="E48" s="89">
        <f>HLOOKUP($D$5,'8.1 Bourgeoisies Comptes 2021'!$E$3:$R$165,42,0)</f>
        <v>0</v>
      </c>
    </row>
    <row r="49" spans="2:5" x14ac:dyDescent="0.25">
      <c r="C49">
        <v>361</v>
      </c>
      <c r="D49" t="s">
        <v>112</v>
      </c>
      <c r="E49" s="89">
        <f>HLOOKUP($D$5,'8.1 Bourgeoisies Comptes 2021'!$E$3:$R$165,43,0)</f>
        <v>0</v>
      </c>
    </row>
    <row r="50" spans="2:5" x14ac:dyDescent="0.25">
      <c r="C50">
        <v>362</v>
      </c>
      <c r="D50" t="s">
        <v>113</v>
      </c>
      <c r="E50" s="89">
        <f>HLOOKUP($D$5,'8.1 Bourgeoisies Comptes 2021'!$E$3:$R$165,44,0)</f>
        <v>0</v>
      </c>
    </row>
    <row r="51" spans="2:5" x14ac:dyDescent="0.25">
      <c r="C51">
        <v>363</v>
      </c>
      <c r="D51" t="s">
        <v>114</v>
      </c>
      <c r="E51" s="89">
        <f>HLOOKUP($D$5,'8.1 Bourgeoisies Comptes 2021'!$E$3:$R$165,45,0)</f>
        <v>1489.75</v>
      </c>
    </row>
    <row r="52" spans="2:5" x14ac:dyDescent="0.25">
      <c r="C52">
        <v>364</v>
      </c>
      <c r="D52" t="s">
        <v>115</v>
      </c>
      <c r="E52" s="89">
        <f>HLOOKUP($D$5,'8.1 Bourgeoisies Comptes 2021'!$E$3:$R$165,46,0)</f>
        <v>0</v>
      </c>
    </row>
    <row r="53" spans="2:5" x14ac:dyDescent="0.25">
      <c r="C53">
        <v>365</v>
      </c>
      <c r="D53" t="s">
        <v>116</v>
      </c>
      <c r="E53" s="89">
        <f>HLOOKUP($D$5,'8.1 Bourgeoisies Comptes 2021'!$E$3:$R$165,47,0)</f>
        <v>0</v>
      </c>
    </row>
    <row r="54" spans="2:5" x14ac:dyDescent="0.25">
      <c r="C54">
        <v>366</v>
      </c>
      <c r="D54" t="s">
        <v>117</v>
      </c>
      <c r="E54" s="89">
        <f>HLOOKUP($D$5,'8.1 Bourgeoisies Comptes 2021'!$E$3:$R$165,48,0)</f>
        <v>0</v>
      </c>
    </row>
    <row r="55" spans="2:5" x14ac:dyDescent="0.25">
      <c r="C55">
        <v>369</v>
      </c>
      <c r="D55" t="s">
        <v>118</v>
      </c>
      <c r="E55" s="89">
        <f>HLOOKUP($D$5,'8.1 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HLOOKUP($D$5,'8.1 Bourgeoisies Comptes 2021'!$E$3:$R$165,52,0)</f>
        <v>0</v>
      </c>
    </row>
    <row r="59" spans="2:5" x14ac:dyDescent="0.25">
      <c r="E59" s="4"/>
    </row>
    <row r="60" spans="2:5" x14ac:dyDescent="0.25">
      <c r="B60" s="94">
        <v>38</v>
      </c>
      <c r="C60" s="94"/>
      <c r="D60" s="94" t="s">
        <v>121</v>
      </c>
      <c r="E60" s="95">
        <f>SUM(E61:E66)</f>
        <v>0</v>
      </c>
    </row>
    <row r="61" spans="2:5" x14ac:dyDescent="0.25">
      <c r="C61">
        <v>380</v>
      </c>
      <c r="D61" t="s">
        <v>122</v>
      </c>
      <c r="E61" s="89">
        <f>HLOOKUP($D$5,'8.1 Bourgeoisies Comptes 2021'!$E$3:$R$165,55,0)</f>
        <v>0</v>
      </c>
    </row>
    <row r="62" spans="2:5" x14ac:dyDescent="0.25">
      <c r="C62">
        <v>381</v>
      </c>
      <c r="D62" t="s">
        <v>123</v>
      </c>
      <c r="E62" s="89">
        <f>HLOOKUP($D$5,'8.1 Bourgeoisies Comptes 2021'!$E$3:$R$165,56,0)</f>
        <v>0</v>
      </c>
    </row>
    <row r="63" spans="2:5" x14ac:dyDescent="0.25">
      <c r="C63">
        <v>384</v>
      </c>
      <c r="D63" t="s">
        <v>124</v>
      </c>
      <c r="E63" s="89">
        <f>HLOOKUP($D$5,'8.1 Bourgeoisies Comptes 2021'!$E$3:$R$165,57,0)</f>
        <v>0</v>
      </c>
    </row>
    <row r="64" spans="2:5" x14ac:dyDescent="0.25">
      <c r="C64">
        <v>385</v>
      </c>
      <c r="D64" t="s">
        <v>125</v>
      </c>
      <c r="E64" s="89">
        <f>HLOOKUP($D$5,'8.1 Bourgeoisies Comptes 2021'!$E$3:$R$165,58,0)</f>
        <v>0</v>
      </c>
    </row>
    <row r="65" spans="1:5" x14ac:dyDescent="0.25">
      <c r="C65">
        <v>386</v>
      </c>
      <c r="D65" t="s">
        <v>126</v>
      </c>
      <c r="E65" s="89">
        <f>HLOOKUP($D$5,'8.1 Bourgeoisies Comptes 2021'!$E$3:$R$165,59,0)</f>
        <v>0</v>
      </c>
    </row>
    <row r="66" spans="1:5" x14ac:dyDescent="0.25">
      <c r="C66">
        <v>389</v>
      </c>
      <c r="D66" t="s">
        <v>290</v>
      </c>
      <c r="E66" s="89">
        <f>HLOOKUP($D$5,'8.1 Bourgeoisies Comptes 2021'!$E$3:$R$165,60,0)</f>
        <v>0</v>
      </c>
    </row>
    <row r="67" spans="1:5" x14ac:dyDescent="0.25">
      <c r="E67" s="4"/>
    </row>
    <row r="68" spans="1:5" x14ac:dyDescent="0.25">
      <c r="B68" s="94">
        <v>39</v>
      </c>
      <c r="C68" s="94"/>
      <c r="D68" s="94" t="s">
        <v>128</v>
      </c>
      <c r="E68" s="95">
        <f>SUM(E69:E76)</f>
        <v>0</v>
      </c>
    </row>
    <row r="69" spans="1:5" x14ac:dyDescent="0.25">
      <c r="C69">
        <v>390</v>
      </c>
      <c r="D69" t="s">
        <v>129</v>
      </c>
      <c r="E69" s="89">
        <f>HLOOKUP($D$5,'8.1 Bourgeoisies Comptes 2021'!$E$3:$R$165,63,0)</f>
        <v>0</v>
      </c>
    </row>
    <row r="70" spans="1:5" x14ac:dyDescent="0.25">
      <c r="C70">
        <v>391</v>
      </c>
      <c r="D70" t="s">
        <v>130</v>
      </c>
      <c r="E70" s="89">
        <f>HLOOKUP($D$5,'8.1 Bourgeoisies Comptes 2021'!$E$3:$R$165,64,0)</f>
        <v>0</v>
      </c>
    </row>
    <row r="71" spans="1:5" x14ac:dyDescent="0.25">
      <c r="C71">
        <v>392</v>
      </c>
      <c r="D71" t="s">
        <v>131</v>
      </c>
      <c r="E71" s="89">
        <f>HLOOKUP($D$5,'8.1 Bourgeoisies Comptes 2021'!$E$3:$R$165,65,0)</f>
        <v>0</v>
      </c>
    </row>
    <row r="72" spans="1:5" x14ac:dyDescent="0.25">
      <c r="C72">
        <v>393</v>
      </c>
      <c r="D72" t="s">
        <v>132</v>
      </c>
      <c r="E72" s="89">
        <f>HLOOKUP($D$5,'8.1 Bourgeoisies Comptes 2021'!$E$3:$R$165,66,0)</f>
        <v>0</v>
      </c>
    </row>
    <row r="73" spans="1:5" x14ac:dyDescent="0.25">
      <c r="C73">
        <v>394</v>
      </c>
      <c r="D73" t="s">
        <v>133</v>
      </c>
      <c r="E73" s="89">
        <f>HLOOKUP($D$5,'8.1 Bourgeoisies Comptes 2021'!$E$3:$R$165,67,0)</f>
        <v>0</v>
      </c>
    </row>
    <row r="74" spans="1:5" x14ac:dyDescent="0.25">
      <c r="C74">
        <v>395</v>
      </c>
      <c r="D74" t="s">
        <v>134</v>
      </c>
      <c r="E74" s="89">
        <f>HLOOKUP($D$5,'8.1 Bourgeoisies Comptes 2021'!$E$3:$R$165,68,0)</f>
        <v>0</v>
      </c>
    </row>
    <row r="75" spans="1:5" x14ac:dyDescent="0.25">
      <c r="C75">
        <v>398</v>
      </c>
      <c r="D75" t="s">
        <v>135</v>
      </c>
      <c r="E75" s="89">
        <f>HLOOKUP($D$5,'8.1 Bourgeoisies Comptes 2021'!$E$3:$R$165,69,0)</f>
        <v>0</v>
      </c>
    </row>
    <row r="76" spans="1:5" x14ac:dyDescent="0.25">
      <c r="C76">
        <v>399</v>
      </c>
      <c r="D76" t="s">
        <v>136</v>
      </c>
      <c r="E76" s="89">
        <f>HLOOKUP($D$5,'8.1 Bourgeoisies Comptes 2021'!$E$3:$R$165,70,0)</f>
        <v>0</v>
      </c>
    </row>
    <row r="77" spans="1:5" x14ac:dyDescent="0.25">
      <c r="E77" s="4"/>
    </row>
    <row r="78" spans="1:5" x14ac:dyDescent="0.25">
      <c r="E78" s="4"/>
    </row>
    <row r="79" spans="1:5" ht="21" x14ac:dyDescent="0.35">
      <c r="A79" s="98">
        <v>4</v>
      </c>
      <c r="B79" s="98"/>
      <c r="C79" s="98"/>
      <c r="D79" s="98" t="s">
        <v>137</v>
      </c>
      <c r="E79" s="172">
        <f>HLOOKUP($D$5,'8.1 Bourgeoisies Comptes 2021'!$E$3:$R$165,73,0)</f>
        <v>5745.8399999999992</v>
      </c>
    </row>
    <row r="80" spans="1:5" x14ac:dyDescent="0.25">
      <c r="A80" s="7"/>
      <c r="B80" s="96">
        <v>40</v>
      </c>
      <c r="C80" s="96"/>
      <c r="D80" s="96" t="s">
        <v>79</v>
      </c>
      <c r="E80" s="91">
        <f>SUM(E81:E84)</f>
        <v>0</v>
      </c>
    </row>
    <row r="81" spans="2:5" x14ac:dyDescent="0.25">
      <c r="C81">
        <v>400</v>
      </c>
      <c r="D81" t="s">
        <v>138</v>
      </c>
      <c r="E81" s="89">
        <f>HLOOKUP($D$5,'8.1 Bourgeoisies Comptes 2021'!$E$3:$R$165,75,0)</f>
        <v>0</v>
      </c>
    </row>
    <row r="82" spans="2:5" x14ac:dyDescent="0.25">
      <c r="C82">
        <v>401</v>
      </c>
      <c r="D82" t="s">
        <v>139</v>
      </c>
      <c r="E82" s="89">
        <f>HLOOKUP($D$5,'8.1 Bourgeoisies Comptes 2021'!$E$3:$R$165,76,0)</f>
        <v>0</v>
      </c>
    </row>
    <row r="83" spans="2:5" x14ac:dyDescent="0.25">
      <c r="C83">
        <v>402</v>
      </c>
      <c r="D83" t="s">
        <v>140</v>
      </c>
      <c r="E83" s="89">
        <f>HLOOKUP($D$5,'8.1 Bourgeoisies Comptes 2021'!$E$3:$R$165,77,0)</f>
        <v>0</v>
      </c>
    </row>
    <row r="84" spans="2:5" x14ac:dyDescent="0.25">
      <c r="C84">
        <v>403</v>
      </c>
      <c r="D84" t="s">
        <v>141</v>
      </c>
      <c r="E84" s="89">
        <f>HLOOKUP($D$5,'8.1 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HLOOKUP($D$5,'8.1 Bourgeoisies Comptes 2021'!$E$3:$R$165,81,0)</f>
        <v>0</v>
      </c>
    </row>
    <row r="88" spans="2:5" x14ac:dyDescent="0.25">
      <c r="C88">
        <v>411</v>
      </c>
      <c r="D88" t="s">
        <v>144</v>
      </c>
      <c r="E88" s="89">
        <f>HLOOKUP($D$5,'8.1 Bourgeoisies Comptes 2021'!$E$3:$R$165,82,0)</f>
        <v>0</v>
      </c>
    </row>
    <row r="89" spans="2:5" x14ac:dyDescent="0.25">
      <c r="C89">
        <v>412</v>
      </c>
      <c r="D89" t="s">
        <v>145</v>
      </c>
      <c r="E89" s="89">
        <f>HLOOKUP($D$5,'8.1 Bourgeoisies Comptes 2021'!$E$3:$R$165,83,0)</f>
        <v>0</v>
      </c>
    </row>
    <row r="90" spans="2:5" x14ac:dyDescent="0.25">
      <c r="C90">
        <v>413</v>
      </c>
      <c r="D90" t="s">
        <v>146</v>
      </c>
      <c r="E90" s="89">
        <f>HLOOKUP($D$5,'8.1 Bourgeoisies Comptes 2021'!$E$3:$R$165,84,0)</f>
        <v>0</v>
      </c>
    </row>
    <row r="91" spans="2:5" x14ac:dyDescent="0.25">
      <c r="E91" s="4"/>
    </row>
    <row r="92" spans="2:5" x14ac:dyDescent="0.25">
      <c r="B92" s="96">
        <v>42</v>
      </c>
      <c r="C92" s="96"/>
      <c r="D92" s="96" t="s">
        <v>147</v>
      </c>
      <c r="E92" s="91">
        <f>SUM(E93:E101)</f>
        <v>1495</v>
      </c>
    </row>
    <row r="93" spans="2:5" x14ac:dyDescent="0.25">
      <c r="C93">
        <v>420</v>
      </c>
      <c r="D93" t="s">
        <v>148</v>
      </c>
      <c r="E93" s="89">
        <f>HLOOKUP($D$5,'8.1 Bourgeoisies Comptes 2021'!$E$3:$R$165,87,0)</f>
        <v>0</v>
      </c>
    </row>
    <row r="94" spans="2:5" x14ac:dyDescent="0.25">
      <c r="C94">
        <v>421</v>
      </c>
      <c r="D94" t="s">
        <v>149</v>
      </c>
      <c r="E94" s="89">
        <f>HLOOKUP($D$5,'8.1 Bourgeoisies Comptes 2021'!$E$3:$R$165,88,0)</f>
        <v>0</v>
      </c>
    </row>
    <row r="95" spans="2:5" x14ac:dyDescent="0.25">
      <c r="C95">
        <v>422</v>
      </c>
      <c r="D95" t="s">
        <v>150</v>
      </c>
      <c r="E95" s="89">
        <f>HLOOKUP($D$5,'8.1 Bourgeoisies Comptes 2021'!$E$3:$R$165,89,0)</f>
        <v>0</v>
      </c>
    </row>
    <row r="96" spans="2:5" x14ac:dyDescent="0.25">
      <c r="C96">
        <v>423</v>
      </c>
      <c r="D96" t="s">
        <v>151</v>
      </c>
      <c r="E96" s="89">
        <f>HLOOKUP($D$5,'8.1 Bourgeoisies Comptes 2021'!$E$3:$R$165,90,0)</f>
        <v>0</v>
      </c>
    </row>
    <row r="97" spans="2:5" x14ac:dyDescent="0.25">
      <c r="C97">
        <v>424</v>
      </c>
      <c r="D97" t="s">
        <v>152</v>
      </c>
      <c r="E97" s="89">
        <f>HLOOKUP($D$5,'8.1 Bourgeoisies Comptes 2021'!$E$3:$R$165,91,0)</f>
        <v>0</v>
      </c>
    </row>
    <row r="98" spans="2:5" x14ac:dyDescent="0.25">
      <c r="C98">
        <v>425</v>
      </c>
      <c r="D98" t="s">
        <v>153</v>
      </c>
      <c r="E98" s="89">
        <f>HLOOKUP($D$5,'8.1 Bourgeoisies Comptes 2021'!$E$3:$R$165,92,0)</f>
        <v>1495</v>
      </c>
    </row>
    <row r="99" spans="2:5" x14ac:dyDescent="0.25">
      <c r="C99">
        <v>426</v>
      </c>
      <c r="D99" t="s">
        <v>154</v>
      </c>
      <c r="E99" s="89">
        <f>HLOOKUP($D$5,'8.1 Bourgeoisies Comptes 2021'!$E$3:$R$165,93,0)</f>
        <v>0</v>
      </c>
    </row>
    <row r="100" spans="2:5" x14ac:dyDescent="0.25">
      <c r="C100">
        <v>427</v>
      </c>
      <c r="D100" t="s">
        <v>155</v>
      </c>
      <c r="E100" s="89">
        <f>HLOOKUP($D$5,'8.1 Bourgeoisies Comptes 2021'!$E$3:$R$165,94,0)</f>
        <v>0</v>
      </c>
    </row>
    <row r="101" spans="2:5" x14ac:dyDescent="0.25">
      <c r="C101">
        <v>429</v>
      </c>
      <c r="D101" t="s">
        <v>156</v>
      </c>
      <c r="E101" s="89">
        <f>HLOOKUP($D$5,'8.1 Bourgeoisies Comptes 2021'!$E$3:$R$165,95,0)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HLOOKUP($D$5,'8.1 Bourgeoisies Comptes 2021'!$E$3:$R$165,98,0)</f>
        <v>0</v>
      </c>
    </row>
    <row r="105" spans="2:5" x14ac:dyDescent="0.25">
      <c r="C105">
        <v>431</v>
      </c>
      <c r="D105" t="s">
        <v>159</v>
      </c>
      <c r="E105" s="89">
        <f>HLOOKUP($D$5,'8.1 Bourgeoisies Comptes 2021'!$E$3:$R$165,99,0)</f>
        <v>0</v>
      </c>
    </row>
    <row r="106" spans="2:5" x14ac:dyDescent="0.25">
      <c r="C106">
        <v>432</v>
      </c>
      <c r="D106" t="s">
        <v>160</v>
      </c>
      <c r="E106" s="89">
        <f>HLOOKUP($D$5,'8.1 Bourgeoisies Comptes 2021'!$E$3:$R$165,100,0)</f>
        <v>0</v>
      </c>
    </row>
    <row r="107" spans="2:5" x14ac:dyDescent="0.25">
      <c r="C107">
        <v>439</v>
      </c>
      <c r="D107" t="s">
        <v>161</v>
      </c>
      <c r="E107" s="89">
        <f>HLOOKUP($D$5,'8.1 Bourgeoisies Comptes 2021'!$E$3:$R$165,101,0)</f>
        <v>0</v>
      </c>
    </row>
    <row r="108" spans="2:5" x14ac:dyDescent="0.25">
      <c r="E108" s="4"/>
    </row>
    <row r="109" spans="2:5" x14ac:dyDescent="0.25">
      <c r="B109" s="96">
        <v>44</v>
      </c>
      <c r="C109" s="96"/>
      <c r="D109" s="96" t="s">
        <v>162</v>
      </c>
      <c r="E109" s="91">
        <f>SUM(E110:E119)</f>
        <v>3625.72</v>
      </c>
    </row>
    <row r="110" spans="2:5" x14ac:dyDescent="0.25">
      <c r="C110">
        <v>440</v>
      </c>
      <c r="D110" t="s">
        <v>163</v>
      </c>
      <c r="E110" s="89">
        <f>HLOOKUP($D$5,'8.1 Bourgeoisies Comptes 2021'!$E$3:$R$165,104,0)</f>
        <v>79.89</v>
      </c>
    </row>
    <row r="111" spans="2:5" x14ac:dyDescent="0.25">
      <c r="C111">
        <v>441</v>
      </c>
      <c r="D111" t="s">
        <v>164</v>
      </c>
      <c r="E111" s="89">
        <f>HLOOKUP($D$5,'8.1 Bourgeoisies Comptes 2021'!$E$3:$R$165,105,0)</f>
        <v>0</v>
      </c>
    </row>
    <row r="112" spans="2:5" x14ac:dyDescent="0.25">
      <c r="C112">
        <v>442</v>
      </c>
      <c r="D112" t="s">
        <v>165</v>
      </c>
      <c r="E112" s="89">
        <f>HLOOKUP($D$5,'8.1 Bourgeoisies Comptes 2021'!$E$3:$R$165,106,0)</f>
        <v>0</v>
      </c>
    </row>
    <row r="113" spans="2:5" x14ac:dyDescent="0.25">
      <c r="C113">
        <v>443</v>
      </c>
      <c r="D113" t="s">
        <v>166</v>
      </c>
      <c r="E113" s="89">
        <f>HLOOKUP($D$5,'8.1 Bourgeoisies Comptes 2021'!$E$3:$R$165,107,0)</f>
        <v>0</v>
      </c>
    </row>
    <row r="114" spans="2:5" x14ac:dyDescent="0.25">
      <c r="C114">
        <v>444</v>
      </c>
      <c r="D114" t="s">
        <v>106</v>
      </c>
      <c r="E114" s="89">
        <f>HLOOKUP($D$5,'8.1 Bourgeoisies Comptes 2021'!$E$3:$R$165,108,0)</f>
        <v>0</v>
      </c>
    </row>
    <row r="115" spans="2:5" x14ac:dyDescent="0.25">
      <c r="C115">
        <v>445</v>
      </c>
      <c r="D115" t="s">
        <v>167</v>
      </c>
      <c r="E115" s="89">
        <f>HLOOKUP($D$5,'8.1 Bourgeoisies Comptes 2021'!$E$3:$R$165,109,0)</f>
        <v>0</v>
      </c>
    </row>
    <row r="116" spans="2:5" x14ac:dyDescent="0.25">
      <c r="C116">
        <v>446</v>
      </c>
      <c r="D116" t="s">
        <v>168</v>
      </c>
      <c r="E116" s="89">
        <f>HLOOKUP($D$5,'8.1 Bourgeoisies Comptes 2021'!$E$3:$R$165,110,0)</f>
        <v>0</v>
      </c>
    </row>
    <row r="117" spans="2:5" x14ac:dyDescent="0.25">
      <c r="C117">
        <v>447</v>
      </c>
      <c r="D117" t="s">
        <v>169</v>
      </c>
      <c r="E117" s="89">
        <f>HLOOKUP($D$5,'8.1 Bourgeoisies Comptes 2021'!$E$3:$R$165,111,0)</f>
        <v>3569</v>
      </c>
    </row>
    <row r="118" spans="2:5" x14ac:dyDescent="0.25">
      <c r="C118">
        <v>448</v>
      </c>
      <c r="D118" t="s">
        <v>170</v>
      </c>
      <c r="E118" s="89">
        <f>HLOOKUP($D$5,'8.1 Bourgeoisies Comptes 2021'!$E$3:$R$165,112,0)</f>
        <v>0</v>
      </c>
    </row>
    <row r="119" spans="2:5" x14ac:dyDescent="0.25">
      <c r="C119">
        <v>449</v>
      </c>
      <c r="D119" t="s">
        <v>171</v>
      </c>
      <c r="E119" s="89">
        <f>HLOOKUP($D$5,'8.1 Bourgeoisies Comptes 2021'!$E$3:$R$165,113,0)</f>
        <v>-23.17</v>
      </c>
    </row>
    <row r="120" spans="2:5" x14ac:dyDescent="0.25">
      <c r="E120" s="4"/>
    </row>
    <row r="121" spans="2:5" x14ac:dyDescent="0.25">
      <c r="B121" s="96">
        <v>45</v>
      </c>
      <c r="C121" s="96"/>
      <c r="D121" s="96" t="s">
        <v>174</v>
      </c>
      <c r="E121" s="91">
        <f>SUM(E122:E123)</f>
        <v>23.17</v>
      </c>
    </row>
    <row r="122" spans="2:5" x14ac:dyDescent="0.25">
      <c r="C122">
        <v>450</v>
      </c>
      <c r="D122" t="s">
        <v>172</v>
      </c>
      <c r="E122" s="89">
        <f>HLOOKUP($D$5,'8.1 Bourgeoisies Comptes 2021'!$E$3:$R$165,116,0)</f>
        <v>23.17</v>
      </c>
    </row>
    <row r="123" spans="2:5" x14ac:dyDescent="0.25">
      <c r="C123">
        <v>451</v>
      </c>
      <c r="D123" t="s">
        <v>173</v>
      </c>
      <c r="E123" s="89">
        <f>HLOOKUP($D$5,'8.1 Bourgeoisies Comptes 2021'!$E$3:$R$165,117,0)</f>
        <v>0</v>
      </c>
    </row>
    <row r="124" spans="2:5" x14ac:dyDescent="0.25">
      <c r="E124" s="4"/>
    </row>
    <row r="125" spans="2:5" x14ac:dyDescent="0.25">
      <c r="B125" s="96">
        <v>46</v>
      </c>
      <c r="C125" s="96"/>
      <c r="D125" s="96" t="s">
        <v>175</v>
      </c>
      <c r="E125" s="91">
        <f>SUM(E126:E130)</f>
        <v>601.95000000000005</v>
      </c>
    </row>
    <row r="126" spans="2:5" x14ac:dyDescent="0.25">
      <c r="C126">
        <v>460</v>
      </c>
      <c r="D126" t="s">
        <v>176</v>
      </c>
      <c r="E126" s="89">
        <f>HLOOKUP($D$5,'8.1 Bourgeoisies Comptes 2021'!$E$3:$R$165,120,0)</f>
        <v>0</v>
      </c>
    </row>
    <row r="127" spans="2:5" x14ac:dyDescent="0.25">
      <c r="C127">
        <v>461</v>
      </c>
      <c r="D127" t="s">
        <v>177</v>
      </c>
      <c r="E127" s="89">
        <f>HLOOKUP($D$5,'8.1 Bourgeoisies Comptes 2021'!$E$3:$R$165,121,0)</f>
        <v>0</v>
      </c>
    </row>
    <row r="128" spans="2:5" x14ac:dyDescent="0.25">
      <c r="C128">
        <v>462</v>
      </c>
      <c r="D128" t="s">
        <v>113</v>
      </c>
      <c r="E128" s="89">
        <f>HLOOKUP($D$5,'8.1 Bourgeoisies Comptes 2021'!$E$3:$R$165,122,0)</f>
        <v>0</v>
      </c>
    </row>
    <row r="129" spans="2:5" x14ac:dyDescent="0.25">
      <c r="C129">
        <v>463</v>
      </c>
      <c r="D129" t="s">
        <v>178</v>
      </c>
      <c r="E129" s="89">
        <f>HLOOKUP($D$5,'8.1 Bourgeoisies Comptes 2021'!$E$3:$R$165,123,0)</f>
        <v>500</v>
      </c>
    </row>
    <row r="130" spans="2:5" x14ac:dyDescent="0.25">
      <c r="C130">
        <v>469</v>
      </c>
      <c r="D130" t="s">
        <v>179</v>
      </c>
      <c r="E130" s="89">
        <f>HLOOKUP($D$5,'8.1 Bourgeoisies Comptes 2021'!$E$3:$R$165,124,0)</f>
        <v>101.95</v>
      </c>
    </row>
    <row r="131" spans="2:5" x14ac:dyDescent="0.25">
      <c r="E131" s="4"/>
    </row>
    <row r="132" spans="2:5" x14ac:dyDescent="0.25">
      <c r="B132" s="96">
        <v>47</v>
      </c>
      <c r="C132" s="96"/>
      <c r="D132" s="96" t="s">
        <v>119</v>
      </c>
      <c r="E132" s="91">
        <f>SUM(E133)</f>
        <v>0</v>
      </c>
    </row>
    <row r="133" spans="2:5" x14ac:dyDescent="0.25">
      <c r="C133">
        <v>470</v>
      </c>
      <c r="D133" t="s">
        <v>180</v>
      </c>
      <c r="E133" s="89">
        <f>HLOOKUP($D$5,'8.1 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HLOOKUP($D$5,'8.1 Bourgeoisies Comptes 2021'!$E$3:$R$165,130,0)</f>
        <v>0</v>
      </c>
    </row>
    <row r="137" spans="2:5" x14ac:dyDescent="0.25">
      <c r="C137">
        <v>482</v>
      </c>
      <c r="D137" t="s">
        <v>183</v>
      </c>
      <c r="E137" s="89">
        <f>HLOOKUP($D$5,'8.1 Bourgeoisies Comptes 2021'!$E$3:$R$165,131,0)</f>
        <v>0</v>
      </c>
    </row>
    <row r="138" spans="2:5" x14ac:dyDescent="0.25">
      <c r="C138">
        <v>483</v>
      </c>
      <c r="D138" t="s">
        <v>184</v>
      </c>
      <c r="E138" s="89">
        <f>HLOOKUP($D$5,'8.1 Bourgeoisies Comptes 2021'!$E$3:$R$165,132,0)</f>
        <v>0</v>
      </c>
    </row>
    <row r="139" spans="2:5" x14ac:dyDescent="0.25">
      <c r="C139">
        <v>484</v>
      </c>
      <c r="D139" t="s">
        <v>185</v>
      </c>
      <c r="E139" s="89">
        <f>HLOOKUP($D$5,'8.1 Bourgeoisies Comptes 2021'!$E$3:$R$165,133,0)</f>
        <v>0</v>
      </c>
    </row>
    <row r="140" spans="2:5" x14ac:dyDescent="0.25">
      <c r="C140">
        <v>485</v>
      </c>
      <c r="D140" t="s">
        <v>186</v>
      </c>
      <c r="E140" s="89">
        <f>HLOOKUP($D$5,'8.1 Bourgeoisies Comptes 2021'!$E$3:$R$165,134,0)</f>
        <v>0</v>
      </c>
    </row>
    <row r="141" spans="2:5" x14ac:dyDescent="0.25">
      <c r="C141">
        <v>486</v>
      </c>
      <c r="D141" t="s">
        <v>187</v>
      </c>
      <c r="E141" s="89">
        <f>HLOOKUP($D$5,'8.1 Bourgeoisies Comptes 2021'!$E$3:$R$165,135,0)</f>
        <v>0</v>
      </c>
    </row>
    <row r="142" spans="2:5" x14ac:dyDescent="0.25">
      <c r="C142">
        <v>489</v>
      </c>
      <c r="D142" t="s">
        <v>188</v>
      </c>
      <c r="E142" s="89">
        <f>HLOOKUP($D$5,'8.1 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HLOOKUP($D$5,'8.1 Bourgeoisies Comptes 2021'!$E$3:$R$165,139,0)</f>
        <v>0</v>
      </c>
    </row>
    <row r="146" spans="1:5" x14ac:dyDescent="0.25">
      <c r="C146">
        <v>491</v>
      </c>
      <c r="D146" t="s">
        <v>130</v>
      </c>
      <c r="E146" s="89">
        <f>HLOOKUP($D$5,'8.1 Bourgeoisies Comptes 2021'!$E$3:$R$165,140,0)</f>
        <v>0</v>
      </c>
    </row>
    <row r="147" spans="1:5" x14ac:dyDescent="0.25">
      <c r="C147">
        <v>492</v>
      </c>
      <c r="D147" t="s">
        <v>189</v>
      </c>
      <c r="E147" s="89">
        <f>HLOOKUP($D$5,'8.1 Bourgeoisies Comptes 2021'!$E$3:$R$165,141,0)</f>
        <v>0</v>
      </c>
    </row>
    <row r="148" spans="1:5" x14ac:dyDescent="0.25">
      <c r="C148">
        <v>493</v>
      </c>
      <c r="D148" t="s">
        <v>190</v>
      </c>
      <c r="E148" s="89">
        <f>HLOOKUP($D$5,'8.1 Bourgeoisies Comptes 2021'!$E$3:$R$165,142,0)</f>
        <v>0</v>
      </c>
    </row>
    <row r="149" spans="1:5" x14ac:dyDescent="0.25">
      <c r="C149">
        <v>494</v>
      </c>
      <c r="D149" t="s">
        <v>133</v>
      </c>
      <c r="E149" s="89">
        <f>HLOOKUP($D$5,'8.1 Bourgeoisies Comptes 2021'!$E$3:$R$165,143,0)</f>
        <v>0</v>
      </c>
    </row>
    <row r="150" spans="1:5" x14ac:dyDescent="0.25">
      <c r="C150">
        <v>495</v>
      </c>
      <c r="D150" t="s">
        <v>191</v>
      </c>
      <c r="E150" s="89">
        <f>HLOOKUP($D$5,'8.1 Bourgeoisies Comptes 2021'!$E$3:$R$165,144,0)</f>
        <v>0</v>
      </c>
    </row>
    <row r="151" spans="1:5" x14ac:dyDescent="0.25">
      <c r="C151">
        <v>498</v>
      </c>
      <c r="D151" t="s">
        <v>192</v>
      </c>
      <c r="E151" s="89">
        <f>HLOOKUP($D$5,'8.1 Bourgeoisies Comptes 2021'!$E$3:$R$165,145,0)</f>
        <v>0</v>
      </c>
    </row>
    <row r="152" spans="1:5" x14ac:dyDescent="0.25">
      <c r="C152">
        <v>499</v>
      </c>
      <c r="D152" t="s">
        <v>136</v>
      </c>
      <c r="E152" s="89">
        <f>HLOOKUP($D$5,'8.1 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-6491.91</v>
      </c>
    </row>
    <row r="158" spans="1:5" x14ac:dyDescent="0.25">
      <c r="C158">
        <v>900</v>
      </c>
      <c r="D158" t="s">
        <v>196</v>
      </c>
      <c r="E158" s="89">
        <f>HLOOKUP($D$5,'8.1 Bourgeoisies Comptes 2021'!$E$3:$R$165,152,0)</f>
        <v>-6491.91</v>
      </c>
    </row>
    <row r="159" spans="1:5" x14ac:dyDescent="0.25">
      <c r="C159">
        <v>901</v>
      </c>
      <c r="D159" t="s">
        <v>197</v>
      </c>
      <c r="E159" s="89">
        <f>HLOOKUP($D$5,'8.1 Bourgeoisies Comptes 2021'!$E$3:$R$165,153,0)</f>
        <v>0</v>
      </c>
    </row>
    <row r="160" spans="1:5" x14ac:dyDescent="0.25">
      <c r="E160" s="4"/>
    </row>
    <row r="161" spans="4:5" x14ac:dyDescent="0.25">
      <c r="D161" s="7" t="s">
        <v>198</v>
      </c>
      <c r="E161" s="89">
        <f>HLOOKUP($D$5,'8.1 Bourgeoisies Comptes 2021'!$E$3:$R$165,155,0)</f>
        <v>-6491.91</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'8.1 Bourgeoisies Comptes 2021'!R153</f>
        <v>155517.29</v>
      </c>
    </row>
    <row r="7" spans="1:3" x14ac:dyDescent="0.25">
      <c r="A7" s="52">
        <v>900</v>
      </c>
      <c r="B7" s="53" t="s">
        <v>219</v>
      </c>
      <c r="C7" s="56">
        <f>'8.1 Bourgeoisies Comptes 2021'!R154</f>
        <v>155517.29</v>
      </c>
    </row>
    <row r="8" spans="1:3" x14ac:dyDescent="0.25">
      <c r="A8" s="52">
        <v>901</v>
      </c>
      <c r="B8" s="53" t="s">
        <v>220</v>
      </c>
      <c r="C8" s="56">
        <f>'8.1 Bourgeoisies Comptes 2021'!R155</f>
        <v>0</v>
      </c>
    </row>
    <row r="9" spans="1:3" x14ac:dyDescent="0.25">
      <c r="A9" s="52" t="s">
        <v>217</v>
      </c>
      <c r="B9" s="53" t="s">
        <v>221</v>
      </c>
      <c r="C9" s="56">
        <f>'8.13 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4" sqref="B4"/>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s="215" t="s">
        <v>758</v>
      </c>
    </row>
    <row r="5" spans="1:3" ht="15.75" thickBot="1" x14ac:dyDescent="0.3">
      <c r="B5" s="174" t="s">
        <v>752</v>
      </c>
    </row>
    <row r="8" spans="1:3" x14ac:dyDescent="0.25">
      <c r="A8" s="51" t="s">
        <v>216</v>
      </c>
      <c r="B8" s="51" t="s">
        <v>201</v>
      </c>
      <c r="C8" s="51" t="s">
        <v>840</v>
      </c>
    </row>
    <row r="9" spans="1:3" x14ac:dyDescent="0.25">
      <c r="A9" s="52">
        <v>90</v>
      </c>
      <c r="B9" s="53" t="s">
        <v>798</v>
      </c>
      <c r="C9" s="56">
        <f>HLOOKUP($B$5,'8.1 Bourgeoisies Comptes 2021'!$E$3:$R$165,151,0)</f>
        <v>-6491.91</v>
      </c>
    </row>
    <row r="10" spans="1:3" x14ac:dyDescent="0.25">
      <c r="A10" s="52">
        <v>900</v>
      </c>
      <c r="B10" s="53" t="s">
        <v>219</v>
      </c>
      <c r="C10" s="56">
        <f>HLOOKUP($B$5,'8.1 Bourgeoisies Comptes 2021'!$E$3:$R$165,152,0)</f>
        <v>-6491.91</v>
      </c>
    </row>
    <row r="11" spans="1:3" x14ac:dyDescent="0.25">
      <c r="A11" s="52">
        <v>901</v>
      </c>
      <c r="B11" s="53" t="s">
        <v>220</v>
      </c>
      <c r="C11" s="56">
        <f>HLOOKUP($B$5,'8.1 Bourgeoisies Comptes 2021'!$E$3:$R$165,153,0)</f>
        <v>0</v>
      </c>
    </row>
    <row r="12" spans="1:3" x14ac:dyDescent="0.25">
      <c r="A12" s="52" t="s">
        <v>217</v>
      </c>
      <c r="B12" s="53" t="s">
        <v>221</v>
      </c>
      <c r="C12" s="56">
        <f>HLOOKUP($B$5,'8.13 Bourgeoisie investissement'!$E$3:$R$184,180,0)</f>
        <v>0</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'8.1 Bourgeoisies Comptes 2021'!R5+'8.1 Bourgeoisies Comptes 2021'!R15+'8.1 Bourgeoisies Comptes 2021'!R27+'8.1 Bourgeoisies Comptes 2021'!R39+'8.1 Bourgeoisies Comptes 2021'!R43+'8.1 Bourgeoisies Comptes 2021'!R53</f>
        <v>3286495.6599999997</v>
      </c>
    </row>
    <row r="9" spans="1:3" x14ac:dyDescent="0.25">
      <c r="A9" s="52" t="s">
        <v>210</v>
      </c>
      <c r="B9" s="53" t="s">
        <v>204</v>
      </c>
      <c r="C9" s="56">
        <f>'8.1 Bourgeoisies Comptes 2021'!R76+'8.1 Bourgeoisies Comptes 2021'!R82+'8.1 Bourgeoisies Comptes 2021'!R88+'8.1 Bourgeoisies Comptes 2021'!R99+'8.1 Bourgeoisies Comptes 2021'!R117+'8.1 Bourgeoisies Comptes 2021'!R121+'8.1 Bourgeoisies Comptes 2021'!R128</f>
        <v>2038340.7599999998</v>
      </c>
    </row>
    <row r="10" spans="1:3" x14ac:dyDescent="0.25">
      <c r="A10" s="53"/>
      <c r="B10" s="55" t="s">
        <v>205</v>
      </c>
      <c r="C10" s="62">
        <f>C9-C8</f>
        <v>-1248154.8999999999</v>
      </c>
    </row>
    <row r="11" spans="1:3" x14ac:dyDescent="0.25">
      <c r="A11" s="53"/>
      <c r="B11" s="53"/>
      <c r="C11" s="53"/>
    </row>
    <row r="12" spans="1:3" x14ac:dyDescent="0.25">
      <c r="A12" s="53">
        <v>34</v>
      </c>
      <c r="B12" s="53" t="s">
        <v>101</v>
      </c>
      <c r="C12" s="56">
        <f>'8.1 Bourgeoisies Comptes 2021'!R31</f>
        <v>314117.31</v>
      </c>
    </row>
    <row r="13" spans="1:3" x14ac:dyDescent="0.25">
      <c r="A13" s="53">
        <v>44</v>
      </c>
      <c r="B13" s="53" t="s">
        <v>162</v>
      </c>
      <c r="C13" s="56">
        <f>'8.1 Bourgeoisies Comptes 2021'!R105</f>
        <v>1961053.9500000002</v>
      </c>
    </row>
    <row r="14" spans="1:3" x14ac:dyDescent="0.25">
      <c r="A14" s="53"/>
      <c r="B14" s="55" t="s">
        <v>238</v>
      </c>
      <c r="C14" s="62">
        <f>C13-C12</f>
        <v>1646936.6400000001</v>
      </c>
    </row>
    <row r="15" spans="1:3" x14ac:dyDescent="0.25">
      <c r="A15" s="53"/>
      <c r="B15" s="53"/>
      <c r="C15" s="53"/>
    </row>
    <row r="16" spans="1:3" x14ac:dyDescent="0.25">
      <c r="A16" s="53"/>
      <c r="B16" s="55" t="s">
        <v>206</v>
      </c>
      <c r="C16" s="62">
        <f>C10+C14</f>
        <v>398781.74000000022</v>
      </c>
    </row>
    <row r="17" spans="1:3" x14ac:dyDescent="0.25">
      <c r="A17" s="53"/>
      <c r="B17" s="53"/>
      <c r="C17" s="53"/>
    </row>
    <row r="18" spans="1:3" x14ac:dyDescent="0.25">
      <c r="A18" s="53">
        <v>38</v>
      </c>
      <c r="B18" s="53" t="s">
        <v>121</v>
      </c>
      <c r="C18" s="56">
        <f>'8.1 Bourgeoisies Comptes 2021'!R56</f>
        <v>352666.18</v>
      </c>
    </row>
    <row r="19" spans="1:3" x14ac:dyDescent="0.25">
      <c r="A19" s="53">
        <v>48</v>
      </c>
      <c r="B19" s="53" t="s">
        <v>181</v>
      </c>
      <c r="C19" s="56">
        <f>'8.1 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162007.54000000021</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C3" sqref="C3"/>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758</v>
      </c>
    </row>
    <row r="5" spans="1:3" ht="15.75" thickBot="1" x14ac:dyDescent="0.3">
      <c r="B5" s="174" t="s">
        <v>752</v>
      </c>
    </row>
    <row r="7" spans="1:3" x14ac:dyDescent="0.25">
      <c r="A7" s="51" t="s">
        <v>200</v>
      </c>
      <c r="B7" s="51" t="s">
        <v>201</v>
      </c>
      <c r="C7" s="51" t="s">
        <v>202</v>
      </c>
    </row>
    <row r="8" spans="1:3" x14ac:dyDescent="0.25">
      <c r="A8" s="52" t="s">
        <v>209</v>
      </c>
      <c r="B8" s="53" t="s">
        <v>203</v>
      </c>
      <c r="C8" s="56">
        <f>HLOOKUP($B$5,'8.1 Bourgeoisies Comptes 2021'!$E$3:$R$168,162,0)</f>
        <v>12237.75</v>
      </c>
    </row>
    <row r="9" spans="1:3" x14ac:dyDescent="0.25">
      <c r="A9" s="52" t="s">
        <v>210</v>
      </c>
      <c r="B9" s="53" t="s">
        <v>204</v>
      </c>
      <c r="C9" s="56">
        <f>HLOOKUP($B$5,'8.1 Bourgeoisies Comptes 2021'!$E$3:$R$168,163,0)</f>
        <v>2120.12</v>
      </c>
    </row>
    <row r="10" spans="1:3" x14ac:dyDescent="0.25">
      <c r="A10" s="53"/>
      <c r="B10" s="55" t="s">
        <v>205</v>
      </c>
      <c r="C10" s="62">
        <f>C9-C8</f>
        <v>-10117.630000000001</v>
      </c>
    </row>
    <row r="11" spans="1:3" x14ac:dyDescent="0.25">
      <c r="A11" s="53"/>
      <c r="B11" s="53"/>
      <c r="C11" s="53"/>
    </row>
    <row r="12" spans="1:3" x14ac:dyDescent="0.25">
      <c r="A12" s="53">
        <v>34</v>
      </c>
      <c r="B12" s="53" t="s">
        <v>101</v>
      </c>
      <c r="C12" s="56">
        <f>HLOOKUP($B$5,'8.1 Bourgeoisies Comptes 2021'!$E$3:$R$168,29,0)</f>
        <v>0</v>
      </c>
    </row>
    <row r="13" spans="1:3" x14ac:dyDescent="0.25">
      <c r="A13" s="53">
        <v>44</v>
      </c>
      <c r="B13" s="53" t="s">
        <v>162</v>
      </c>
      <c r="C13" s="56">
        <f>HLOOKUP($B$5,'8.1 Bourgeoisies Comptes 2021'!$E$3:$R$168,103,0)</f>
        <v>3625.72</v>
      </c>
    </row>
    <row r="14" spans="1:3" x14ac:dyDescent="0.25">
      <c r="A14" s="53"/>
      <c r="B14" s="55" t="s">
        <v>238</v>
      </c>
      <c r="C14" s="62">
        <f>C13-C12</f>
        <v>3625.72</v>
      </c>
    </row>
    <row r="15" spans="1:3" x14ac:dyDescent="0.25">
      <c r="A15" s="53"/>
      <c r="B15" s="53"/>
      <c r="C15" s="53"/>
    </row>
    <row r="16" spans="1:3" x14ac:dyDescent="0.25">
      <c r="A16" s="53"/>
      <c r="B16" s="55" t="s">
        <v>206</v>
      </c>
      <c r="C16" s="62">
        <f>C10+C14</f>
        <v>-6491.9100000000017</v>
      </c>
    </row>
    <row r="17" spans="1:3" x14ac:dyDescent="0.25">
      <c r="A17" s="53"/>
      <c r="B17" s="53"/>
      <c r="C17" s="53"/>
    </row>
    <row r="18" spans="1:3" x14ac:dyDescent="0.25">
      <c r="A18" s="53">
        <v>38</v>
      </c>
      <c r="B18" s="53" t="s">
        <v>121</v>
      </c>
      <c r="C18" s="56">
        <f>HLOOKUP($B$5,'8.1 Bourgeoisies Comptes 2021'!$E$3:$R$168,54,0)</f>
        <v>0</v>
      </c>
    </row>
    <row r="19" spans="1:3" x14ac:dyDescent="0.25">
      <c r="A19" s="53">
        <v>48</v>
      </c>
      <c r="B19" s="53" t="s">
        <v>181</v>
      </c>
      <c r="C19" s="56">
        <f>HLOOKUP($B$5,'8.1 Bourgeoisies Comptes 2021'!$E$3:$R$168,129,0)</f>
        <v>0</v>
      </c>
    </row>
    <row r="20" spans="1:3" x14ac:dyDescent="0.25">
      <c r="A20" s="53"/>
      <c r="B20" s="55" t="s">
        <v>207</v>
      </c>
      <c r="C20" s="62">
        <f>C19-C18</f>
        <v>0</v>
      </c>
    </row>
    <row r="21" spans="1:3" x14ac:dyDescent="0.25">
      <c r="A21" s="53"/>
      <c r="B21" s="53"/>
      <c r="C21" s="53"/>
    </row>
    <row r="22" spans="1:3" x14ac:dyDescent="0.25">
      <c r="A22" s="53"/>
      <c r="B22" s="55" t="s">
        <v>208</v>
      </c>
      <c r="C22" s="62">
        <f>C16+C20</f>
        <v>-6491.9100000000017</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'8.1 Bourgeoisies Comptes 2021'!R153</f>
        <v>155517.29</v>
      </c>
    </row>
    <row r="9" spans="1:4" x14ac:dyDescent="0.25">
      <c r="A9" s="53">
        <v>33</v>
      </c>
      <c r="B9" s="58" t="s">
        <v>225</v>
      </c>
      <c r="C9" s="53" t="s">
        <v>98</v>
      </c>
      <c r="D9" s="56">
        <f>'8.1 Bourgeoisies Comptes 2021'!R27</f>
        <v>208630.15</v>
      </c>
    </row>
    <row r="10" spans="1:4" x14ac:dyDescent="0.25">
      <c r="A10" s="53">
        <v>35</v>
      </c>
      <c r="B10" s="58" t="s">
        <v>225</v>
      </c>
      <c r="C10" s="53" t="s">
        <v>227</v>
      </c>
      <c r="D10" s="56">
        <f>'8.1 Bourgeoisies Comptes 2021'!R39</f>
        <v>268855.77999999997</v>
      </c>
    </row>
    <row r="11" spans="1:4" x14ac:dyDescent="0.25">
      <c r="A11" s="53">
        <v>45</v>
      </c>
      <c r="B11" s="58" t="s">
        <v>226</v>
      </c>
      <c r="C11" s="53" t="s">
        <v>174</v>
      </c>
      <c r="D11" s="56">
        <f>'8.1 Bourgeoisies Comptes 2021'!R117</f>
        <v>201048.74000000002</v>
      </c>
    </row>
    <row r="12" spans="1:4" x14ac:dyDescent="0.25">
      <c r="A12" s="53">
        <v>364</v>
      </c>
      <c r="B12" s="58" t="s">
        <v>225</v>
      </c>
      <c r="C12" s="53" t="s">
        <v>234</v>
      </c>
      <c r="D12" s="56">
        <f>'8.1 Bourgeoisies Comptes 2021'!R48</f>
        <v>0</v>
      </c>
    </row>
    <row r="13" spans="1:4" x14ac:dyDescent="0.25">
      <c r="A13" s="53">
        <v>365</v>
      </c>
      <c r="B13" s="58" t="s">
        <v>225</v>
      </c>
      <c r="C13" s="53" t="s">
        <v>235</v>
      </c>
      <c r="D13" s="56">
        <f>'8.1 Bourgeoisies Comptes 2021'!R49</f>
        <v>0</v>
      </c>
    </row>
    <row r="14" spans="1:4" x14ac:dyDescent="0.25">
      <c r="A14" s="53">
        <v>366</v>
      </c>
      <c r="B14" s="58" t="s">
        <v>225</v>
      </c>
      <c r="C14" s="53" t="s">
        <v>232</v>
      </c>
      <c r="D14" s="56">
        <f>'8.1 Bourgeoisies Comptes 2021'!R50</f>
        <v>0</v>
      </c>
    </row>
    <row r="15" spans="1:4" x14ac:dyDescent="0.25">
      <c r="A15" s="53">
        <v>389</v>
      </c>
      <c r="B15" s="58" t="s">
        <v>225</v>
      </c>
      <c r="C15" s="53" t="s">
        <v>228</v>
      </c>
      <c r="D15" s="56">
        <f>'8.1 Bourgeoisies Comptes 2021'!R62</f>
        <v>352666.18</v>
      </c>
    </row>
    <row r="16" spans="1:4" x14ac:dyDescent="0.25">
      <c r="A16" s="53">
        <v>4490</v>
      </c>
      <c r="B16" s="58" t="s">
        <v>226</v>
      </c>
      <c r="C16" s="53" t="s">
        <v>236</v>
      </c>
      <c r="D16" s="56">
        <f>'8.1 Bourgeoisies Comptes 2021'!R115</f>
        <v>-23.17</v>
      </c>
    </row>
    <row r="17" spans="1:4" x14ac:dyDescent="0.25">
      <c r="A17" s="53">
        <v>489</v>
      </c>
      <c r="B17" s="58" t="s">
        <v>226</v>
      </c>
      <c r="C17" s="53" t="s">
        <v>233</v>
      </c>
      <c r="D17" s="56">
        <f>'8.1 Bourgeoisies Comptes 2021'!R138</f>
        <v>1.98</v>
      </c>
    </row>
    <row r="18" spans="1:4" x14ac:dyDescent="0.25">
      <c r="A18" s="53"/>
      <c r="B18" s="58"/>
      <c r="C18" s="53"/>
      <c r="D18" s="56"/>
    </row>
    <row r="19" spans="1:4" x14ac:dyDescent="0.25">
      <c r="A19" s="54"/>
      <c r="B19" s="54"/>
      <c r="C19" s="55" t="s">
        <v>229</v>
      </c>
      <c r="D19" s="62">
        <f>D8+D9+D10-D11+D12+D13+D14+D15-D16-D17</f>
        <v>784641.85</v>
      </c>
    </row>
    <row r="20" spans="1:4" x14ac:dyDescent="0.25">
      <c r="A20" s="53"/>
      <c r="B20" s="53"/>
      <c r="C20" s="53"/>
      <c r="D20" s="56"/>
    </row>
    <row r="21" spans="1:4" x14ac:dyDescent="0.25">
      <c r="A21" s="53" t="s">
        <v>224</v>
      </c>
      <c r="B21" s="59" t="s">
        <v>226</v>
      </c>
      <c r="C21" s="53" t="s">
        <v>230</v>
      </c>
      <c r="D21" s="56">
        <f>'8.13 Bourgeoisie investissement'!R182</f>
        <v>-65757</v>
      </c>
    </row>
    <row r="22" spans="1:4" x14ac:dyDescent="0.25">
      <c r="A22" s="53"/>
      <c r="B22" s="53"/>
      <c r="C22" s="53"/>
      <c r="D22" s="56"/>
    </row>
    <row r="23" spans="1:4" x14ac:dyDescent="0.25">
      <c r="A23" s="54"/>
      <c r="B23" s="54"/>
      <c r="C23" s="55" t="s">
        <v>231</v>
      </c>
      <c r="D23" s="62">
        <f>D19-D21</f>
        <v>850398.85</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D36" sqref="D36"/>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9" t="s">
        <v>752</v>
      </c>
      <c r="C5" s="220"/>
      <c r="D5" s="221"/>
    </row>
    <row r="7" spans="1:5" x14ac:dyDescent="0.25">
      <c r="B7" s="51" t="s">
        <v>223</v>
      </c>
      <c r="C7" s="51"/>
      <c r="D7" s="51" t="s">
        <v>201</v>
      </c>
      <c r="E7" s="51" t="s">
        <v>202</v>
      </c>
    </row>
    <row r="8" spans="1:5" x14ac:dyDescent="0.25">
      <c r="B8" s="53">
        <v>90</v>
      </c>
      <c r="C8" s="58"/>
      <c r="D8" s="53" t="s">
        <v>799</v>
      </c>
      <c r="E8" s="56">
        <f>HLOOKUP($B$5,'8.1 Bourgeoisies Comptes 2021'!$E$3:$R$167,151,0)</f>
        <v>-6491.91</v>
      </c>
    </row>
    <row r="9" spans="1:5" x14ac:dyDescent="0.25">
      <c r="B9" s="53">
        <v>33</v>
      </c>
      <c r="C9" s="58" t="s">
        <v>225</v>
      </c>
      <c r="D9" s="53" t="s">
        <v>98</v>
      </c>
      <c r="E9" s="56">
        <f>HLOOKUP($B$5,'8.1 Bourgeoisies Comptes 2021'!$E$3:$R$167,25,0)</f>
        <v>1332.5</v>
      </c>
    </row>
    <row r="10" spans="1:5" x14ac:dyDescent="0.25">
      <c r="B10" s="53">
        <v>35</v>
      </c>
      <c r="C10" s="58" t="s">
        <v>225</v>
      </c>
      <c r="D10" s="53" t="s">
        <v>227</v>
      </c>
      <c r="E10" s="56">
        <f>HLOOKUP($B$5,'8.1 Bourgeoisies Comptes 2021'!$E$3:$R$167,37,0)</f>
        <v>0</v>
      </c>
    </row>
    <row r="11" spans="1:5" x14ac:dyDescent="0.25">
      <c r="B11" s="53">
        <v>45</v>
      </c>
      <c r="C11" s="58" t="s">
        <v>226</v>
      </c>
      <c r="D11" s="53" t="s">
        <v>174</v>
      </c>
      <c r="E11" s="56">
        <f>HLOOKUP($B$5,'8.1 Bourgeoisies Comptes 2021'!$E$3:$R$167,115,0)</f>
        <v>23.17</v>
      </c>
    </row>
    <row r="12" spans="1:5" x14ac:dyDescent="0.25">
      <c r="B12" s="53">
        <v>364</v>
      </c>
      <c r="C12" s="58" t="s">
        <v>225</v>
      </c>
      <c r="D12" s="53" t="s">
        <v>234</v>
      </c>
      <c r="E12" s="56">
        <f>HLOOKUP($B$5,'8.1 Bourgeoisies Comptes 2021'!$E$3:$R$167,46,0)</f>
        <v>0</v>
      </c>
    </row>
    <row r="13" spans="1:5" x14ac:dyDescent="0.25">
      <c r="B13" s="53">
        <v>365</v>
      </c>
      <c r="C13" s="58" t="s">
        <v>225</v>
      </c>
      <c r="D13" s="53" t="s">
        <v>235</v>
      </c>
      <c r="E13" s="56">
        <f>HLOOKUP($B$5,'8.1 Bourgeoisies Comptes 2021'!$E$3:$R$167,47,0)</f>
        <v>0</v>
      </c>
    </row>
    <row r="14" spans="1:5" x14ac:dyDescent="0.25">
      <c r="B14" s="53">
        <v>366</v>
      </c>
      <c r="C14" s="58" t="s">
        <v>225</v>
      </c>
      <c r="D14" s="53" t="s">
        <v>232</v>
      </c>
      <c r="E14" s="56">
        <f>HLOOKUP($B$5,'8.1 Bourgeoisies Comptes 2021'!$E$3:$R$167,48,0)</f>
        <v>0</v>
      </c>
    </row>
    <row r="15" spans="1:5" x14ac:dyDescent="0.25">
      <c r="B15" s="53">
        <v>389</v>
      </c>
      <c r="C15" s="58" t="s">
        <v>225</v>
      </c>
      <c r="D15" s="53" t="s">
        <v>228</v>
      </c>
      <c r="E15" s="56">
        <f>HLOOKUP($B$5,'8.1 Bourgeoisies Comptes 2021'!$E$3:$R$167,60,0)</f>
        <v>0</v>
      </c>
    </row>
    <row r="16" spans="1:5" x14ac:dyDescent="0.25">
      <c r="B16" s="53">
        <v>4490</v>
      </c>
      <c r="C16" s="58" t="s">
        <v>226</v>
      </c>
      <c r="D16" s="53" t="s">
        <v>236</v>
      </c>
      <c r="E16" s="56">
        <f>HLOOKUP($B$5,'8.1 Bourgeoisies Comptes 2021'!$E$3:$R$167,113,0)</f>
        <v>-23.17</v>
      </c>
    </row>
    <row r="17" spans="2:5" x14ac:dyDescent="0.25">
      <c r="B17" s="53">
        <v>489</v>
      </c>
      <c r="C17" s="58" t="s">
        <v>226</v>
      </c>
      <c r="D17" s="53" t="s">
        <v>233</v>
      </c>
      <c r="E17" s="56">
        <f>HLOOKUP($B$5,'8.1 Bourgeoisies Comptes 2021'!$E$3:$R$167,136,0)</f>
        <v>0</v>
      </c>
    </row>
    <row r="18" spans="2:5" x14ac:dyDescent="0.25">
      <c r="B18" s="53"/>
      <c r="C18" s="58"/>
      <c r="D18" s="53"/>
      <c r="E18" s="56"/>
    </row>
    <row r="19" spans="2:5" x14ac:dyDescent="0.25">
      <c r="B19" s="54"/>
      <c r="C19" s="54"/>
      <c r="D19" s="55" t="s">
        <v>229</v>
      </c>
      <c r="E19" s="62">
        <f>E8+E9+E10-E11+E12+E13+E14+E15-E16-E17</f>
        <v>-5159.41</v>
      </c>
    </row>
    <row r="20" spans="2:5" x14ac:dyDescent="0.25">
      <c r="B20" s="53"/>
      <c r="C20" s="53"/>
      <c r="D20" s="53"/>
      <c r="E20" s="56"/>
    </row>
    <row r="21" spans="2:5" x14ac:dyDescent="0.25">
      <c r="B21" s="53" t="s">
        <v>224</v>
      </c>
      <c r="C21" s="59" t="s">
        <v>226</v>
      </c>
      <c r="D21" s="53" t="s">
        <v>230</v>
      </c>
      <c r="E21" s="56">
        <f>HLOOKUP($B$5,'8.13 Bourgeoisie investissement'!$E$3:$R$183,180,0)</f>
        <v>0</v>
      </c>
    </row>
    <row r="22" spans="2:5" x14ac:dyDescent="0.25">
      <c r="B22" s="53"/>
      <c r="C22" s="53"/>
      <c r="D22" s="53"/>
      <c r="E22" s="56"/>
    </row>
    <row r="23" spans="2:5" x14ac:dyDescent="0.25">
      <c r="B23" s="54"/>
      <c r="C23" s="54"/>
      <c r="D23" s="55" t="s">
        <v>231</v>
      </c>
      <c r="E23" s="62">
        <f>E19-E21</f>
        <v>-5159.41</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 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N193" activePane="bottomRight" state="frozen"/>
      <selection pane="topRight" activeCell="F1" sqref="F1"/>
      <selection pane="bottomLeft" activeCell="A4" sqref="A4"/>
      <selection pane="bottomRight" activeCell="N217" sqref="N217"/>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112951.42</v>
      </c>
      <c r="O4" s="87">
        <f t="shared" si="0"/>
        <v>584363.77</v>
      </c>
      <c r="P4" s="87">
        <f t="shared" si="0"/>
        <v>2641660.5499999998</v>
      </c>
      <c r="Q4" s="87">
        <f t="shared" si="0"/>
        <v>1948320.34</v>
      </c>
      <c r="R4" s="87">
        <f t="shared" si="0"/>
        <v>2482468.69</v>
      </c>
      <c r="S4" s="87">
        <f t="shared" ref="S4:S12" si="1">SUM(F4:R4)</f>
        <v>61251749.730000004</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92238.42</v>
      </c>
      <c r="O5" s="75">
        <f t="shared" si="2"/>
        <v>582363.77</v>
      </c>
      <c r="P5" s="75">
        <f t="shared" si="2"/>
        <v>1358276.4</v>
      </c>
      <c r="Q5" s="75">
        <f t="shared" si="2"/>
        <v>898560.29</v>
      </c>
      <c r="R5" s="75">
        <f t="shared" si="2"/>
        <v>951662.69</v>
      </c>
      <c r="S5" s="75">
        <f t="shared" si="1"/>
        <v>47690097.579999998</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92036.42</v>
      </c>
      <c r="O6" s="70">
        <f t="shared" si="3"/>
        <v>296901.77</v>
      </c>
      <c r="P6" s="70">
        <f t="shared" si="3"/>
        <v>745815.37</v>
      </c>
      <c r="Q6" s="70">
        <f t="shared" si="3"/>
        <v>3641.21</v>
      </c>
      <c r="R6" s="70">
        <f t="shared" si="3"/>
        <v>267305.56</v>
      </c>
      <c r="S6" s="70">
        <f t="shared" si="1"/>
        <v>5914669.3700000001</v>
      </c>
      <c r="T6">
        <v>4</v>
      </c>
    </row>
    <row r="7" spans="1:20" x14ac:dyDescent="0.25">
      <c r="D7">
        <v>1000</v>
      </c>
      <c r="E7" t="s">
        <v>313</v>
      </c>
      <c r="F7" s="4">
        <v>2396.9</v>
      </c>
      <c r="G7" s="4">
        <v>41.1</v>
      </c>
      <c r="H7" s="4">
        <v>653.16999999999996</v>
      </c>
      <c r="I7" s="4">
        <v>423.2</v>
      </c>
      <c r="J7" s="4">
        <v>988.7</v>
      </c>
      <c r="K7" s="4">
        <v>2949.1</v>
      </c>
      <c r="L7" s="4">
        <v>11.05</v>
      </c>
      <c r="M7" s="4">
        <v>380.95</v>
      </c>
      <c r="N7" s="4">
        <v>247</v>
      </c>
      <c r="O7" s="4">
        <v>1904.5</v>
      </c>
      <c r="P7" s="4">
        <v>521.6</v>
      </c>
      <c r="Q7" s="4">
        <v>1695.1</v>
      </c>
      <c r="R7" s="4">
        <v>0</v>
      </c>
      <c r="S7" s="80">
        <f t="shared" si="1"/>
        <v>12212.37</v>
      </c>
      <c r="T7">
        <v>5</v>
      </c>
    </row>
    <row r="8" spans="1:20" x14ac:dyDescent="0.25">
      <c r="D8">
        <v>1001</v>
      </c>
      <c r="E8" t="s">
        <v>314</v>
      </c>
      <c r="F8" s="4">
        <v>1304.71</v>
      </c>
      <c r="G8" s="4">
        <v>0</v>
      </c>
      <c r="H8" s="4">
        <v>24009.19</v>
      </c>
      <c r="I8" s="4">
        <v>0</v>
      </c>
      <c r="J8" s="4">
        <v>295617.25</v>
      </c>
      <c r="K8" s="4">
        <v>16250.99</v>
      </c>
      <c r="L8" s="4">
        <v>182617.36</v>
      </c>
      <c r="M8" s="4">
        <v>55067.59</v>
      </c>
      <c r="N8" s="4">
        <v>1946.72</v>
      </c>
      <c r="O8" s="4">
        <v>174314.5</v>
      </c>
      <c r="P8" s="4">
        <v>0</v>
      </c>
      <c r="Q8" s="4">
        <v>1898.23</v>
      </c>
      <c r="R8" s="4">
        <v>0</v>
      </c>
      <c r="S8" s="80">
        <f t="shared" si="1"/>
        <v>753026.53999999992</v>
      </c>
      <c r="T8">
        <v>6</v>
      </c>
    </row>
    <row r="9" spans="1:20" x14ac:dyDescent="0.25">
      <c r="D9">
        <v>1002</v>
      </c>
      <c r="E9" t="s">
        <v>322</v>
      </c>
      <c r="F9" s="4">
        <v>1344332.69</v>
      </c>
      <c r="G9" s="4">
        <v>59296.95</v>
      </c>
      <c r="H9" s="4">
        <v>101394.79</v>
      </c>
      <c r="I9" s="4">
        <v>278401.24</v>
      </c>
      <c r="J9" s="4">
        <v>446552.72</v>
      </c>
      <c r="K9" s="4">
        <v>1025860.45</v>
      </c>
      <c r="L9" s="4">
        <v>28808.15</v>
      </c>
      <c r="M9" s="4">
        <v>563364.11</v>
      </c>
      <c r="N9" s="4">
        <v>89842.7</v>
      </c>
      <c r="O9" s="4">
        <v>120682.77</v>
      </c>
      <c r="P9" s="4">
        <v>745293.77</v>
      </c>
      <c r="Q9" s="4">
        <v>47.88</v>
      </c>
      <c r="R9" s="4">
        <v>267305.56</v>
      </c>
      <c r="S9" s="80">
        <f t="shared" si="1"/>
        <v>5071183.7799999993</v>
      </c>
      <c r="T9">
        <v>7</v>
      </c>
    </row>
    <row r="10" spans="1:20" x14ac:dyDescent="0.25">
      <c r="D10">
        <v>1003</v>
      </c>
      <c r="E10" t="s">
        <v>315</v>
      </c>
      <c r="F10" s="4">
        <v>0</v>
      </c>
      <c r="G10" s="4">
        <v>0</v>
      </c>
      <c r="H10" s="4">
        <v>0</v>
      </c>
      <c r="I10" s="4">
        <v>0</v>
      </c>
      <c r="J10" s="4">
        <v>20271.099999999999</v>
      </c>
      <c r="K10" s="4">
        <v>0</v>
      </c>
      <c r="L10" s="4">
        <v>0</v>
      </c>
      <c r="M10" s="4">
        <v>40697.730000000003</v>
      </c>
      <c r="N10" s="4">
        <v>0</v>
      </c>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v>0</v>
      </c>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v>0</v>
      </c>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v>0</v>
      </c>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v>0</v>
      </c>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v>0</v>
      </c>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v>0</v>
      </c>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v>0</v>
      </c>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v>0</v>
      </c>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v>0</v>
      </c>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v>0</v>
      </c>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v>0</v>
      </c>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v>0</v>
      </c>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v>0</v>
      </c>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v>0</v>
      </c>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v>0</v>
      </c>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v>0</v>
      </c>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v>0</v>
      </c>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v>0</v>
      </c>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v>0</v>
      </c>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v>0</v>
      </c>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v>0</v>
      </c>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v>0</v>
      </c>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v>0</v>
      </c>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v>0</v>
      </c>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v>0</v>
      </c>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v>0</v>
      </c>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v>0</v>
      </c>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202</v>
      </c>
      <c r="O47" s="70">
        <f t="shared" si="11"/>
        <v>5002</v>
      </c>
      <c r="P47" s="70">
        <f t="shared" si="11"/>
        <v>452</v>
      </c>
      <c r="Q47" s="70">
        <f t="shared" si="11"/>
        <v>178759.03</v>
      </c>
      <c r="R47" s="70">
        <f t="shared" si="11"/>
        <v>562166.23</v>
      </c>
      <c r="S47" s="70">
        <f t="shared" ref="S47:S52" si="12">SUM(F47:R47)</f>
        <v>810873.15999999992</v>
      </c>
      <c r="T47">
        <v>45</v>
      </c>
    </row>
    <row r="48" spans="3:20" x14ac:dyDescent="0.25">
      <c r="D48">
        <v>1070</v>
      </c>
      <c r="E48" t="s">
        <v>342</v>
      </c>
      <c r="F48" s="4">
        <v>16617.900000000001</v>
      </c>
      <c r="G48" s="4">
        <v>2</v>
      </c>
      <c r="H48" s="4">
        <v>702</v>
      </c>
      <c r="I48" s="4">
        <v>6</v>
      </c>
      <c r="J48" s="4">
        <v>1200</v>
      </c>
      <c r="K48" s="4">
        <v>5200</v>
      </c>
      <c r="L48" s="4">
        <v>1503</v>
      </c>
      <c r="M48" s="4">
        <v>39061</v>
      </c>
      <c r="N48" s="4">
        <v>202</v>
      </c>
      <c r="O48" s="4">
        <v>5002</v>
      </c>
      <c r="P48" s="4">
        <v>452</v>
      </c>
      <c r="Q48" s="4">
        <v>8000</v>
      </c>
      <c r="R48" s="4">
        <v>185981.7</v>
      </c>
      <c r="S48" s="80">
        <f t="shared" si="12"/>
        <v>263929.59999999998</v>
      </c>
      <c r="T48">
        <v>46</v>
      </c>
    </row>
    <row r="49" spans="3:20" x14ac:dyDescent="0.25">
      <c r="D49">
        <v>1071</v>
      </c>
      <c r="E49" t="s">
        <v>343</v>
      </c>
      <c r="F49" s="4">
        <v>0</v>
      </c>
      <c r="G49" s="4">
        <v>0</v>
      </c>
      <c r="H49" s="4">
        <v>0</v>
      </c>
      <c r="I49" s="4">
        <v>0</v>
      </c>
      <c r="J49" s="4">
        <v>0</v>
      </c>
      <c r="K49" s="4">
        <v>0</v>
      </c>
      <c r="L49" s="4">
        <v>0</v>
      </c>
      <c r="M49" s="4">
        <v>0</v>
      </c>
      <c r="N49" s="4">
        <v>0</v>
      </c>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v>0</v>
      </c>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v>0</v>
      </c>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v>0</v>
      </c>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v>0</v>
      </c>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v>0</v>
      </c>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v>0</v>
      </c>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v>0</v>
      </c>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v>0</v>
      </c>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v>0</v>
      </c>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v>0</v>
      </c>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v>0</v>
      </c>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v>0</v>
      </c>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20713</v>
      </c>
      <c r="O67" s="77">
        <f t="shared" si="17"/>
        <v>2000</v>
      </c>
      <c r="P67" s="77">
        <f t="shared" si="17"/>
        <v>1283384.1499999999</v>
      </c>
      <c r="Q67" s="77">
        <f t="shared" si="17"/>
        <v>1049760.05</v>
      </c>
      <c r="R67" s="77">
        <f t="shared" si="17"/>
        <v>1530806</v>
      </c>
      <c r="S67" s="77">
        <f t="shared" ref="S67:S77" si="18">SUM(F67:R67)</f>
        <v>13561652.15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20713</v>
      </c>
      <c r="O68" s="70">
        <f t="shared" si="19"/>
        <v>2000</v>
      </c>
      <c r="P68" s="70">
        <f t="shared" si="19"/>
        <v>1283384.1499999999</v>
      </c>
      <c r="Q68" s="70">
        <f t="shared" si="19"/>
        <v>1049760.05</v>
      </c>
      <c r="R68" s="70">
        <f t="shared" si="19"/>
        <v>1530806</v>
      </c>
      <c r="S68" s="70">
        <f t="shared" si="18"/>
        <v>13423849.15</v>
      </c>
      <c r="T68">
        <v>66</v>
      </c>
    </row>
    <row r="69" spans="2:20" x14ac:dyDescent="0.25">
      <c r="D69">
        <v>1400</v>
      </c>
      <c r="E69" t="s">
        <v>357</v>
      </c>
      <c r="F69" s="4">
        <v>637218.30000000005</v>
      </c>
      <c r="G69" s="4">
        <v>236301</v>
      </c>
      <c r="H69" s="4">
        <v>0</v>
      </c>
      <c r="I69" s="4">
        <v>260230</v>
      </c>
      <c r="J69" s="4">
        <v>336980</v>
      </c>
      <c r="K69" s="4">
        <v>764001</v>
      </c>
      <c r="L69" s="4">
        <v>201230</v>
      </c>
      <c r="M69" s="4">
        <v>0</v>
      </c>
      <c r="N69" s="4">
        <v>0</v>
      </c>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v>0</v>
      </c>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v>1</v>
      </c>
      <c r="O71" s="4">
        <v>0</v>
      </c>
      <c r="P71" s="4">
        <v>0</v>
      </c>
      <c r="Q71" s="4">
        <v>0</v>
      </c>
      <c r="R71" s="4">
        <v>0</v>
      </c>
      <c r="S71" s="80">
        <f t="shared" si="18"/>
        <v>54533.7</v>
      </c>
      <c r="T71">
        <v>69</v>
      </c>
    </row>
    <row r="72" spans="2:20" x14ac:dyDescent="0.25">
      <c r="D72">
        <v>1403</v>
      </c>
      <c r="E72" t="s">
        <v>360</v>
      </c>
      <c r="F72" s="4">
        <v>0</v>
      </c>
      <c r="G72" s="4">
        <v>0</v>
      </c>
      <c r="H72" s="4">
        <v>0</v>
      </c>
      <c r="I72" s="4">
        <v>0</v>
      </c>
      <c r="J72" s="4">
        <v>0</v>
      </c>
      <c r="K72" s="4">
        <v>0</v>
      </c>
      <c r="L72" s="4">
        <v>0</v>
      </c>
      <c r="M72" s="4">
        <v>0</v>
      </c>
      <c r="N72" s="4">
        <v>0</v>
      </c>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v>2601</v>
      </c>
      <c r="O73" s="4">
        <v>0</v>
      </c>
      <c r="P73" s="4">
        <v>151549.4</v>
      </c>
      <c r="Q73" s="4">
        <v>0</v>
      </c>
      <c r="R73" s="4">
        <v>1489805</v>
      </c>
      <c r="S73" s="80">
        <f t="shared" si="18"/>
        <v>2771006.9499999997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v>18110</v>
      </c>
      <c r="O74" s="4">
        <v>0</v>
      </c>
      <c r="P74" s="4">
        <v>556866</v>
      </c>
      <c r="Q74" s="4">
        <v>687522</v>
      </c>
      <c r="R74" s="4">
        <v>0</v>
      </c>
      <c r="S74" s="80">
        <f t="shared" si="18"/>
        <v>6894331</v>
      </c>
      <c r="T74">
        <v>72</v>
      </c>
    </row>
    <row r="75" spans="2:20" x14ac:dyDescent="0.25">
      <c r="D75">
        <v>1406</v>
      </c>
      <c r="E75" t="s">
        <v>363</v>
      </c>
      <c r="F75" s="4">
        <v>70900</v>
      </c>
      <c r="G75" s="4">
        <v>0</v>
      </c>
      <c r="H75" s="4">
        <v>2500</v>
      </c>
      <c r="I75" s="4">
        <v>2</v>
      </c>
      <c r="J75" s="4">
        <v>0</v>
      </c>
      <c r="K75" s="4">
        <v>0</v>
      </c>
      <c r="L75" s="4">
        <v>0</v>
      </c>
      <c r="M75" s="4">
        <v>0</v>
      </c>
      <c r="N75" s="4">
        <v>1</v>
      </c>
      <c r="O75" s="4">
        <v>0</v>
      </c>
      <c r="P75" s="4">
        <v>501</v>
      </c>
      <c r="Q75" s="4">
        <v>0</v>
      </c>
      <c r="R75" s="4">
        <v>1</v>
      </c>
      <c r="S75" s="80">
        <f t="shared" si="18"/>
        <v>73905</v>
      </c>
      <c r="T75">
        <v>73</v>
      </c>
    </row>
    <row r="76" spans="2:20" x14ac:dyDescent="0.25">
      <c r="D76">
        <v>1407</v>
      </c>
      <c r="E76" t="s">
        <v>364</v>
      </c>
      <c r="F76" s="4">
        <v>0</v>
      </c>
      <c r="G76" s="4">
        <v>0</v>
      </c>
      <c r="H76" s="4">
        <v>0</v>
      </c>
      <c r="I76" s="4">
        <v>0</v>
      </c>
      <c r="J76" s="4">
        <v>0</v>
      </c>
      <c r="K76" s="4">
        <v>0</v>
      </c>
      <c r="L76" s="4">
        <v>0</v>
      </c>
      <c r="M76" s="4">
        <v>0</v>
      </c>
      <c r="N76" s="4">
        <v>0</v>
      </c>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v>0</v>
      </c>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v>0</v>
      </c>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v>0</v>
      </c>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v>0</v>
      </c>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v>0</v>
      </c>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v>0</v>
      </c>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v>0</v>
      </c>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v>0</v>
      </c>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v>0</v>
      </c>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v>0</v>
      </c>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v>0</v>
      </c>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v>0</v>
      </c>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v>0</v>
      </c>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v>0</v>
      </c>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v>0</v>
      </c>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v>0</v>
      </c>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v>0</v>
      </c>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v>0</v>
      </c>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112951.42</v>
      </c>
      <c r="O120" s="88">
        <f t="shared" si="28"/>
        <v>584363.77</v>
      </c>
      <c r="P120" s="88">
        <f t="shared" si="28"/>
        <v>2641660.5499999998</v>
      </c>
      <c r="Q120" s="88">
        <f t="shared" si="28"/>
        <v>1948320.34</v>
      </c>
      <c r="R120" s="88">
        <f t="shared" si="28"/>
        <v>2482468.69</v>
      </c>
      <c r="S120" s="82">
        <f t="shared" ref="S120:S130" si="29">SUM(F120:R120)</f>
        <v>61251749.730000004</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15400</v>
      </c>
      <c r="O121" s="86">
        <f t="shared" si="30"/>
        <v>15000</v>
      </c>
      <c r="P121" s="86">
        <f t="shared" si="30"/>
        <v>75502.2</v>
      </c>
      <c r="Q121" s="86">
        <f t="shared" si="30"/>
        <v>483896.37</v>
      </c>
      <c r="R121" s="86">
        <f t="shared" si="30"/>
        <v>48390.65</v>
      </c>
      <c r="S121" s="86">
        <f t="shared" si="29"/>
        <v>9452079.5199999977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v>0</v>
      </c>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v>0</v>
      </c>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v>0</v>
      </c>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v>0</v>
      </c>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v>0</v>
      </c>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v>0</v>
      </c>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v>0</v>
      </c>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v>0</v>
      </c>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v>0</v>
      </c>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v>0</v>
      </c>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v>0</v>
      </c>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v>0</v>
      </c>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v>0</v>
      </c>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v>0</v>
      </c>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v>0</v>
      </c>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v>0</v>
      </c>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15400</v>
      </c>
      <c r="O164" s="84">
        <f t="shared" si="38"/>
        <v>0</v>
      </c>
      <c r="P164" s="84">
        <f t="shared" si="38"/>
        <v>0</v>
      </c>
      <c r="Q164" s="84">
        <f t="shared" si="38"/>
        <v>458240</v>
      </c>
      <c r="R164" s="84">
        <f t="shared" si="38"/>
        <v>0</v>
      </c>
      <c r="S164" s="84">
        <f t="shared" ref="S164:S170" si="39">SUM(F164:R164)</f>
        <v>7721815.5999999996</v>
      </c>
      <c r="T164">
        <v>162</v>
      </c>
    </row>
    <row r="165" spans="3:20" x14ac:dyDescent="0.25">
      <c r="D165">
        <v>2060</v>
      </c>
      <c r="E165" t="s">
        <v>425</v>
      </c>
      <c r="F165" s="4">
        <v>2989500</v>
      </c>
      <c r="G165" s="4">
        <v>0</v>
      </c>
      <c r="H165" s="4">
        <v>0</v>
      </c>
      <c r="I165" s="4">
        <v>0</v>
      </c>
      <c r="J165" s="4">
        <v>0</v>
      </c>
      <c r="K165" s="4">
        <v>3283750</v>
      </c>
      <c r="L165" s="4">
        <v>0</v>
      </c>
      <c r="M165" s="4">
        <v>0</v>
      </c>
      <c r="N165" s="4">
        <v>0</v>
      </c>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v>0</v>
      </c>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v>15400</v>
      </c>
      <c r="O168" s="4">
        <v>0</v>
      </c>
      <c r="P168" s="4">
        <v>0</v>
      </c>
      <c r="Q168" s="4">
        <v>0</v>
      </c>
      <c r="R168" s="4">
        <v>0</v>
      </c>
      <c r="S168" s="80">
        <f t="shared" si="39"/>
        <v>15400</v>
      </c>
      <c r="T168">
        <v>166</v>
      </c>
    </row>
    <row r="169" spans="3:20"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v>0</v>
      </c>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v>0</v>
      </c>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v>0</v>
      </c>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v>0</v>
      </c>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97551.42</v>
      </c>
      <c r="O189" s="86">
        <f t="shared" si="43"/>
        <v>569363.77</v>
      </c>
      <c r="P189" s="86">
        <f t="shared" si="43"/>
        <v>2566158.3499999996</v>
      </c>
      <c r="Q189" s="86">
        <f t="shared" si="43"/>
        <v>1464423.97</v>
      </c>
      <c r="R189" s="86">
        <f t="shared" si="43"/>
        <v>2434078.04</v>
      </c>
      <c r="S189" s="86">
        <f t="shared" si="43"/>
        <v>51799670.210000001</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19947.169999999998</v>
      </c>
      <c r="O190" s="84">
        <f t="shared" si="44"/>
        <v>165866.60999999999</v>
      </c>
      <c r="P190" s="84">
        <f t="shared" si="44"/>
        <v>83957.08</v>
      </c>
      <c r="Q190" s="84">
        <f t="shared" si="44"/>
        <v>170794.67</v>
      </c>
      <c r="R190" s="84">
        <f t="shared" si="44"/>
        <v>2430578.04</v>
      </c>
      <c r="S190" s="84">
        <f>SUM(F190:R190)</f>
        <v>6944057.0800000001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v>19947.169999999998</v>
      </c>
      <c r="O191" s="4">
        <v>165866.60999999999</v>
      </c>
      <c r="P191" s="4">
        <v>83957.08</v>
      </c>
      <c r="Q191" s="4">
        <v>170794.67</v>
      </c>
      <c r="R191" s="4">
        <v>2430578.04</v>
      </c>
      <c r="S191" s="80">
        <f>SUM(F191:R191)</f>
        <v>6944057.0800000001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v>0</v>
      </c>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v>0</v>
      </c>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v>0</v>
      </c>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v>0</v>
      </c>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v>0</v>
      </c>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77604.25</v>
      </c>
      <c r="O215" s="84">
        <f t="shared" si="52"/>
        <v>403497.16</v>
      </c>
      <c r="P215" s="84">
        <f t="shared" si="52"/>
        <v>1996434.3199999998</v>
      </c>
      <c r="Q215" s="84">
        <f t="shared" si="52"/>
        <v>1293629.3</v>
      </c>
      <c r="R215" s="84">
        <f t="shared" si="52"/>
        <v>0</v>
      </c>
      <c r="S215" s="84">
        <f>SUM(F215:R215)</f>
        <v>20856445.18</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v>-3050.01</v>
      </c>
      <c r="O216" s="4">
        <v>645.91</v>
      </c>
      <c r="P216" s="4">
        <v>2904.41</v>
      </c>
      <c r="Q216" s="4">
        <v>5845.23</v>
      </c>
      <c r="R216" s="4">
        <v>0</v>
      </c>
      <c r="S216" s="80">
        <f>SUM(F216:R216)</f>
        <v>209407.06</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v>80654.259999999995</v>
      </c>
      <c r="O217" s="4">
        <v>402851.25</v>
      </c>
      <c r="P217" s="72">
        <v>1993529.91</v>
      </c>
      <c r="Q217" s="4">
        <v>1287784.07</v>
      </c>
      <c r="R217" s="4">
        <v>0</v>
      </c>
      <c r="S217" s="80">
        <f>SUM(F217:R217)</f>
        <v>20647038.120000005</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'8.1 Bourgeoisies Comptes 2021'!E155</f>
        <v>0</v>
      </c>
      <c r="G220" s="4">
        <f>'8.1 Bourgeoisies Comptes 2021'!F155</f>
        <v>0</v>
      </c>
      <c r="H220" s="4">
        <f>'8.1 Bourgeoisies Comptes 2021'!G155</f>
        <v>0</v>
      </c>
      <c r="I220" s="4">
        <f>'8.1 Bourgeoisies Comptes 2021'!H155</f>
        <v>0</v>
      </c>
      <c r="J220" s="4">
        <f>'8.1 Bourgeoisies Comptes 2021'!I155</f>
        <v>0</v>
      </c>
      <c r="K220" s="4">
        <f>'8.1 Bourgeoisies Comptes 2021'!J155</f>
        <v>0</v>
      </c>
      <c r="L220" s="4">
        <f>'8.1 Bourgeoisies Comptes 2021'!K155</f>
        <v>0</v>
      </c>
      <c r="M220" s="4">
        <f>'8.1 Bourgeoisies Comptes 2021'!L155</f>
        <v>0</v>
      </c>
      <c r="N220" s="4">
        <f>'8.1 Bourgeoisies Comptes 2021'!M155</f>
        <v>0</v>
      </c>
      <c r="O220" s="4">
        <f>'8.1 Bourgeoisies Comptes 2021'!N155</f>
        <v>0</v>
      </c>
      <c r="P220" s="4">
        <f>'8.1 Bourgeoisies Comptes 2021'!O155</f>
        <v>0</v>
      </c>
      <c r="Q220" s="4">
        <f>'8.1 Bourgeoisies Comptes 2021'!P155</f>
        <v>0</v>
      </c>
      <c r="R220" s="4">
        <f>'8.1 Bourgeoisies Comptes 2021'!Q155</f>
        <v>0</v>
      </c>
      <c r="S220" s="4">
        <f>'8.1 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-3050.01</v>
      </c>
      <c r="O221" s="4">
        <f t="shared" si="53"/>
        <v>645.91</v>
      </c>
      <c r="P221" s="4">
        <f t="shared" si="53"/>
        <v>2904.41</v>
      </c>
      <c r="Q221" s="4">
        <f t="shared" si="53"/>
        <v>5845.23</v>
      </c>
      <c r="R221" s="4">
        <f t="shared" si="53"/>
        <v>0</v>
      </c>
      <c r="S221" s="4">
        <f t="shared" si="53"/>
        <v>209407.06</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-3050.01</v>
      </c>
      <c r="O223" s="41">
        <f t="shared" si="54"/>
        <v>645.91</v>
      </c>
      <c r="P223" s="41">
        <f t="shared" si="54"/>
        <v>2904.41</v>
      </c>
      <c r="Q223" s="41">
        <f t="shared" si="54"/>
        <v>5845.23</v>
      </c>
      <c r="R223" s="41">
        <f t="shared" si="54"/>
        <v>0</v>
      </c>
      <c r="S223" s="41">
        <f t="shared" si="54"/>
        <v>209407.06</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752</v>
      </c>
    </row>
    <row r="7" spans="1:6" ht="21" x14ac:dyDescent="0.35">
      <c r="A7" s="73">
        <v>1</v>
      </c>
      <c r="B7" s="73"/>
      <c r="C7" s="73"/>
      <c r="D7" s="73"/>
      <c r="E7" s="73" t="s">
        <v>239</v>
      </c>
      <c r="F7" s="175">
        <f>HLOOKUP($E$4,'8.9 Bourgeoisie bilan'!$F$3:$S$228,2,0)</f>
        <v>112951.42</v>
      </c>
    </row>
    <row r="8" spans="1:6" x14ac:dyDescent="0.25">
      <c r="A8" s="78"/>
      <c r="B8" s="74">
        <v>10</v>
      </c>
      <c r="C8" s="74"/>
      <c r="D8" s="74"/>
      <c r="E8" s="74" t="s">
        <v>240</v>
      </c>
      <c r="F8" s="75">
        <f>HLOOKUP($E$4,'8.9 Bourgeoisie bilan'!$F$3:$S$228,2,0)</f>
        <v>112951.42</v>
      </c>
    </row>
    <row r="9" spans="1:6" x14ac:dyDescent="0.25">
      <c r="A9" s="79"/>
      <c r="B9" s="79"/>
      <c r="C9" s="69">
        <v>100</v>
      </c>
      <c r="D9" s="69"/>
      <c r="E9" s="69" t="s">
        <v>241</v>
      </c>
      <c r="F9" s="70">
        <f>HLOOKUP($E$4,'8.9 Bourgeoisie bilan'!$F$3:$S$228,2,0)</f>
        <v>112951.42</v>
      </c>
    </row>
    <row r="10" spans="1:6" x14ac:dyDescent="0.25">
      <c r="D10">
        <v>1000</v>
      </c>
      <c r="E10" t="s">
        <v>313</v>
      </c>
      <c r="F10" s="4">
        <f>HLOOKUP($E$4,'8.9 Bourgeoisie bilan'!$F$3:$S$228,5,0)</f>
        <v>247</v>
      </c>
    </row>
    <row r="11" spans="1:6" x14ac:dyDescent="0.25">
      <c r="D11">
        <v>1001</v>
      </c>
      <c r="E11" t="s">
        <v>314</v>
      </c>
      <c r="F11" s="4">
        <f>HLOOKUP($E$4,'8.9 Bourgeoisie bilan'!$F$3:$S$228,6,0)</f>
        <v>1946.72</v>
      </c>
    </row>
    <row r="12" spans="1:6" x14ac:dyDescent="0.25">
      <c r="D12">
        <v>1002</v>
      </c>
      <c r="E12" t="s">
        <v>322</v>
      </c>
      <c r="F12" s="4">
        <f>HLOOKUP($E$4,'8.9 Bourgeoisie bilan'!$F$3:$S$228,7,0)</f>
        <v>89842.7</v>
      </c>
    </row>
    <row r="13" spans="1:6" x14ac:dyDescent="0.25">
      <c r="D13">
        <v>1003</v>
      </c>
      <c r="E13" t="s">
        <v>315</v>
      </c>
      <c r="F13" s="4">
        <f>HLOOKUP($E$4,'8.9 Bourgeoisie bilan'!$F$3:$S$228,8,0)</f>
        <v>0</v>
      </c>
    </row>
    <row r="14" spans="1:6" x14ac:dyDescent="0.25">
      <c r="D14">
        <v>1004</v>
      </c>
      <c r="E14" t="s">
        <v>316</v>
      </c>
      <c r="F14" s="4">
        <f>HLOOKUP($E$4,'8.9 Bourgeoisie bilan'!$F$3:$S$228,9,0)</f>
        <v>0</v>
      </c>
    </row>
    <row r="15" spans="1:6" x14ac:dyDescent="0.25">
      <c r="D15">
        <v>1009</v>
      </c>
      <c r="E15" t="s">
        <v>317</v>
      </c>
      <c r="F15" s="4">
        <f>HLOOKUP($E$4,'8.9 Bourgeoisie bilan'!$F$3:$S$228,10,0)</f>
        <v>0</v>
      </c>
    </row>
    <row r="16" spans="1:6" x14ac:dyDescent="0.25">
      <c r="F16" s="4"/>
    </row>
    <row r="17" spans="1:6" x14ac:dyDescent="0.25">
      <c r="A17" s="79"/>
      <c r="B17" s="79"/>
      <c r="C17" s="69">
        <v>101</v>
      </c>
      <c r="D17" s="69"/>
      <c r="E17" s="69" t="s">
        <v>242</v>
      </c>
      <c r="F17" s="70">
        <f>HLOOKUP($E$4,'8.9 Bourgeoisie bilan'!$F$3:$S$228,12,0)</f>
        <v>0</v>
      </c>
    </row>
    <row r="18" spans="1:6" x14ac:dyDescent="0.25">
      <c r="D18">
        <v>1010</v>
      </c>
      <c r="E18" t="s">
        <v>318</v>
      </c>
      <c r="F18" s="4">
        <f>HLOOKUP($E$4,'8.9 Bourgeoisie bilan'!$F$3:$S$228,13,0)</f>
        <v>0</v>
      </c>
    </row>
    <row r="19" spans="1:6" x14ac:dyDescent="0.25">
      <c r="D19">
        <v>1011</v>
      </c>
      <c r="E19" t="s">
        <v>399</v>
      </c>
      <c r="F19" s="4">
        <f>HLOOKUP($E$4,'8.9 Bourgeoisie bilan'!$F$3:$S$228,14,0)</f>
        <v>0</v>
      </c>
    </row>
    <row r="20" spans="1:6" x14ac:dyDescent="0.25">
      <c r="D20">
        <v>1012</v>
      </c>
      <c r="E20" t="s">
        <v>319</v>
      </c>
      <c r="F20" s="4">
        <f>HLOOKUP($E$4,'8.9 Bourgeoisie bilan'!$F$3:$S$228,15,0)</f>
        <v>0</v>
      </c>
    </row>
    <row r="21" spans="1:6" x14ac:dyDescent="0.25">
      <c r="D21">
        <v>1013</v>
      </c>
      <c r="E21" t="s">
        <v>320</v>
      </c>
      <c r="F21" s="4">
        <f>HLOOKUP($E$4,'8.9 Bourgeoisie bilan'!$F$3:$S$228,16,0)</f>
        <v>0</v>
      </c>
    </row>
    <row r="22" spans="1:6" x14ac:dyDescent="0.25">
      <c r="D22">
        <v>1014</v>
      </c>
      <c r="E22" t="s">
        <v>321</v>
      </c>
      <c r="F22" s="4">
        <f>HLOOKUP($E$4,'8.9 Bourgeoisie bilan'!$F$3:$S$228,17,0)</f>
        <v>0</v>
      </c>
    </row>
    <row r="23" spans="1:6" x14ac:dyDescent="0.25">
      <c r="D23">
        <v>1015</v>
      </c>
      <c r="E23" t="s">
        <v>323</v>
      </c>
      <c r="F23" s="4">
        <f>HLOOKUP($E$4,'8.9 Bourgeoisie bilan'!$F$3:$S$228,18,0)</f>
        <v>0</v>
      </c>
    </row>
    <row r="24" spans="1:6" x14ac:dyDescent="0.25">
      <c r="D24">
        <v>1016</v>
      </c>
      <c r="E24" t="s">
        <v>324</v>
      </c>
      <c r="F24" s="4">
        <f>HLOOKUP($E$4,'8.9 Bourgeoisie bilan'!$F$3:$S$228,19,0)</f>
        <v>0</v>
      </c>
    </row>
    <row r="25" spans="1:6" x14ac:dyDescent="0.25">
      <c r="D25">
        <v>1019</v>
      </c>
      <c r="E25" t="s">
        <v>325</v>
      </c>
      <c r="F25" s="4">
        <f>HLOOKUP($E$4,'8.9 Bourgeoisie bilan'!$F$3:$S$228,20,0)</f>
        <v>0</v>
      </c>
    </row>
    <row r="26" spans="1:6" x14ac:dyDescent="0.25">
      <c r="F26" s="4"/>
    </row>
    <row r="27" spans="1:6" x14ac:dyDescent="0.25">
      <c r="C27" s="69">
        <v>102</v>
      </c>
      <c r="D27" s="69"/>
      <c r="E27" s="69" t="s">
        <v>243</v>
      </c>
      <c r="F27" s="70">
        <f>HLOOKUP($E$4,'8.9 Bourgeoisie bilan'!$F$3:$S$228,22,0)</f>
        <v>0</v>
      </c>
    </row>
    <row r="28" spans="1:6" x14ac:dyDescent="0.25">
      <c r="D28">
        <v>1020</v>
      </c>
      <c r="E28" t="s">
        <v>326</v>
      </c>
      <c r="F28" s="4">
        <f>HLOOKUP($E$4,'8.9 Bourgeoisie bilan'!$F$3:$S$228,23,0)</f>
        <v>0</v>
      </c>
    </row>
    <row r="29" spans="1:6" x14ac:dyDescent="0.25">
      <c r="D29">
        <v>1022</v>
      </c>
      <c r="E29" t="s">
        <v>327</v>
      </c>
      <c r="F29" s="4">
        <f>HLOOKUP($E$4,'8.9 Bourgeoisie bilan'!$F$3:$S$228,24,0)</f>
        <v>0</v>
      </c>
    </row>
    <row r="30" spans="1:6" x14ac:dyDescent="0.25">
      <c r="D30">
        <v>1023</v>
      </c>
      <c r="E30" t="s">
        <v>328</v>
      </c>
      <c r="F30" s="4">
        <f>HLOOKUP($E$4,'8.9 Bourgeoisie bilan'!$F$3:$S$228,25,0)</f>
        <v>0</v>
      </c>
    </row>
    <row r="31" spans="1:6" x14ac:dyDescent="0.25">
      <c r="D31">
        <v>1029</v>
      </c>
      <c r="E31" t="s">
        <v>329</v>
      </c>
      <c r="F31" s="4">
        <f>HLOOKUP($E$4,'8.9 Bourgeoisie bilan'!$F$3:$S$228,26,0)</f>
        <v>0</v>
      </c>
    </row>
    <row r="32" spans="1:6" x14ac:dyDescent="0.25">
      <c r="F32" s="4"/>
    </row>
    <row r="33" spans="3:6" x14ac:dyDescent="0.25">
      <c r="C33" s="69">
        <v>104</v>
      </c>
      <c r="D33" s="69"/>
      <c r="E33" s="69" t="s">
        <v>244</v>
      </c>
      <c r="F33" s="70">
        <f>HLOOKUP($E$4,'8.9 Bourgeoisie bilan'!$F$3:$S$228,28,0)</f>
        <v>0</v>
      </c>
    </row>
    <row r="34" spans="3:6" x14ac:dyDescent="0.25">
      <c r="D34">
        <v>1040</v>
      </c>
      <c r="E34" t="s">
        <v>61</v>
      </c>
      <c r="F34" s="4">
        <f>HLOOKUP($E$4,'8.9 Bourgeoisie bilan'!$F$3:$S$228,29,0)</f>
        <v>0</v>
      </c>
    </row>
    <row r="35" spans="3:6" x14ac:dyDescent="0.25">
      <c r="D35">
        <v>1041</v>
      </c>
      <c r="E35" t="s">
        <v>330</v>
      </c>
      <c r="F35" s="4">
        <f>HLOOKUP($E$4,'8.9 Bourgeoisie bilan'!$F$3:$S$228,30,0)</f>
        <v>0</v>
      </c>
    </row>
    <row r="36" spans="3:6" x14ac:dyDescent="0.25">
      <c r="D36">
        <v>1042</v>
      </c>
      <c r="E36" t="s">
        <v>331</v>
      </c>
      <c r="F36" s="4">
        <f>HLOOKUP($E$4,'8.9 Bourgeoisie bilan'!$F$3:$S$228,31,0)</f>
        <v>0</v>
      </c>
    </row>
    <row r="37" spans="3:6" x14ac:dyDescent="0.25">
      <c r="D37">
        <v>1043</v>
      </c>
      <c r="E37" t="s">
        <v>332</v>
      </c>
      <c r="F37" s="4">
        <f>HLOOKUP($E$4,'8.9 Bourgeoisie bilan'!$F$3:$S$228,32,0)</f>
        <v>0</v>
      </c>
    </row>
    <row r="38" spans="3:6" x14ac:dyDescent="0.25">
      <c r="D38">
        <v>1044</v>
      </c>
      <c r="E38" t="s">
        <v>333</v>
      </c>
      <c r="F38" s="4">
        <f>HLOOKUP($E$4,'8.9 Bourgeoisie bilan'!$F$3:$S$228,33,0)</f>
        <v>0</v>
      </c>
    </row>
    <row r="39" spans="3:6" x14ac:dyDescent="0.25">
      <c r="D39">
        <v>1045</v>
      </c>
      <c r="E39" t="s">
        <v>334</v>
      </c>
      <c r="F39" s="4">
        <f>HLOOKUP($E$4,'8.9 Bourgeoisie bilan'!$F$3:$S$228,34,0)</f>
        <v>0</v>
      </c>
    </row>
    <row r="40" spans="3:6" x14ac:dyDescent="0.25">
      <c r="D40">
        <v>1046</v>
      </c>
      <c r="E40" t="s">
        <v>335</v>
      </c>
      <c r="F40" s="4">
        <f>HLOOKUP($E$4,'8.9 Bourgeoisie bilan'!$F$3:$S$228,35,0)</f>
        <v>0</v>
      </c>
    </row>
    <row r="41" spans="3:6" x14ac:dyDescent="0.25">
      <c r="D41">
        <v>1049</v>
      </c>
      <c r="E41" t="s">
        <v>336</v>
      </c>
      <c r="F41" s="4">
        <f>HLOOKUP($E$4,'8.9 Bourgeoisie bilan'!$F$3:$S$228,36,0)</f>
        <v>0</v>
      </c>
    </row>
    <row r="42" spans="3:6" x14ac:dyDescent="0.25">
      <c r="F42" s="4"/>
    </row>
    <row r="43" spans="3:6" x14ac:dyDescent="0.25">
      <c r="C43" s="69">
        <v>106</v>
      </c>
      <c r="D43" s="69"/>
      <c r="E43" s="69" t="s">
        <v>245</v>
      </c>
      <c r="F43" s="70">
        <f>HLOOKUP($E$4,'8.9 Bourgeoisie bilan'!$F$3:$S$228,38,0)</f>
        <v>0</v>
      </c>
    </row>
    <row r="44" spans="3:6" x14ac:dyDescent="0.25">
      <c r="D44">
        <v>1060</v>
      </c>
      <c r="E44" t="s">
        <v>337</v>
      </c>
      <c r="F44" s="4">
        <f>HLOOKUP($E$4,'8.9 Bourgeoisie bilan'!$F$3:$S$228,39,0)</f>
        <v>0</v>
      </c>
    </row>
    <row r="45" spans="3:6" x14ac:dyDescent="0.25">
      <c r="D45">
        <v>1061</v>
      </c>
      <c r="E45" t="s">
        <v>338</v>
      </c>
      <c r="F45" s="4">
        <f>HLOOKUP($E$4,'8.9 Bourgeoisie bilan'!$F$3:$S$228,40,0)</f>
        <v>0</v>
      </c>
    </row>
    <row r="46" spans="3:6" x14ac:dyDescent="0.25">
      <c r="D46">
        <v>1062</v>
      </c>
      <c r="E46" t="s">
        <v>339</v>
      </c>
      <c r="F46" s="4">
        <f>HLOOKUP($E$4,'8.9 Bourgeoisie bilan'!$F$3:$S$228,41,0)</f>
        <v>0</v>
      </c>
    </row>
    <row r="47" spans="3:6" x14ac:dyDescent="0.25">
      <c r="D47">
        <v>1063</v>
      </c>
      <c r="E47" t="s">
        <v>340</v>
      </c>
      <c r="F47" s="4">
        <f>HLOOKUP($E$4,'8.9 Bourgeoisie bilan'!$F$3:$S$228,42,0)</f>
        <v>0</v>
      </c>
    </row>
    <row r="48" spans="3:6" x14ac:dyDescent="0.25">
      <c r="D48">
        <v>1068</v>
      </c>
      <c r="E48" t="s">
        <v>341</v>
      </c>
      <c r="F48" s="4">
        <f>HLOOKUP($E$4,'8.9 Bourgeoisie bilan'!$F$3:$S$228,43,0)</f>
        <v>0</v>
      </c>
    </row>
    <row r="49" spans="3:6" x14ac:dyDescent="0.25">
      <c r="F49" s="4"/>
    </row>
    <row r="50" spans="3:6" x14ac:dyDescent="0.25">
      <c r="C50" s="69">
        <v>107</v>
      </c>
      <c r="D50" s="69"/>
      <c r="E50" s="69" t="s">
        <v>346</v>
      </c>
      <c r="F50" s="70">
        <f>HLOOKUP($E$4,'8.9 Bourgeoisie bilan'!$F$3:$S$228,45,0)</f>
        <v>202</v>
      </c>
    </row>
    <row r="51" spans="3:6" x14ac:dyDescent="0.25">
      <c r="D51">
        <v>1070</v>
      </c>
      <c r="E51" t="s">
        <v>342</v>
      </c>
      <c r="F51" s="4">
        <f>HLOOKUP($E$4,'8.9 Bourgeoisie bilan'!$F$3:$S$228,46,0)</f>
        <v>202</v>
      </c>
    </row>
    <row r="52" spans="3:6" x14ac:dyDescent="0.25">
      <c r="D52">
        <v>1071</v>
      </c>
      <c r="E52" t="s">
        <v>343</v>
      </c>
      <c r="F52" s="4">
        <f>HLOOKUP($E$4,'8.9 Bourgeoisie bilan'!$F$3:$S$228,47,0)</f>
        <v>0</v>
      </c>
    </row>
    <row r="53" spans="3:6" x14ac:dyDescent="0.25">
      <c r="D53">
        <v>1072</v>
      </c>
      <c r="E53" t="s">
        <v>344</v>
      </c>
      <c r="F53" s="4">
        <f>HLOOKUP($E$4,'8.9 Bourgeoisie bilan'!$F$3:$S$228,48,0)</f>
        <v>0</v>
      </c>
    </row>
    <row r="54" spans="3:6" x14ac:dyDescent="0.25">
      <c r="D54">
        <v>1079</v>
      </c>
      <c r="E54" t="s">
        <v>345</v>
      </c>
      <c r="F54" s="4">
        <f>HLOOKUP($E$4,'8.9 Bourgeoisie bilan'!$F$3:$S$228,49,0)</f>
        <v>0</v>
      </c>
    </row>
    <row r="55" spans="3:6" x14ac:dyDescent="0.25">
      <c r="F55" s="4"/>
    </row>
    <row r="56" spans="3:6" x14ac:dyDescent="0.25">
      <c r="C56" s="69">
        <v>108</v>
      </c>
      <c r="D56" s="69"/>
      <c r="E56" s="69" t="s">
        <v>246</v>
      </c>
      <c r="F56" s="70">
        <f>HLOOKUP($E$4,'8.9 Bourgeoisie bilan'!$F$3:$S$228,51,0)</f>
        <v>0</v>
      </c>
    </row>
    <row r="57" spans="3:6" x14ac:dyDescent="0.25">
      <c r="D57">
        <v>1080</v>
      </c>
      <c r="E57" t="s">
        <v>347</v>
      </c>
      <c r="F57" s="4">
        <f>HLOOKUP($E$4,'8.9 Bourgeoisie bilan'!$F$3:$S$228,52,0)</f>
        <v>0</v>
      </c>
    </row>
    <row r="58" spans="3:6" x14ac:dyDescent="0.25">
      <c r="D58">
        <v>1084</v>
      </c>
      <c r="E58" t="s">
        <v>348</v>
      </c>
      <c r="F58" s="4">
        <f>HLOOKUP($E$4,'8.9 Bourgeoisie bilan'!$F$3:$S$228,53,0)</f>
        <v>0</v>
      </c>
    </row>
    <row r="59" spans="3:6" x14ac:dyDescent="0.25">
      <c r="D59">
        <v>1086</v>
      </c>
      <c r="E59" t="s">
        <v>349</v>
      </c>
      <c r="F59" s="4">
        <f>HLOOKUP($E$4,'8.9 Bourgeoisie bilan'!$F$3:$S$228,54,0)</f>
        <v>0</v>
      </c>
    </row>
    <row r="60" spans="3:6" x14ac:dyDescent="0.25">
      <c r="D60">
        <v>1087</v>
      </c>
      <c r="E60" t="s">
        <v>350</v>
      </c>
      <c r="F60" s="4">
        <f>HLOOKUP($E$4,'8.9 Bourgeoisie bilan'!$F$3:$S$228,55,0)</f>
        <v>0</v>
      </c>
    </row>
    <row r="61" spans="3:6" x14ac:dyDescent="0.25">
      <c r="D61">
        <v>1088</v>
      </c>
      <c r="E61" t="s">
        <v>351</v>
      </c>
      <c r="F61" s="4">
        <f>HLOOKUP($E$4,'8.9 Bourgeoisie bilan'!$F$3:$S$228,56,0)</f>
        <v>0</v>
      </c>
    </row>
    <row r="62" spans="3:6" x14ac:dyDescent="0.25">
      <c r="D62">
        <v>1089</v>
      </c>
      <c r="E62" t="s">
        <v>352</v>
      </c>
      <c r="F62" s="4">
        <f>HLOOKUP($E$4,'8.9 Bourgeoisie bilan'!$F$3:$S$228,57,0)</f>
        <v>0</v>
      </c>
    </row>
    <row r="63" spans="3:6" x14ac:dyDescent="0.25">
      <c r="F63" s="4"/>
    </row>
    <row r="64" spans="3:6" x14ac:dyDescent="0.25">
      <c r="C64" s="69">
        <v>109</v>
      </c>
      <c r="D64" s="69"/>
      <c r="E64" s="69" t="s">
        <v>353</v>
      </c>
      <c r="F64" s="70">
        <f>HLOOKUP($E$4,'8.9 Bourgeoisie bilan'!$F$3:$S$228,59,0)</f>
        <v>0</v>
      </c>
    </row>
    <row r="65" spans="2:6" x14ac:dyDescent="0.25">
      <c r="D65">
        <v>1090</v>
      </c>
      <c r="E65" t="s">
        <v>353</v>
      </c>
      <c r="F65" s="4">
        <f>HLOOKUP($E$4,'8.9 Bourgeoisie bilan'!$F$3:$S$228,60,0)</f>
        <v>0</v>
      </c>
    </row>
    <row r="66" spans="2:6" x14ac:dyDescent="0.25">
      <c r="D66">
        <v>1091</v>
      </c>
      <c r="E66" t="s">
        <v>354</v>
      </c>
      <c r="F66" s="4">
        <f>HLOOKUP($E$4,'8.9 Bourgeoisie bilan'!$F$3:$S$228,61,0)</f>
        <v>0</v>
      </c>
    </row>
    <row r="67" spans="2:6" x14ac:dyDescent="0.25">
      <c r="D67">
        <v>1092</v>
      </c>
      <c r="E67" t="s">
        <v>355</v>
      </c>
      <c r="F67" s="4">
        <f>HLOOKUP($E$4,'8.9 Bourgeoisie bilan'!$F$3:$S$228,62,0)</f>
        <v>0</v>
      </c>
    </row>
    <row r="68" spans="2:6" x14ac:dyDescent="0.25">
      <c r="D68">
        <v>1093</v>
      </c>
      <c r="E68" t="s">
        <v>356</v>
      </c>
      <c r="F68" s="4">
        <f>HLOOKUP($E$4,'8.9 Bourgeoisie bilan'!$F$3:$S$228,63,0)</f>
        <v>0</v>
      </c>
    </row>
    <row r="69" spans="2:6" x14ac:dyDescent="0.25">
      <c r="F69" s="4"/>
    </row>
    <row r="70" spans="2:6" x14ac:dyDescent="0.25">
      <c r="B70" s="76">
        <v>14</v>
      </c>
      <c r="C70" s="76"/>
      <c r="D70" s="76"/>
      <c r="E70" s="76" t="s">
        <v>247</v>
      </c>
      <c r="F70" s="77">
        <f>HLOOKUP($E$4,'8.9 Bourgeoisie bilan'!$F$3:$S$228,65,0)</f>
        <v>20713</v>
      </c>
    </row>
    <row r="71" spans="2:6" x14ac:dyDescent="0.25">
      <c r="C71" s="69">
        <v>140</v>
      </c>
      <c r="D71" s="69"/>
      <c r="E71" s="69" t="s">
        <v>249</v>
      </c>
      <c r="F71" s="70">
        <f>HLOOKUP($E$4,'8.9 Bourgeoisie bilan'!$F$3:$S$228,66,0)</f>
        <v>20713</v>
      </c>
    </row>
    <row r="72" spans="2:6" x14ac:dyDescent="0.25">
      <c r="D72">
        <v>1400</v>
      </c>
      <c r="E72" t="s">
        <v>357</v>
      </c>
      <c r="F72" s="4">
        <f>HLOOKUP($E$4,'8.9 Bourgeoisie bilan'!$F$3:$S$228,67,0)</f>
        <v>0</v>
      </c>
    </row>
    <row r="73" spans="2:6" x14ac:dyDescent="0.25">
      <c r="D73">
        <v>1401</v>
      </c>
      <c r="E73" t="s">
        <v>358</v>
      </c>
      <c r="F73" s="4">
        <f>HLOOKUP($E$4,'8.9 Bourgeoisie bilan'!$F$3:$S$228,68,0)</f>
        <v>0</v>
      </c>
    </row>
    <row r="74" spans="2:6" x14ac:dyDescent="0.25">
      <c r="D74">
        <v>1402</v>
      </c>
      <c r="E74" t="s">
        <v>359</v>
      </c>
      <c r="F74" s="4">
        <f>HLOOKUP($E$4,'8.9 Bourgeoisie bilan'!$F$3:$S$228,69,0)</f>
        <v>1</v>
      </c>
    </row>
    <row r="75" spans="2:6" x14ac:dyDescent="0.25">
      <c r="D75">
        <v>1403</v>
      </c>
      <c r="E75" t="s">
        <v>360</v>
      </c>
      <c r="F75" s="4">
        <f>HLOOKUP($E$4,'8.9 Bourgeoisie bilan'!$F$3:$S$228,70,0)</f>
        <v>0</v>
      </c>
    </row>
    <row r="76" spans="2:6" x14ac:dyDescent="0.25">
      <c r="D76">
        <v>1404</v>
      </c>
      <c r="E76" t="s">
        <v>361</v>
      </c>
      <c r="F76" s="4">
        <f>HLOOKUP($E$4,'8.9 Bourgeoisie bilan'!$F$3:$S$228,71,0)</f>
        <v>2601</v>
      </c>
    </row>
    <row r="77" spans="2:6" x14ac:dyDescent="0.25">
      <c r="D77">
        <v>1405</v>
      </c>
      <c r="E77" t="s">
        <v>362</v>
      </c>
      <c r="F77" s="4">
        <f>HLOOKUP($E$4,'8.9 Bourgeoisie bilan'!$F$3:$S$228,72,0)</f>
        <v>18110</v>
      </c>
    </row>
    <row r="78" spans="2:6" x14ac:dyDescent="0.25">
      <c r="D78">
        <v>1406</v>
      </c>
      <c r="E78" t="s">
        <v>363</v>
      </c>
      <c r="F78" s="4">
        <f>HLOOKUP($E$4,'8.9 Bourgeoisie bilan'!$F$3:$S$228,73,0)</f>
        <v>1</v>
      </c>
    </row>
    <row r="79" spans="2:6" x14ac:dyDescent="0.25">
      <c r="D79">
        <v>1407</v>
      </c>
      <c r="E79" t="s">
        <v>364</v>
      </c>
      <c r="F79" s="4">
        <f>HLOOKUP($E$4,'8.9 Bourgeoisie bilan'!$F$3:$S$228,74,0)</f>
        <v>0</v>
      </c>
    </row>
    <row r="80" spans="2:6" x14ac:dyDescent="0.25">
      <c r="D80">
        <v>1409</v>
      </c>
      <c r="E80" t="s">
        <v>365</v>
      </c>
      <c r="F80" s="4">
        <f>HLOOKUP($E$4,'8.9 Bourgeoisie bilan'!$F$3:$S$228,75,0)</f>
        <v>0</v>
      </c>
    </row>
    <row r="81" spans="3:6" x14ac:dyDescent="0.25">
      <c r="F81" s="4"/>
    </row>
    <row r="82" spans="3:6" x14ac:dyDescent="0.25">
      <c r="C82" s="69">
        <v>142</v>
      </c>
      <c r="D82" s="69"/>
      <c r="E82" s="69" t="s">
        <v>581</v>
      </c>
      <c r="F82" s="70">
        <f>HLOOKUP($E$4,'8.9 Bourgeoisie bilan'!$F$3:$S$228,77,0)</f>
        <v>0</v>
      </c>
    </row>
    <row r="83" spans="3:6" x14ac:dyDescent="0.25">
      <c r="D83" s="79">
        <v>1420</v>
      </c>
      <c r="E83" s="79" t="s">
        <v>366</v>
      </c>
      <c r="F83" s="4">
        <f>HLOOKUP($E$4,'8.9 Bourgeoisie bilan'!$F$3:$S$228,78,0)</f>
        <v>0</v>
      </c>
    </row>
    <row r="84" spans="3:6" x14ac:dyDescent="0.25">
      <c r="D84" s="79">
        <v>1421</v>
      </c>
      <c r="E84" s="79" t="s">
        <v>367</v>
      </c>
      <c r="F84" s="4">
        <f>HLOOKUP($E$4,'8.9 Bourgeoisie bilan'!$F$3:$S$228,79,0)</f>
        <v>0</v>
      </c>
    </row>
    <row r="85" spans="3:6" x14ac:dyDescent="0.25">
      <c r="D85" s="79">
        <v>1427</v>
      </c>
      <c r="E85" s="79" t="s">
        <v>580</v>
      </c>
      <c r="F85" s="4">
        <f>HLOOKUP($E$4,'8.9 Bourgeoisie bilan'!$F$3:$S$228,80,0)</f>
        <v>0</v>
      </c>
    </row>
    <row r="86" spans="3:6" x14ac:dyDescent="0.25">
      <c r="D86" s="79">
        <v>1429</v>
      </c>
      <c r="E86" s="79" t="s">
        <v>465</v>
      </c>
      <c r="F86" s="4">
        <f>HLOOKUP($E$4,'8.9 Bourgeoisie bilan'!$F$3:$S$228,81,0)</f>
        <v>0</v>
      </c>
    </row>
    <row r="87" spans="3:6" x14ac:dyDescent="0.25">
      <c r="F87" s="4"/>
    </row>
    <row r="88" spans="3:6" x14ac:dyDescent="0.25">
      <c r="C88" s="69">
        <v>144</v>
      </c>
      <c r="D88" s="69"/>
      <c r="E88" s="69" t="s">
        <v>250</v>
      </c>
      <c r="F88" s="70">
        <f>HLOOKUP($E$4,'8.9 Bourgeoisie bilan'!$F$3:$S$228,83,0)</f>
        <v>0</v>
      </c>
    </row>
    <row r="89" spans="3:6" x14ac:dyDescent="0.25">
      <c r="D89">
        <v>1440</v>
      </c>
      <c r="E89" t="s">
        <v>368</v>
      </c>
      <c r="F89" s="4">
        <f>HLOOKUP($E$4,'8.9 Bourgeoisie bilan'!$F$3:$S$228,83,0)</f>
        <v>0</v>
      </c>
    </row>
    <row r="90" spans="3:6" x14ac:dyDescent="0.25">
      <c r="D90">
        <v>1441</v>
      </c>
      <c r="E90" t="s">
        <v>370</v>
      </c>
      <c r="F90" s="4">
        <f>HLOOKUP($E$4,'8.9 Bourgeoisie bilan'!$F$3:$S$228,85,0)</f>
        <v>0</v>
      </c>
    </row>
    <row r="91" spans="3:6" x14ac:dyDescent="0.25">
      <c r="D91">
        <v>1442</v>
      </c>
      <c r="E91" t="s">
        <v>369</v>
      </c>
      <c r="F91" s="4">
        <f>HLOOKUP($E$4,'8.9 Bourgeoisie bilan'!$F$3:$S$228,86,0)</f>
        <v>0</v>
      </c>
    </row>
    <row r="92" spans="3:6" x14ac:dyDescent="0.25">
      <c r="D92">
        <v>1443</v>
      </c>
      <c r="E92" t="s">
        <v>371</v>
      </c>
      <c r="F92" s="4">
        <f>HLOOKUP($E$4,'8.9 Bourgeoisie bilan'!$F$3:$S$228,87,0)</f>
        <v>0</v>
      </c>
    </row>
    <row r="93" spans="3:6" x14ac:dyDescent="0.25">
      <c r="D93">
        <v>1444</v>
      </c>
      <c r="E93" t="s">
        <v>372</v>
      </c>
      <c r="F93" s="4">
        <f>HLOOKUP($E$4,'8.9 Bourgeoisie bilan'!$F$3:$S$228,88,0)</f>
        <v>0</v>
      </c>
    </row>
    <row r="94" spans="3:6" x14ac:dyDescent="0.25">
      <c r="D94">
        <v>1445</v>
      </c>
      <c r="E94" t="s">
        <v>373</v>
      </c>
      <c r="F94" s="4">
        <f>HLOOKUP($E$4,'8.9 Bourgeoisie bilan'!$F$3:$S$228,89,0)</f>
        <v>0</v>
      </c>
    </row>
    <row r="95" spans="3:6" x14ac:dyDescent="0.25">
      <c r="D95">
        <v>1446</v>
      </c>
      <c r="E95" t="s">
        <v>374</v>
      </c>
      <c r="F95" s="4">
        <f>HLOOKUP($E$4,'8.9 Bourgeoisie bilan'!$F$3:$S$228,90,0)</f>
        <v>0</v>
      </c>
    </row>
    <row r="96" spans="3:6" x14ac:dyDescent="0.25">
      <c r="D96">
        <v>1447</v>
      </c>
      <c r="E96" t="s">
        <v>375</v>
      </c>
      <c r="F96" s="4">
        <f>HLOOKUP($E$4,'8.9 Bourgeoisie bilan'!$F$3:$S$228,91,0)</f>
        <v>0</v>
      </c>
    </row>
    <row r="97" spans="3:6" x14ac:dyDescent="0.25">
      <c r="D97">
        <v>1448</v>
      </c>
      <c r="E97" t="s">
        <v>376</v>
      </c>
      <c r="F97" s="4">
        <f>HLOOKUP($E$4,'8.9 Bourgeoisie bilan'!$F$3:$S$228,92,0)</f>
        <v>0</v>
      </c>
    </row>
    <row r="98" spans="3:6" x14ac:dyDescent="0.25">
      <c r="F98" s="4"/>
    </row>
    <row r="99" spans="3:6" x14ac:dyDescent="0.25">
      <c r="C99" s="69">
        <v>145</v>
      </c>
      <c r="D99" s="69"/>
      <c r="E99" s="69" t="s">
        <v>379</v>
      </c>
      <c r="F99" s="70">
        <f>HLOOKUP($E$4,'8.9 Bourgeoisie bilan'!$F$3:$S$228,94,0)</f>
        <v>0</v>
      </c>
    </row>
    <row r="100" spans="3:6" x14ac:dyDescent="0.25">
      <c r="D100">
        <v>1450</v>
      </c>
      <c r="E100" t="s">
        <v>378</v>
      </c>
      <c r="F100" s="4">
        <f>HLOOKUP($E$4,'8.9 Bourgeoisie bilan'!$F$3:$S$228,95,0)</f>
        <v>0</v>
      </c>
    </row>
    <row r="101" spans="3:6" x14ac:dyDescent="0.25">
      <c r="D101">
        <v>1451</v>
      </c>
      <c r="E101" t="s">
        <v>377</v>
      </c>
      <c r="F101" s="4">
        <f>HLOOKUP($E$4,'8.9 Bourgeoisie bilan'!$F$3:$S$228,96,0)</f>
        <v>0</v>
      </c>
    </row>
    <row r="102" spans="3:6" x14ac:dyDescent="0.25">
      <c r="D102">
        <v>1452</v>
      </c>
      <c r="E102" t="s">
        <v>380</v>
      </c>
      <c r="F102" s="4">
        <f>HLOOKUP($E$4,'8.9 Bourgeoisie bilan'!$F$3:$S$228,97,0)</f>
        <v>0</v>
      </c>
    </row>
    <row r="103" spans="3:6" x14ac:dyDescent="0.25">
      <c r="D103">
        <v>1453</v>
      </c>
      <c r="E103" t="s">
        <v>381</v>
      </c>
      <c r="F103" s="4">
        <f>HLOOKUP($E$4,'8.9 Bourgeoisie bilan'!$F$3:$S$228,98,0)</f>
        <v>0</v>
      </c>
    </row>
    <row r="104" spans="3:6" x14ac:dyDescent="0.25">
      <c r="D104">
        <v>1454</v>
      </c>
      <c r="E104" t="s">
        <v>382</v>
      </c>
      <c r="F104" s="4">
        <f>HLOOKUP($E$4,'8.9 Bourgeoisie bilan'!$F$3:$S$228,99,0)</f>
        <v>0</v>
      </c>
    </row>
    <row r="105" spans="3:6" x14ac:dyDescent="0.25">
      <c r="D105">
        <v>1455</v>
      </c>
      <c r="E105" t="s">
        <v>383</v>
      </c>
      <c r="F105" s="4">
        <f>HLOOKUP($E$4,'8.9 Bourgeoisie bilan'!$F$3:$S$228,100,0)</f>
        <v>0</v>
      </c>
    </row>
    <row r="106" spans="3:6" x14ac:dyDescent="0.25">
      <c r="D106">
        <v>1456</v>
      </c>
      <c r="E106" t="s">
        <v>384</v>
      </c>
      <c r="F106" s="4">
        <f>HLOOKUP($E$4,'8.9 Bourgeoisie bilan'!$F$3:$S$228,101,0)</f>
        <v>0</v>
      </c>
    </row>
    <row r="107" spans="3:6" x14ac:dyDescent="0.25">
      <c r="D107">
        <v>1457</v>
      </c>
      <c r="E107" t="s">
        <v>385</v>
      </c>
      <c r="F107" s="4">
        <f>HLOOKUP($E$4,'8.9 Bourgeoisie bilan'!$F$3:$S$228,102,0)</f>
        <v>0</v>
      </c>
    </row>
    <row r="108" spans="3:6" x14ac:dyDescent="0.25">
      <c r="D108">
        <v>1458</v>
      </c>
      <c r="E108" t="s">
        <v>386</v>
      </c>
      <c r="F108" s="4">
        <f>HLOOKUP($E$4,'8.9 Bourgeoisie bilan'!$F$3:$S$228,103,0)</f>
        <v>0</v>
      </c>
    </row>
    <row r="109" spans="3:6" x14ac:dyDescent="0.25">
      <c r="F109" s="4"/>
    </row>
    <row r="110" spans="3:6" x14ac:dyDescent="0.25">
      <c r="C110" s="69">
        <v>146</v>
      </c>
      <c r="D110" s="69"/>
      <c r="E110" s="69" t="s">
        <v>397</v>
      </c>
      <c r="F110" s="70">
        <f>HLOOKUP($E$4,'8.9 Bourgeoisie bilan'!$F$3:$S$228,105,0)</f>
        <v>0</v>
      </c>
    </row>
    <row r="111" spans="3:6" x14ac:dyDescent="0.25">
      <c r="D111">
        <v>1460</v>
      </c>
      <c r="E111" t="s">
        <v>394</v>
      </c>
      <c r="F111" s="4">
        <f>HLOOKUP($E$4,'8.9 Bourgeoisie bilan'!$F$3:$S$228,106,0)</f>
        <v>0</v>
      </c>
    </row>
    <row r="112" spans="3:6" x14ac:dyDescent="0.25">
      <c r="D112">
        <v>1461</v>
      </c>
      <c r="E112" t="s">
        <v>395</v>
      </c>
      <c r="F112" s="4">
        <f>HLOOKUP($E$4,'8.9 Bourgeoisie bilan'!$F$3:$S$228,107,0)</f>
        <v>0</v>
      </c>
    </row>
    <row r="113" spans="1:6" x14ac:dyDescent="0.25">
      <c r="D113">
        <v>1462</v>
      </c>
      <c r="E113" t="s">
        <v>387</v>
      </c>
      <c r="F113" s="4">
        <f>HLOOKUP($E$4,'8.9 Bourgeoisie bilan'!$F$3:$S$228,108,0)</f>
        <v>0</v>
      </c>
    </row>
    <row r="114" spans="1:6" x14ac:dyDescent="0.25">
      <c r="D114">
        <v>1463</v>
      </c>
      <c r="E114" t="s">
        <v>388</v>
      </c>
      <c r="F114" s="4">
        <f>HLOOKUP($E$4,'8.9 Bourgeoisie bilan'!$F$3:$S$228,109,0)</f>
        <v>0</v>
      </c>
    </row>
    <row r="115" spans="1:6" x14ac:dyDescent="0.25">
      <c r="D115">
        <v>1464</v>
      </c>
      <c r="E115" t="s">
        <v>389</v>
      </c>
      <c r="F115" s="4">
        <f>HLOOKUP($E$4,'8.9 Bourgeoisie bilan'!$F$3:$S$228,110,0)</f>
        <v>0</v>
      </c>
    </row>
    <row r="116" spans="1:6" x14ac:dyDescent="0.25">
      <c r="D116">
        <v>1465</v>
      </c>
      <c r="E116" t="s">
        <v>390</v>
      </c>
      <c r="F116" s="4">
        <f>HLOOKUP($E$4,'8.9 Bourgeoisie bilan'!$F$3:$S$228,111,0)</f>
        <v>0</v>
      </c>
    </row>
    <row r="117" spans="1:6" x14ac:dyDescent="0.25">
      <c r="D117">
        <v>1466</v>
      </c>
      <c r="E117" t="s">
        <v>396</v>
      </c>
      <c r="F117" s="4">
        <f>HLOOKUP($E$4,'8.9 Bourgeoisie bilan'!$F$3:$S$228,112,0)</f>
        <v>0</v>
      </c>
    </row>
    <row r="118" spans="1:6" x14ac:dyDescent="0.25">
      <c r="D118">
        <v>1467</v>
      </c>
      <c r="E118" t="s">
        <v>391</v>
      </c>
      <c r="F118" s="4">
        <f>HLOOKUP($E$4,'8.9 Bourgeoisie bilan'!$F$3:$S$228,113,0)</f>
        <v>0</v>
      </c>
    </row>
    <row r="119" spans="1:6" x14ac:dyDescent="0.25">
      <c r="D119">
        <v>1468</v>
      </c>
      <c r="E119" t="s">
        <v>392</v>
      </c>
      <c r="F119" s="4">
        <f>HLOOKUP($E$4,'8.9 Bourgeoisie bilan'!$F$3:$S$228,114,0)</f>
        <v>0</v>
      </c>
    </row>
    <row r="120" spans="1:6" x14ac:dyDescent="0.25">
      <c r="D120">
        <v>1469</v>
      </c>
      <c r="E120" t="s">
        <v>393</v>
      </c>
      <c r="F120" s="4">
        <f>HLOOKUP($E$4,'8.9 Bourgeoisie bilan'!$F$3:$S$228,115,0)</f>
        <v>0</v>
      </c>
    </row>
    <row r="121" spans="1:6" x14ac:dyDescent="0.25">
      <c r="F121" s="4"/>
    </row>
    <row r="122" spans="1:6" x14ac:dyDescent="0.25">
      <c r="F122" s="4"/>
    </row>
    <row r="123" spans="1:6" ht="21" x14ac:dyDescent="0.35">
      <c r="A123" s="81">
        <v>2</v>
      </c>
      <c r="B123" s="81"/>
      <c r="C123" s="81"/>
      <c r="D123" s="81"/>
      <c r="E123" s="81" t="s">
        <v>251</v>
      </c>
      <c r="F123" s="177">
        <f>HLOOKUP($E$4,'8.9 Bourgeoisie bilan'!$F$3:$S$228,118,0)</f>
        <v>112951.42</v>
      </c>
    </row>
    <row r="124" spans="1:6" x14ac:dyDescent="0.25">
      <c r="A124" s="7"/>
      <c r="B124" s="85">
        <v>20</v>
      </c>
      <c r="C124" s="85"/>
      <c r="D124" s="85"/>
      <c r="E124" s="85" t="s">
        <v>252</v>
      </c>
      <c r="F124" s="86">
        <f>HLOOKUP($E$4,'8.9 Bourgeoisie bilan'!$F$3:$S$228,119,0)</f>
        <v>15400</v>
      </c>
    </row>
    <row r="125" spans="1:6" x14ac:dyDescent="0.25">
      <c r="C125" s="83">
        <v>200</v>
      </c>
      <c r="D125" s="83"/>
      <c r="E125" s="83" t="s">
        <v>253</v>
      </c>
      <c r="F125" s="84">
        <f>HLOOKUP($E$4,'8.9 Bourgeoisie bilan'!$F$3:$S$228,120,0)</f>
        <v>0</v>
      </c>
    </row>
    <row r="126" spans="1:6" x14ac:dyDescent="0.25">
      <c r="D126">
        <v>2000</v>
      </c>
      <c r="E126" t="s">
        <v>398</v>
      </c>
      <c r="F126" s="4">
        <f>HLOOKUP($E$4,'8.9 Bourgeoisie bilan'!$F$3:$S$228,121,0)</f>
        <v>0</v>
      </c>
    </row>
    <row r="127" spans="1:6" x14ac:dyDescent="0.25">
      <c r="D127">
        <v>2001</v>
      </c>
      <c r="E127" t="s">
        <v>399</v>
      </c>
      <c r="F127" s="4">
        <f>HLOOKUP($E$4,'8.9 Bourgeoisie bilan'!$F$3:$S$228,122,0)</f>
        <v>0</v>
      </c>
    </row>
    <row r="128" spans="1:6" x14ac:dyDescent="0.25">
      <c r="D128">
        <v>2002</v>
      </c>
      <c r="E128" t="s">
        <v>400</v>
      </c>
      <c r="F128" s="4">
        <f>HLOOKUP($E$4,'8.9 Bourgeoisie bilan'!$F$3:$S$228,123,0)</f>
        <v>0</v>
      </c>
    </row>
    <row r="129" spans="3:6" x14ac:dyDescent="0.25">
      <c r="D129">
        <v>2003</v>
      </c>
      <c r="E129" t="s">
        <v>401</v>
      </c>
      <c r="F129" s="4">
        <f>HLOOKUP($E$4,'8.9 Bourgeoisie bilan'!$F$3:$S$228,124,0)</f>
        <v>0</v>
      </c>
    </row>
    <row r="130" spans="3:6" x14ac:dyDescent="0.25">
      <c r="D130">
        <v>2004</v>
      </c>
      <c r="E130" t="s">
        <v>402</v>
      </c>
      <c r="F130" s="4">
        <f>HLOOKUP($E$4,'8.9 Bourgeoisie bilan'!$F$3:$S$228,125,0)</f>
        <v>0</v>
      </c>
    </row>
    <row r="131" spans="3:6" x14ac:dyDescent="0.25">
      <c r="D131">
        <v>2005</v>
      </c>
      <c r="E131" t="s">
        <v>323</v>
      </c>
      <c r="F131" s="4">
        <f>HLOOKUP($E$4,'8.9 Bourgeoisie bilan'!$F$3:$S$228,126,0)</f>
        <v>0</v>
      </c>
    </row>
    <row r="132" spans="3:6" x14ac:dyDescent="0.25">
      <c r="D132">
        <v>2006</v>
      </c>
      <c r="E132" t="s">
        <v>447</v>
      </c>
      <c r="F132" s="4">
        <f>HLOOKUP($E$4,'8.9 Bourgeoisie bilan'!$F$3:$S$228,127,0)</f>
        <v>0</v>
      </c>
    </row>
    <row r="133" spans="3:6" x14ac:dyDescent="0.25">
      <c r="D133">
        <v>2009</v>
      </c>
      <c r="E133" t="s">
        <v>404</v>
      </c>
      <c r="F133" s="4">
        <f>HLOOKUP($E$4,'8.9 Bourgeoisie bilan'!$F$3:$S$228,128,0)</f>
        <v>0</v>
      </c>
    </row>
    <row r="134" spans="3:6" x14ac:dyDescent="0.25">
      <c r="F134" s="4"/>
    </row>
    <row r="135" spans="3:6" x14ac:dyDescent="0.25">
      <c r="C135" s="83">
        <v>201</v>
      </c>
      <c r="D135" s="83"/>
      <c r="E135" s="83" t="s">
        <v>254</v>
      </c>
      <c r="F135" s="84">
        <f>HLOOKUP($E$4,'8.9 Bourgeoisie bilan'!$F$3:$S$228,130,0)</f>
        <v>0</v>
      </c>
    </row>
    <row r="136" spans="3:6" x14ac:dyDescent="0.25">
      <c r="D136">
        <v>2010</v>
      </c>
      <c r="E136" t="s">
        <v>405</v>
      </c>
      <c r="F136" s="4">
        <f>HLOOKUP($E$4,'8.9 Bourgeoisie bilan'!$F$3:$S$228,131,0)</f>
        <v>0</v>
      </c>
    </row>
    <row r="137" spans="3:6" x14ac:dyDescent="0.25">
      <c r="D137">
        <v>2011</v>
      </c>
      <c r="E137" t="s">
        <v>406</v>
      </c>
      <c r="F137" s="4">
        <f>HLOOKUP($E$4,'8.9 Bourgeoisie bilan'!$F$3:$S$228,132,0)</f>
        <v>0</v>
      </c>
    </row>
    <row r="138" spans="3:6" x14ac:dyDescent="0.25">
      <c r="D138">
        <v>2012</v>
      </c>
      <c r="E138" t="s">
        <v>407</v>
      </c>
      <c r="F138" s="4">
        <f>HLOOKUP($E$4,'8.9 Bourgeoisie bilan'!$F$3:$S$228,133,0)</f>
        <v>0</v>
      </c>
    </row>
    <row r="139" spans="3:6" x14ac:dyDescent="0.25">
      <c r="D139">
        <v>2013</v>
      </c>
      <c r="E139" t="s">
        <v>408</v>
      </c>
      <c r="F139" s="4">
        <f>HLOOKUP($E$4,'8.9 Bourgeoisie bilan'!$F$3:$S$228,134,0)</f>
        <v>0</v>
      </c>
    </row>
    <row r="140" spans="3:6" x14ac:dyDescent="0.25">
      <c r="D140">
        <v>2014</v>
      </c>
      <c r="E140" t="s">
        <v>410</v>
      </c>
      <c r="F140" s="4">
        <f>HLOOKUP($E$4,'8.9 Bourgeoisie bilan'!$F$3:$S$228,135,0)</f>
        <v>0</v>
      </c>
    </row>
    <row r="141" spans="3:6" x14ac:dyDescent="0.25">
      <c r="D141">
        <v>2015</v>
      </c>
      <c r="E141" t="s">
        <v>409</v>
      </c>
      <c r="F141" s="4">
        <f>HLOOKUP($E$4,'8.9 Bourgeoisie bilan'!$F$3:$S$228,136,0)</f>
        <v>0</v>
      </c>
    </row>
    <row r="142" spans="3:6" x14ac:dyDescent="0.25">
      <c r="D142">
        <v>2016</v>
      </c>
      <c r="E142" t="s">
        <v>269</v>
      </c>
      <c r="F142" s="4">
        <f>HLOOKUP($E$4,'8.9 Bourgeoisie bilan'!$F$3:$S$228,137,0)</f>
        <v>0</v>
      </c>
    </row>
    <row r="143" spans="3:6" x14ac:dyDescent="0.25">
      <c r="D143">
        <v>2019</v>
      </c>
      <c r="E143" t="s">
        <v>411</v>
      </c>
      <c r="F143" s="4">
        <f>HLOOKUP($E$4,'8.9 Bourgeoisie bilan'!$F$3:$S$228,138,0)</f>
        <v>0</v>
      </c>
    </row>
    <row r="144" spans="3:6" x14ac:dyDescent="0.25">
      <c r="F144" s="4"/>
    </row>
    <row r="145" spans="3:6" x14ac:dyDescent="0.25">
      <c r="C145" s="83">
        <v>204</v>
      </c>
      <c r="D145" s="83"/>
      <c r="E145" s="83" t="s">
        <v>255</v>
      </c>
      <c r="F145" s="84">
        <f>HLOOKUP($E$4,'8.9 Bourgeoisie bilan'!$F$3:$S$228,140,0)</f>
        <v>0</v>
      </c>
    </row>
    <row r="146" spans="3:6" x14ac:dyDescent="0.25">
      <c r="D146">
        <v>2040</v>
      </c>
      <c r="E146" t="s">
        <v>61</v>
      </c>
      <c r="F146" s="4">
        <f>HLOOKUP($E$4,'8.9 Bourgeoisie bilan'!$F$3:$S$228,141,0)</f>
        <v>0</v>
      </c>
    </row>
    <row r="147" spans="3:6" x14ac:dyDescent="0.25">
      <c r="D147">
        <v>2041</v>
      </c>
      <c r="E147" t="s">
        <v>277</v>
      </c>
      <c r="F147" s="4">
        <f>HLOOKUP($E$4,'8.9 Bourgeoisie bilan'!$F$3:$S$228,142,0)</f>
        <v>0</v>
      </c>
    </row>
    <row r="148" spans="3:6" x14ac:dyDescent="0.25">
      <c r="D148">
        <v>2042</v>
      </c>
      <c r="E148" t="s">
        <v>331</v>
      </c>
      <c r="F148" s="4">
        <f>HLOOKUP($E$4,'8.9 Bourgeoisie bilan'!$F$3:$S$228,143,0)</f>
        <v>0</v>
      </c>
    </row>
    <row r="149" spans="3:6" x14ac:dyDescent="0.25">
      <c r="D149">
        <v>2043</v>
      </c>
      <c r="E149" t="s">
        <v>332</v>
      </c>
      <c r="F149" s="4">
        <f>HLOOKUP($E$4,'8.9 Bourgeoisie bilan'!$F$3:$S$228,144,0)</f>
        <v>0</v>
      </c>
    </row>
    <row r="150" spans="3:6" x14ac:dyDescent="0.25">
      <c r="D150">
        <v>2044</v>
      </c>
      <c r="E150" t="s">
        <v>412</v>
      </c>
      <c r="F150" s="4">
        <f>HLOOKUP($E$4,'8.9 Bourgeoisie bilan'!$F$3:$S$228,145,0)</f>
        <v>0</v>
      </c>
    </row>
    <row r="151" spans="3:6" x14ac:dyDescent="0.25">
      <c r="D151">
        <v>2045</v>
      </c>
      <c r="E151" t="s">
        <v>334</v>
      </c>
      <c r="F151" s="4">
        <f>HLOOKUP($E$4,'8.9 Bourgeoisie bilan'!$F$3:$S$228,146,0)</f>
        <v>0</v>
      </c>
    </row>
    <row r="152" spans="3:6" x14ac:dyDescent="0.25">
      <c r="D152">
        <v>2046</v>
      </c>
      <c r="E152" t="s">
        <v>413</v>
      </c>
      <c r="F152" s="4">
        <f>HLOOKUP($E$4,'8.9 Bourgeoisie bilan'!$F$3:$S$228,147,0)</f>
        <v>0</v>
      </c>
    </row>
    <row r="153" spans="3:6" x14ac:dyDescent="0.25">
      <c r="D153">
        <v>2049</v>
      </c>
      <c r="E153" t="s">
        <v>414</v>
      </c>
      <c r="F153" s="4">
        <f>HLOOKUP($E$4,'8.9 Bourgeoisie bilan'!$F$3:$S$228,148,0)</f>
        <v>0</v>
      </c>
    </row>
    <row r="154" spans="3:6" x14ac:dyDescent="0.25">
      <c r="F154" s="4"/>
    </row>
    <row r="155" spans="3:6" x14ac:dyDescent="0.25">
      <c r="C155" s="83">
        <v>205</v>
      </c>
      <c r="D155" s="83"/>
      <c r="E155" s="83" t="s">
        <v>256</v>
      </c>
      <c r="F155" s="84">
        <f>HLOOKUP($E$4,'8.9 Bourgeoisie bilan'!$F$3:$S$228,150,0)</f>
        <v>0</v>
      </c>
    </row>
    <row r="156" spans="3:6" x14ac:dyDescent="0.25">
      <c r="D156">
        <v>2050</v>
      </c>
      <c r="E156" t="s">
        <v>415</v>
      </c>
      <c r="F156" s="4">
        <f>HLOOKUP($E$4,'8.9 Bourgeoisie bilan'!$F$3:$S$228,151,0)</f>
        <v>0</v>
      </c>
    </row>
    <row r="157" spans="3:6" x14ac:dyDescent="0.25">
      <c r="D157">
        <v>2051</v>
      </c>
      <c r="E157" t="s">
        <v>416</v>
      </c>
      <c r="F157" s="4">
        <f>HLOOKUP($E$4,'8.9 Bourgeoisie bilan'!$F$3:$S$228,152,0)</f>
        <v>0</v>
      </c>
    </row>
    <row r="158" spans="3:6" x14ac:dyDescent="0.25">
      <c r="D158">
        <v>2052</v>
      </c>
      <c r="E158" t="s">
        <v>417</v>
      </c>
      <c r="F158" s="4">
        <f>HLOOKUP($E$4,'8.9 Bourgeoisie bilan'!$F$3:$S$228,153,0)</f>
        <v>0</v>
      </c>
    </row>
    <row r="159" spans="3:6" x14ac:dyDescent="0.25">
      <c r="D159">
        <v>2053</v>
      </c>
      <c r="E159" t="s">
        <v>421</v>
      </c>
      <c r="F159" s="4">
        <f>HLOOKUP($E$4,'8.9 Bourgeoisie bilan'!$F$3:$S$228,154,0)</f>
        <v>0</v>
      </c>
    </row>
    <row r="160" spans="3:6" x14ac:dyDescent="0.25">
      <c r="D160">
        <v>2054</v>
      </c>
      <c r="E160" t="s">
        <v>419</v>
      </c>
      <c r="F160" s="4">
        <f>HLOOKUP($E$4,'8.9 Bourgeoisie bilan'!$F$3:$S$228,155,0)</f>
        <v>0</v>
      </c>
    </row>
    <row r="161" spans="3:6" x14ac:dyDescent="0.25">
      <c r="D161">
        <v>2055</v>
      </c>
      <c r="E161" t="s">
        <v>418</v>
      </c>
      <c r="F161" s="4">
        <f>HLOOKUP($E$4,'8.9 Bourgeoisie bilan'!$F$3:$S$228,156,0)</f>
        <v>0</v>
      </c>
    </row>
    <row r="162" spans="3:6" x14ac:dyDescent="0.25">
      <c r="D162">
        <v>2056</v>
      </c>
      <c r="E162" t="s">
        <v>420</v>
      </c>
      <c r="F162" s="4">
        <f>HLOOKUP($E$4,'8.9 Bourgeoisie bilan'!$F$3:$S$228,157,0)</f>
        <v>0</v>
      </c>
    </row>
    <row r="163" spans="3:6" x14ac:dyDescent="0.25">
      <c r="D163">
        <v>2057</v>
      </c>
      <c r="E163" t="s">
        <v>422</v>
      </c>
      <c r="F163" s="4">
        <f>HLOOKUP($E$4,'8.9 Bourgeoisie bilan'!$F$3:$S$228,158,0)</f>
        <v>0</v>
      </c>
    </row>
    <row r="164" spans="3:6" x14ac:dyDescent="0.25">
      <c r="D164">
        <v>2058</v>
      </c>
      <c r="E164" t="s">
        <v>423</v>
      </c>
      <c r="F164" s="4">
        <f>HLOOKUP($E$4,'8.9 Bourgeoisie bilan'!$F$3:$S$228,159,0)</f>
        <v>0</v>
      </c>
    </row>
    <row r="165" spans="3:6" x14ac:dyDescent="0.25">
      <c r="D165">
        <v>2059</v>
      </c>
      <c r="E165" t="s">
        <v>424</v>
      </c>
      <c r="F165" s="4">
        <f>HLOOKUP($E$4,'8.9 Bourgeoisie bilan'!$F$3:$S$228,160,0)</f>
        <v>0</v>
      </c>
    </row>
    <row r="166" spans="3:6" x14ac:dyDescent="0.25">
      <c r="F166" s="4"/>
    </row>
    <row r="167" spans="3:6" x14ac:dyDescent="0.25">
      <c r="C167" s="83">
        <v>206</v>
      </c>
      <c r="D167" s="83"/>
      <c r="E167" s="83" t="s">
        <v>257</v>
      </c>
      <c r="F167" s="84">
        <f>HLOOKUP($E$4,'8.9 Bourgeoisie bilan'!$F$3:$S$228,162,0)</f>
        <v>15400</v>
      </c>
    </row>
    <row r="168" spans="3:6" x14ac:dyDescent="0.25">
      <c r="D168">
        <v>2060</v>
      </c>
      <c r="E168" t="s">
        <v>425</v>
      </c>
      <c r="F168" s="4">
        <f>HLOOKUP($E$4,'8.9 Bourgeoisie bilan'!$F$3:$S$228,163,0)</f>
        <v>0</v>
      </c>
    </row>
    <row r="169" spans="3:6" x14ac:dyDescent="0.25">
      <c r="D169">
        <v>2062</v>
      </c>
      <c r="E169" t="s">
        <v>426</v>
      </c>
      <c r="F169" s="4">
        <f>HLOOKUP($E$4,'8.9 Bourgeoisie bilan'!$F$3:$S$228,164,0)</f>
        <v>0</v>
      </c>
    </row>
    <row r="170" spans="3:6" x14ac:dyDescent="0.25">
      <c r="D170">
        <v>2063</v>
      </c>
      <c r="E170" t="s">
        <v>427</v>
      </c>
      <c r="F170" s="4">
        <f>HLOOKUP($E$4,'8.9 Bourgeoisie bilan'!$F$3:$S$228,165,0)</f>
        <v>0</v>
      </c>
    </row>
    <row r="171" spans="3:6" x14ac:dyDescent="0.25">
      <c r="D171">
        <v>2064</v>
      </c>
      <c r="E171" t="s">
        <v>448</v>
      </c>
      <c r="F171" s="4">
        <f>HLOOKUP($E$4,'8.9 Bourgeoisie bilan'!$F$3:$S$228,166,0)</f>
        <v>15400</v>
      </c>
    </row>
    <row r="172" spans="3:6" x14ac:dyDescent="0.25">
      <c r="D172">
        <v>2067</v>
      </c>
      <c r="E172" t="s">
        <v>429</v>
      </c>
      <c r="F172" s="4">
        <f>HLOOKUP($E$4,'8.9 Bourgeoisie bilan'!$F$3:$S$228,167,0)</f>
        <v>0</v>
      </c>
    </row>
    <row r="173" spans="3:6" x14ac:dyDescent="0.25">
      <c r="D173">
        <v>2069</v>
      </c>
      <c r="E173" t="s">
        <v>430</v>
      </c>
      <c r="F173" s="4">
        <f>HLOOKUP($E$4,'8.9 Bourgeoisie bilan'!$F$3:$S$228,168,0)</f>
        <v>0</v>
      </c>
    </row>
    <row r="174" spans="3:6" x14ac:dyDescent="0.25">
      <c r="F174" s="4"/>
    </row>
    <row r="175" spans="3:6" x14ac:dyDescent="0.25">
      <c r="C175" s="83">
        <v>208</v>
      </c>
      <c r="D175" s="83"/>
      <c r="E175" s="83" t="s">
        <v>258</v>
      </c>
      <c r="F175" s="84">
        <f>HLOOKUP($E$4,'8.9 Bourgeoisie bilan'!$F$3:$S$228,170,0)</f>
        <v>0</v>
      </c>
    </row>
    <row r="176" spans="3:6" x14ac:dyDescent="0.25">
      <c r="D176">
        <v>2081</v>
      </c>
      <c r="E176" t="s">
        <v>431</v>
      </c>
      <c r="F176" s="4">
        <f>HLOOKUP($E$4,'8.9 Bourgeoisie bilan'!$F$3:$S$228,171,0)</f>
        <v>0</v>
      </c>
    </row>
    <row r="177" spans="2:6" x14ac:dyDescent="0.25">
      <c r="D177">
        <v>2082</v>
      </c>
      <c r="E177" t="s">
        <v>432</v>
      </c>
      <c r="F177" s="4">
        <f>HLOOKUP($E$4,'8.9 Bourgeoisie bilan'!$F$3:$S$228,172,0)</f>
        <v>0</v>
      </c>
    </row>
    <row r="178" spans="2:6" x14ac:dyDescent="0.25">
      <c r="D178">
        <v>2083</v>
      </c>
      <c r="E178" t="s">
        <v>433</v>
      </c>
      <c r="F178" s="4">
        <f>HLOOKUP($E$4,'8.9 Bourgeoisie bilan'!$F$3:$S$228,173,0)</f>
        <v>0</v>
      </c>
    </row>
    <row r="179" spans="2:6" x14ac:dyDescent="0.25">
      <c r="D179">
        <v>2084</v>
      </c>
      <c r="E179" t="s">
        <v>434</v>
      </c>
      <c r="F179" s="4">
        <f>HLOOKUP($E$4,'8.9 Bourgeoisie bilan'!$F$3:$S$228,174,0)</f>
        <v>0</v>
      </c>
    </row>
    <row r="180" spans="2:6" x14ac:dyDescent="0.25">
      <c r="D180">
        <v>2085</v>
      </c>
      <c r="E180" t="s">
        <v>436</v>
      </c>
      <c r="F180" s="4">
        <f>HLOOKUP($E$4,'8.9 Bourgeoisie bilan'!$F$3:$S$228,175,0)</f>
        <v>0</v>
      </c>
    </row>
    <row r="181" spans="2:6" x14ac:dyDescent="0.25">
      <c r="D181">
        <v>2086</v>
      </c>
      <c r="E181" t="s">
        <v>435</v>
      </c>
      <c r="F181" s="4">
        <f>HLOOKUP($E$4,'8.9 Bourgeoisie bilan'!$F$3:$S$228,176,0)</f>
        <v>0</v>
      </c>
    </row>
    <row r="182" spans="2:6" x14ac:dyDescent="0.25">
      <c r="D182">
        <v>2087</v>
      </c>
      <c r="E182" t="s">
        <v>437</v>
      </c>
      <c r="F182" s="4">
        <f>HLOOKUP($E$4,'8.9 Bourgeoisie bilan'!$F$3:$S$228,177,0)</f>
        <v>0</v>
      </c>
    </row>
    <row r="183" spans="2:6" x14ac:dyDescent="0.25">
      <c r="D183">
        <v>2088</v>
      </c>
      <c r="E183" t="s">
        <v>438</v>
      </c>
      <c r="F183" s="4">
        <f>HLOOKUP($E$4,'8.9 Bourgeoisie bilan'!$F$3:$S$228,178,0)</f>
        <v>0</v>
      </c>
    </row>
    <row r="184" spans="2:6" x14ac:dyDescent="0.25">
      <c r="D184">
        <v>2089</v>
      </c>
      <c r="E184" t="s">
        <v>439</v>
      </c>
      <c r="F184" s="4">
        <f>HLOOKUP($E$4,'8.9 Bourgeoisie bilan'!$F$3:$S$228,179,0)</f>
        <v>0</v>
      </c>
    </row>
    <row r="185" spans="2:6" x14ac:dyDescent="0.25">
      <c r="F185" s="4"/>
    </row>
    <row r="186" spans="2:6" x14ac:dyDescent="0.25">
      <c r="C186" s="83">
        <v>209</v>
      </c>
      <c r="D186" s="83"/>
      <c r="E186" s="83" t="s">
        <v>259</v>
      </c>
      <c r="F186" s="84">
        <f>HLOOKUP($E$4,'8.9 Bourgeoisie bilan'!$F$3:$S$228,181,0)</f>
        <v>0</v>
      </c>
    </row>
    <row r="187" spans="2:6" x14ac:dyDescent="0.25">
      <c r="D187">
        <v>2090</v>
      </c>
      <c r="E187" t="s">
        <v>259</v>
      </c>
      <c r="F187" s="4">
        <f>HLOOKUP($E$4,'8.9 Bourgeoisie bilan'!$F$3:$S$228,182,0)</f>
        <v>0</v>
      </c>
    </row>
    <row r="188" spans="2:6" x14ac:dyDescent="0.25">
      <c r="D188">
        <v>2091</v>
      </c>
      <c r="E188" t="s">
        <v>440</v>
      </c>
      <c r="F188" s="4">
        <f>HLOOKUP($E$4,'8.9 Bourgeoisie bilan'!$F$3:$S$228,183,0)</f>
        <v>0</v>
      </c>
    </row>
    <row r="189" spans="2:6" x14ac:dyDescent="0.25">
      <c r="D189">
        <v>2092</v>
      </c>
      <c r="E189" t="s">
        <v>441</v>
      </c>
      <c r="F189" s="4">
        <f>HLOOKUP($E$4,'8.9 Bourgeoisie bilan'!$F$3:$S$228,184,0)</f>
        <v>0</v>
      </c>
    </row>
    <row r="190" spans="2:6" x14ac:dyDescent="0.25">
      <c r="D190">
        <v>2093</v>
      </c>
      <c r="E190" t="s">
        <v>442</v>
      </c>
      <c r="F190" s="4">
        <f>HLOOKUP($E$4,'8.9 Bourgeoisie bilan'!$F$3:$S$228,185,0)</f>
        <v>0</v>
      </c>
    </row>
    <row r="191" spans="2:6" x14ac:dyDescent="0.25">
      <c r="F191" s="4"/>
    </row>
    <row r="192" spans="2:6" x14ac:dyDescent="0.25">
      <c r="B192" s="85">
        <v>29</v>
      </c>
      <c r="C192" s="85"/>
      <c r="D192" s="85"/>
      <c r="E192" s="85" t="s">
        <v>260</v>
      </c>
      <c r="F192" s="4">
        <f>HLOOKUP($E$4,'8.9 Bourgeoisie bilan'!$F$3:$S$228,187,0)</f>
        <v>97551.42</v>
      </c>
    </row>
    <row r="193" spans="3:6" x14ac:dyDescent="0.25">
      <c r="C193" s="83">
        <v>290</v>
      </c>
      <c r="D193" s="83"/>
      <c r="E193" s="83" t="s">
        <v>261</v>
      </c>
      <c r="F193" s="84">
        <f>HLOOKUP($E$4,'8.9 Bourgeoisie bilan'!$F$3:$S$228,188,0)</f>
        <v>19947.169999999998</v>
      </c>
    </row>
    <row r="194" spans="3:6" x14ac:dyDescent="0.25">
      <c r="D194">
        <v>2900</v>
      </c>
      <c r="E194" t="s">
        <v>261</v>
      </c>
      <c r="F194" s="4">
        <f>HLOOKUP($E$4,'8.9 Bourgeoisie bilan'!$F$3:$S$228,189,0)</f>
        <v>19947.169999999998</v>
      </c>
    </row>
    <row r="195" spans="3:6" x14ac:dyDescent="0.25">
      <c r="F195" s="4"/>
    </row>
    <row r="196" spans="3:6" x14ac:dyDescent="0.25">
      <c r="C196" s="83">
        <v>291</v>
      </c>
      <c r="D196" s="83"/>
      <c r="E196" s="83" t="s">
        <v>262</v>
      </c>
      <c r="F196" s="84">
        <f>HLOOKUP($E$4,'8.9 Bourgeoisie bilan'!$F$3:$S$228,191,0)</f>
        <v>0</v>
      </c>
    </row>
    <row r="197" spans="3:6" x14ac:dyDescent="0.25">
      <c r="D197">
        <v>2910</v>
      </c>
      <c r="E197" t="s">
        <v>262</v>
      </c>
      <c r="F197" s="4">
        <f>HLOOKUP($E$4,'8.9 Bourgeoisie bilan'!$F$3:$S$228,192,0)</f>
        <v>0</v>
      </c>
    </row>
    <row r="198" spans="3:6" x14ac:dyDescent="0.25">
      <c r="D198">
        <v>2911</v>
      </c>
      <c r="E198" t="s">
        <v>443</v>
      </c>
      <c r="F198" s="4">
        <f>HLOOKUP($E$4,'8.9 Bourgeoisie bilan'!$F$3:$S$228,193,0)</f>
        <v>0</v>
      </c>
    </row>
    <row r="199" spans="3:6" x14ac:dyDescent="0.25">
      <c r="F199" s="4"/>
    </row>
    <row r="200" spans="3:6" x14ac:dyDescent="0.25">
      <c r="C200" s="83">
        <v>292</v>
      </c>
      <c r="D200" s="83"/>
      <c r="E200" s="83" t="s">
        <v>263</v>
      </c>
      <c r="F200" s="84">
        <f>HLOOKUP($E$4,'8.9 Bourgeoisie bilan'!$F$3:$S$228,195,0)</f>
        <v>0</v>
      </c>
    </row>
    <row r="201" spans="3:6" x14ac:dyDescent="0.25">
      <c r="D201">
        <v>2920</v>
      </c>
      <c r="E201" t="s">
        <v>263</v>
      </c>
      <c r="F201" s="4">
        <f>HLOOKUP($E$4,'8.9 Bourgeoisie bilan'!$F$3:$S$228,196,0)</f>
        <v>0</v>
      </c>
    </row>
    <row r="202" spans="3:6" x14ac:dyDescent="0.25">
      <c r="F202" s="4"/>
    </row>
    <row r="203" spans="3:6" x14ac:dyDescent="0.25">
      <c r="C203" s="83">
        <v>293</v>
      </c>
      <c r="D203" s="83"/>
      <c r="E203" s="83" t="s">
        <v>264</v>
      </c>
      <c r="F203" s="84">
        <f>HLOOKUP($E$4,'8.9 Bourgeoisie bilan'!$F$3:$S$228,198,0)</f>
        <v>0</v>
      </c>
    </row>
    <row r="204" spans="3:6" x14ac:dyDescent="0.25">
      <c r="D204">
        <v>2930</v>
      </c>
      <c r="E204" t="s">
        <v>264</v>
      </c>
      <c r="F204" s="4">
        <f>HLOOKUP($E$4,'8.9 Bourgeoisie bilan'!$F$3:$S$228,199,0)</f>
        <v>0</v>
      </c>
    </row>
    <row r="205" spans="3:6" x14ac:dyDescent="0.25">
      <c r="F205" s="4"/>
    </row>
    <row r="206" spans="3:6" x14ac:dyDescent="0.25">
      <c r="C206" s="83">
        <v>294</v>
      </c>
      <c r="D206" s="83"/>
      <c r="E206" s="83" t="s">
        <v>265</v>
      </c>
      <c r="F206" s="84">
        <f>HLOOKUP($E$4,'8.9 Bourgeoisie bilan'!$F$3:$S$228,201,0)</f>
        <v>0</v>
      </c>
    </row>
    <row r="207" spans="3:6" x14ac:dyDescent="0.25">
      <c r="D207">
        <v>2940</v>
      </c>
      <c r="E207" t="s">
        <v>265</v>
      </c>
      <c r="F207" s="4">
        <f>HLOOKUP($E$4,'8.9 Bourgeoisie bilan'!$F$3:$S$228,202,0)</f>
        <v>0</v>
      </c>
    </row>
    <row r="208" spans="3:6" x14ac:dyDescent="0.25">
      <c r="F208" s="4"/>
    </row>
    <row r="209" spans="3:6" x14ac:dyDescent="0.25">
      <c r="C209" s="83">
        <v>295</v>
      </c>
      <c r="D209" s="83"/>
      <c r="E209" s="83" t="s">
        <v>266</v>
      </c>
      <c r="F209" s="84">
        <f>HLOOKUP($E$4,'8.9 Bourgeoisie bilan'!$F$3:$S$228,204,0)</f>
        <v>0</v>
      </c>
    </row>
    <row r="210" spans="3:6" x14ac:dyDescent="0.25">
      <c r="D210">
        <v>2950</v>
      </c>
      <c r="E210" t="s">
        <v>266</v>
      </c>
      <c r="F210" s="4">
        <f>HLOOKUP($E$4,'8.9 Bourgeoisie bilan'!$F$3:$S$228,205,0)</f>
        <v>0</v>
      </c>
    </row>
    <row r="211" spans="3:6" x14ac:dyDescent="0.25">
      <c r="F211" s="4"/>
    </row>
    <row r="212" spans="3:6" x14ac:dyDescent="0.25">
      <c r="C212" s="83">
        <v>296</v>
      </c>
      <c r="D212" s="83"/>
      <c r="E212" s="83" t="s">
        <v>267</v>
      </c>
      <c r="F212" s="84">
        <f>HLOOKUP($E$4,'8.9 Bourgeoisie bilan'!$F$3:$S$228,207,0)</f>
        <v>0</v>
      </c>
    </row>
    <row r="213" spans="3:6" x14ac:dyDescent="0.25">
      <c r="D213">
        <v>2960</v>
      </c>
      <c r="E213" t="s">
        <v>267</v>
      </c>
      <c r="F213" s="4">
        <f>HLOOKUP($E$4,'8.9 Bourgeoisie bilan'!$F$3:$S$228,208,0)</f>
        <v>0</v>
      </c>
    </row>
    <row r="214" spans="3:6" x14ac:dyDescent="0.25">
      <c r="F214" s="4"/>
    </row>
    <row r="215" spans="3:6" x14ac:dyDescent="0.25">
      <c r="C215" s="83">
        <v>298</v>
      </c>
      <c r="D215" s="83"/>
      <c r="E215" s="83" t="s">
        <v>268</v>
      </c>
      <c r="F215" s="84">
        <f>HLOOKUP($E$4,'8.9 Bourgeoisie bilan'!$F$3:$S$228,210,0)</f>
        <v>0</v>
      </c>
    </row>
    <row r="216" spans="3:6" x14ac:dyDescent="0.25">
      <c r="D216">
        <v>2980</v>
      </c>
      <c r="E216" t="s">
        <v>268</v>
      </c>
      <c r="F216" s="4">
        <f>HLOOKUP($E$4,'8.9 Bourgeoisie bilan'!$F$3:$S$228,211,0)</f>
        <v>0</v>
      </c>
    </row>
    <row r="217" spans="3:6" x14ac:dyDescent="0.25">
      <c r="F217" s="4"/>
    </row>
    <row r="218" spans="3:6" x14ac:dyDescent="0.25">
      <c r="C218" s="83">
        <v>299</v>
      </c>
      <c r="D218" s="83"/>
      <c r="E218" s="83" t="s">
        <v>444</v>
      </c>
      <c r="F218" s="84">
        <f>HLOOKUP($E$4,'8.9 Bourgeoisie bilan'!$F$3:$S$228,213,0)</f>
        <v>77604.25</v>
      </c>
    </row>
    <row r="219" spans="3:6" x14ac:dyDescent="0.25">
      <c r="D219">
        <v>2990</v>
      </c>
      <c r="E219" t="s">
        <v>444</v>
      </c>
      <c r="F219" s="4">
        <f>HLOOKUP($E$4,'8.9 Bourgeoisie bilan'!$F$3:$S$228,214,0)</f>
        <v>-3050.01</v>
      </c>
    </row>
    <row r="220" spans="3:6" x14ac:dyDescent="0.25">
      <c r="D220">
        <v>2999</v>
      </c>
      <c r="E220" t="s">
        <v>582</v>
      </c>
      <c r="F220" s="4">
        <f>HLOOKUP($E$4,'8.9 Bourgeoisie bilan'!$F$3:$S$228,215,0)</f>
        <v>80654.259999999995</v>
      </c>
    </row>
    <row r="221" spans="3:6" x14ac:dyDescent="0.25">
      <c r="F221" s="4"/>
    </row>
    <row r="222" spans="3:6" x14ac:dyDescent="0.25">
      <c r="C222" s="160"/>
      <c r="D222" s="160"/>
      <c r="E222" s="160" t="s">
        <v>587</v>
      </c>
      <c r="F222" s="4">
        <f>HLOOKUP($E$4,'8.9 Bourgeoisie bilan'!$F$3:$S$228,217,0)</f>
        <v>0</v>
      </c>
    </row>
    <row r="223" spans="3:6" x14ac:dyDescent="0.25">
      <c r="D223">
        <v>290</v>
      </c>
      <c r="E223" t="s">
        <v>586</v>
      </c>
      <c r="F223" s="4">
        <f>HLOOKUP($E$4,'8.9 Bourgeoisie bilan'!$F$3:$S$228,218,0)</f>
        <v>0</v>
      </c>
    </row>
    <row r="224" spans="3:6" x14ac:dyDescent="0.25">
      <c r="D224">
        <v>2990</v>
      </c>
      <c r="E224" t="s">
        <v>590</v>
      </c>
      <c r="F224" s="4">
        <f>HLOOKUP($E$4,'8.9 Bourgeoisie bilan'!$F$3:$S$228,219,0)</f>
        <v>-3050.01</v>
      </c>
    </row>
    <row r="225" spans="5:6" x14ac:dyDescent="0.25">
      <c r="F225" s="4"/>
    </row>
    <row r="226" spans="5:6" x14ac:dyDescent="0.25">
      <c r="E226" s="7" t="s">
        <v>589</v>
      </c>
      <c r="F226" s="4">
        <f>HLOOKUP($E$4,'8.9 Bourgeoisie bilan'!$F$3:$S$228,221,0)</f>
        <v>-3050.01</v>
      </c>
    </row>
    <row r="227" spans="5:6" x14ac:dyDescent="0.25">
      <c r="F227" s="4">
        <f>HLOOKUP($E$4,'8.9 Bourgeoisie bilan'!$F$3:$S$228,222,0)</f>
        <v>0</v>
      </c>
    </row>
    <row r="228" spans="5:6" x14ac:dyDescent="0.25">
      <c r="E228" s="60" t="s">
        <v>588</v>
      </c>
      <c r="F228" s="4">
        <f>HLOOKUP($E$4,'8.9 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'8.9 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'8.9 Bourgeoisie bilan'!F5</f>
        <v>8416072.5999999996</v>
      </c>
      <c r="D7" s="101">
        <f>'8.9 Bourgeoisie bilan'!G5</f>
        <v>91261.89</v>
      </c>
      <c r="E7" s="101">
        <f>'8.9 Bourgeoisie bilan'!H5</f>
        <v>416713.9</v>
      </c>
      <c r="F7" s="101">
        <f>'8.9 Bourgeoisie bilan'!I5</f>
        <v>291699.63</v>
      </c>
      <c r="G7" s="101">
        <f>'8.9 Bourgeoisie bilan'!J5</f>
        <v>1480316.77</v>
      </c>
      <c r="H7" s="101">
        <f>'8.9 Bourgeoisie bilan'!K5</f>
        <v>31956806.93</v>
      </c>
      <c r="I7" s="101">
        <f>'8.9 Bourgeoisie bilan'!L5</f>
        <v>453352.90999999992</v>
      </c>
      <c r="J7" s="101">
        <f>'8.9 Bourgeoisie bilan'!M5</f>
        <v>700771.38</v>
      </c>
      <c r="K7" s="101">
        <f>'8.9 Bourgeoisie bilan'!N5</f>
        <v>92238.42</v>
      </c>
      <c r="L7" s="101">
        <f>'8.9 Bourgeoisie bilan'!O5</f>
        <v>582363.77</v>
      </c>
      <c r="M7" s="101">
        <f>'8.9 Bourgeoisie bilan'!P5</f>
        <v>1358276.4</v>
      </c>
      <c r="N7" s="101">
        <f>'8.9 Bourgeoisie bilan'!Q5</f>
        <v>898560.29</v>
      </c>
      <c r="O7" s="101">
        <f>'8.9 Bourgeoisie bilan'!R5</f>
        <v>951662.69</v>
      </c>
      <c r="P7" s="101">
        <f>SUM(C7:O7)</f>
        <v>47690097.579999998</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'8.9 Bourgeoisie bilan'!F121</f>
        <v>3182880.35</v>
      </c>
      <c r="D9" s="101">
        <f>'8.9 Bourgeoisie bilan'!G121</f>
        <v>200723.15</v>
      </c>
      <c r="E9" s="101">
        <f>'8.9 Bourgeoisie bilan'!H121</f>
        <v>289877</v>
      </c>
      <c r="F9" s="101">
        <f>'8.9 Bourgeoisie bilan'!I121</f>
        <v>2406.5</v>
      </c>
      <c r="G9" s="101">
        <f>'8.9 Bourgeoisie bilan'!J121</f>
        <v>755273.6</v>
      </c>
      <c r="H9" s="101">
        <f>'8.9 Bourgeoisie bilan'!K121</f>
        <v>4196382.0999999996</v>
      </c>
      <c r="I9" s="101">
        <f>'8.9 Bourgeoisie bilan'!L121</f>
        <v>142220.20000000001</v>
      </c>
      <c r="J9" s="101">
        <f>'8.9 Bourgeoisie bilan'!M121</f>
        <v>44127.4</v>
      </c>
      <c r="K9" s="101">
        <f>'8.9 Bourgeoisie bilan'!N121</f>
        <v>15400</v>
      </c>
      <c r="L9" s="101">
        <f>'8.9 Bourgeoisie bilan'!O121</f>
        <v>15000</v>
      </c>
      <c r="M9" s="101">
        <f>'8.9 Bourgeoisie bilan'!P121</f>
        <v>75502.2</v>
      </c>
      <c r="N9" s="101">
        <f>'8.9 Bourgeoisie bilan'!Q121</f>
        <v>483896.37</v>
      </c>
      <c r="O9" s="101">
        <f>'8.9 Bourgeoisie bilan'!R121</f>
        <v>48390.65</v>
      </c>
      <c r="P9" s="101">
        <f>SUM(C9:O9)</f>
        <v>9452079.5199999977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'8.9 Bourgeoisie bilan'!F122</f>
        <v>73684.3</v>
      </c>
      <c r="D11" s="101">
        <f>'8.9 Bourgeoisie bilan'!G122</f>
        <v>2708.4</v>
      </c>
      <c r="E11" s="101">
        <f>'8.9 Bourgeoisie bilan'!H122</f>
        <v>0</v>
      </c>
      <c r="F11" s="101">
        <f>'8.9 Bourgeoisie bilan'!I122</f>
        <v>0</v>
      </c>
      <c r="G11" s="101">
        <f>'8.9 Bourgeoisie bilan'!J122</f>
        <v>4777.8500000000004</v>
      </c>
      <c r="H11" s="101">
        <f>'8.9 Bourgeoisie bilan'!K122</f>
        <v>188444.6</v>
      </c>
      <c r="I11" s="101">
        <f>'8.9 Bourgeoisie bilan'!L122</f>
        <v>0</v>
      </c>
      <c r="J11" s="101">
        <f>'8.9 Bourgeoisie bilan'!M122</f>
        <v>0</v>
      </c>
      <c r="K11" s="101">
        <f>'8.9 Bourgeoisie bilan'!N122</f>
        <v>0</v>
      </c>
      <c r="L11" s="101">
        <f>'8.9 Bourgeoisie bilan'!O122</f>
        <v>15000</v>
      </c>
      <c r="M11" s="101">
        <f>'8.9 Bourgeoisie bilan'!P122</f>
        <v>0</v>
      </c>
      <c r="N11" s="101">
        <f>'8.9 Bourgeoisie bilan'!Q122</f>
        <v>13.87</v>
      </c>
      <c r="O11" s="101">
        <f>'8.9 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'8.9 Bourgeoisie bilan'!F132</f>
        <v>22000</v>
      </c>
      <c r="D13" s="101">
        <f>'8.9 Bourgeoisie bilan'!G132</f>
        <v>0</v>
      </c>
      <c r="E13" s="101">
        <f>'8.9 Bourgeoisie bilan'!H132</f>
        <v>0</v>
      </c>
      <c r="F13" s="101">
        <f>'8.9 Bourgeoisie bilan'!I132</f>
        <v>0</v>
      </c>
      <c r="G13" s="101">
        <f>'8.9 Bourgeoisie bilan'!J132</f>
        <v>0</v>
      </c>
      <c r="H13" s="101">
        <f>'8.9 Bourgeoisie bilan'!K132</f>
        <v>0</v>
      </c>
      <c r="I13" s="101">
        <f>'8.9 Bourgeoisie bilan'!L132</f>
        <v>0</v>
      </c>
      <c r="J13" s="101">
        <f>'8.9 Bourgeoisie bilan'!M132</f>
        <v>0</v>
      </c>
      <c r="K13" s="101">
        <f>'8.9 Bourgeoisie bilan'!N132</f>
        <v>0</v>
      </c>
      <c r="L13" s="101">
        <f>'8.9 Bourgeoisie bilan'!O132</f>
        <v>0</v>
      </c>
      <c r="M13" s="101">
        <f>'8.9 Bourgeoisie bilan'!P132</f>
        <v>0</v>
      </c>
      <c r="N13" s="101">
        <f>'8.9 Bourgeoisie bilan'!Q132</f>
        <v>0</v>
      </c>
      <c r="O13" s="101">
        <f>'8.9 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'8.9 Bourgeoisie bilan'!F164</f>
        <v>2989500</v>
      </c>
      <c r="D15" s="101">
        <f>'8.9 Bourgeoisie bilan'!G164</f>
        <v>183000</v>
      </c>
      <c r="E15" s="101">
        <f>'8.9 Bourgeoisie bilan'!H164</f>
        <v>280425.59999999998</v>
      </c>
      <c r="F15" s="101">
        <f>'8.9 Bourgeoisie bilan'!I164</f>
        <v>0</v>
      </c>
      <c r="G15" s="101">
        <f>'8.9 Bourgeoisie bilan'!J164</f>
        <v>377000</v>
      </c>
      <c r="H15" s="101">
        <f>'8.9 Bourgeoisie bilan'!K164</f>
        <v>3283750</v>
      </c>
      <c r="I15" s="101">
        <f>'8.9 Bourgeoisie bilan'!L164</f>
        <v>134500</v>
      </c>
      <c r="J15" s="101">
        <f>'8.9 Bourgeoisie bilan'!M164</f>
        <v>0</v>
      </c>
      <c r="K15" s="101">
        <f>'8.9 Bourgeoisie bilan'!N164</f>
        <v>15400</v>
      </c>
      <c r="L15" s="101">
        <f>'8.9 Bourgeoisie bilan'!O164</f>
        <v>0</v>
      </c>
      <c r="M15" s="101">
        <f>'8.9 Bourgeoisie bilan'!P164</f>
        <v>0</v>
      </c>
      <c r="N15" s="101">
        <f>'8.9 Bourgeoisie bilan'!Q164</f>
        <v>458240</v>
      </c>
      <c r="O15" s="101">
        <f>'8.9 Bourgeoisie bilan'!R164</f>
        <v>0</v>
      </c>
      <c r="P15" s="101">
        <f>SUM(C15:O15)</f>
        <v>7721815.5999999996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'8.9 Bourgeoisie bilan'!F139</f>
        <v>0</v>
      </c>
      <c r="D17" s="101">
        <f>'8.9 Bourgeoisie bilan'!G139</f>
        <v>0</v>
      </c>
      <c r="E17" s="101">
        <f>'8.9 Bourgeoisie bilan'!H139</f>
        <v>0</v>
      </c>
      <c r="F17" s="101">
        <f>'8.9 Bourgeoisie bilan'!I139</f>
        <v>0</v>
      </c>
      <c r="G17" s="101">
        <f>'8.9 Bourgeoisie bilan'!J139</f>
        <v>0</v>
      </c>
      <c r="H17" s="101">
        <f>'8.9 Bourgeoisie bilan'!K139</f>
        <v>0</v>
      </c>
      <c r="I17" s="101">
        <f>'8.9 Bourgeoisie bilan'!L139</f>
        <v>0</v>
      </c>
      <c r="J17" s="101">
        <f>'8.9 Bourgeoisie bilan'!M139</f>
        <v>0</v>
      </c>
      <c r="K17" s="101">
        <f>'8.9 Bourgeoisie bilan'!N139</f>
        <v>0</v>
      </c>
      <c r="L17" s="101">
        <f>'8.9 Bourgeoisie bilan'!O139</f>
        <v>0</v>
      </c>
      <c r="M17" s="101">
        <f>'8.9 Bourgeoisie bilan'!P139</f>
        <v>0</v>
      </c>
      <c r="N17" s="101">
        <f>'8.9 Bourgeoisie bilan'!Q139</f>
        <v>0</v>
      </c>
      <c r="O17" s="101">
        <f>'8.9 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15400</v>
      </c>
      <c r="L20" s="180">
        <f t="shared" si="0"/>
        <v>15000</v>
      </c>
      <c r="M20" s="180">
        <f t="shared" si="0"/>
        <v>0</v>
      </c>
      <c r="N20" s="180">
        <f t="shared" si="0"/>
        <v>458253.87</v>
      </c>
      <c r="O20" s="180">
        <f t="shared" si="0"/>
        <v>47678.15</v>
      </c>
      <c r="P20" s="180">
        <f>SUM(C20:O20)</f>
        <v>8076122.7700000005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-76838.42</v>
      </c>
      <c r="L22" s="180">
        <f t="shared" si="1"/>
        <v>-567363.77</v>
      </c>
      <c r="M22" s="180">
        <f t="shared" si="1"/>
        <v>-1282774.2</v>
      </c>
      <c r="N22" s="180">
        <f t="shared" si="1"/>
        <v>-414663.92000000004</v>
      </c>
      <c r="O22" s="180">
        <f t="shared" si="1"/>
        <v>-903272.03999999992</v>
      </c>
      <c r="P22" s="180">
        <f>SUM(C22:O22)</f>
        <v>-38238018.060000002</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60" t="s">
        <v>758</v>
      </c>
    </row>
    <row r="4" spans="1:3" ht="15" customHeight="1" thickBot="1" x14ac:dyDescent="0.45">
      <c r="A4" s="42"/>
      <c r="B4" s="179" t="s">
        <v>752</v>
      </c>
    </row>
    <row r="5" spans="1:3" ht="15" customHeight="1" x14ac:dyDescent="0.25">
      <c r="C5" s="65"/>
    </row>
    <row r="6" spans="1:3" ht="15" customHeight="1" x14ac:dyDescent="0.25">
      <c r="C6" s="182" t="s">
        <v>202</v>
      </c>
    </row>
    <row r="7" spans="1:3" x14ac:dyDescent="0.25">
      <c r="A7" s="67">
        <v>10</v>
      </c>
      <c r="B7" s="67" t="s">
        <v>240</v>
      </c>
      <c r="C7" s="4">
        <f>HLOOKUP($B$4,'8.11 Bourgeoisie endettement'!$C$6:$P$22,2,0)</f>
        <v>92238.42</v>
      </c>
    </row>
    <row r="8" spans="1:3" x14ac:dyDescent="0.25">
      <c r="A8" s="67"/>
      <c r="B8" s="67"/>
      <c r="C8" s="4"/>
    </row>
    <row r="9" spans="1:3" x14ac:dyDescent="0.25">
      <c r="A9" s="67">
        <v>20</v>
      </c>
      <c r="B9" s="67" t="s">
        <v>252</v>
      </c>
      <c r="C9" s="4">
        <f>HLOOKUP($B$4,'8.11 Bourgeoisie endettement'!$C$6:$P$22,4,0)</f>
        <v>15400</v>
      </c>
    </row>
    <row r="10" spans="1:3" x14ac:dyDescent="0.25">
      <c r="A10" s="67"/>
      <c r="B10" s="67"/>
      <c r="C10" s="4"/>
    </row>
    <row r="11" spans="1:3" x14ac:dyDescent="0.25">
      <c r="A11" s="67">
        <v>200</v>
      </c>
      <c r="B11" s="67" t="s">
        <v>451</v>
      </c>
      <c r="C11" s="4">
        <f>HLOOKUP($B$4,'8.11 Bourgeoisie endettement'!$C$6:$P$22,6,0)</f>
        <v>0</v>
      </c>
    </row>
    <row r="12" spans="1:3" x14ac:dyDescent="0.25">
      <c r="A12" s="67"/>
      <c r="B12" s="67"/>
      <c r="C12" s="4"/>
    </row>
    <row r="13" spans="1:3" x14ac:dyDescent="0.25">
      <c r="A13" s="67">
        <v>201</v>
      </c>
      <c r="B13" s="67" t="s">
        <v>254</v>
      </c>
      <c r="C13" s="4">
        <f>HLOOKUP($B$4,'8.11 Bourgeoisie endettement'!$C$6:$P$22,8,0)</f>
        <v>0</v>
      </c>
    </row>
    <row r="14" spans="1:3" x14ac:dyDescent="0.25">
      <c r="A14" s="67"/>
      <c r="B14" s="67"/>
      <c r="C14" s="4"/>
    </row>
    <row r="15" spans="1:3" x14ac:dyDescent="0.25">
      <c r="A15" s="67">
        <v>206</v>
      </c>
      <c r="B15" s="67" t="s">
        <v>257</v>
      </c>
      <c r="C15" s="4">
        <f>HLOOKUP($B$4,'8.11 Bourgeoisie endettement'!$C$6:$P$22,10,0)</f>
        <v>15400</v>
      </c>
    </row>
    <row r="16" spans="1:3" x14ac:dyDescent="0.25">
      <c r="A16" s="67"/>
      <c r="B16" s="67"/>
      <c r="C16" s="4"/>
    </row>
    <row r="17" spans="1:3" x14ac:dyDescent="0.25">
      <c r="A17" s="67">
        <v>2016</v>
      </c>
      <c r="B17" s="67" t="s">
        <v>269</v>
      </c>
      <c r="C17" s="4">
        <f>HLOOKUP($B$4,'8.11 Bourgeoisie endettement'!$C$6:$P$22,12,0)</f>
        <v>0</v>
      </c>
    </row>
    <row r="18" spans="1:3" x14ac:dyDescent="0.25">
      <c r="A18" s="67"/>
      <c r="B18" s="67"/>
      <c r="C18" s="4"/>
    </row>
    <row r="19" spans="1:3" x14ac:dyDescent="0.25">
      <c r="A19" s="67"/>
      <c r="B19" s="67"/>
      <c r="C19" s="4"/>
    </row>
    <row r="20" spans="1:3" x14ac:dyDescent="0.25">
      <c r="A20" s="67"/>
      <c r="B20" s="99" t="s">
        <v>567</v>
      </c>
      <c r="C20" s="100">
        <f>HLOOKUP($B$4,'8.11 Bourgeoisie endettement'!$C$6:$P$22,15,0)</f>
        <v>15400</v>
      </c>
    </row>
    <row r="21" spans="1:3" x14ac:dyDescent="0.25">
      <c r="A21" s="67"/>
      <c r="B21" s="7"/>
      <c r="C21" s="41"/>
    </row>
    <row r="22" spans="1:3" x14ac:dyDescent="0.25">
      <c r="A22" s="67"/>
      <c r="B22" s="99" t="s">
        <v>498</v>
      </c>
      <c r="C22" s="100">
        <f>HLOOKUP($B$4,'8.11 Bourgeoisie endettement'!$C$6:$P$22,17,0)</f>
        <v>-76838.42</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'8.11 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K148" activePane="bottomRight" state="frozen"/>
      <selection pane="topRight" activeCell="E1" sqref="E1"/>
      <selection pane="bottomLeft" activeCell="A4" sqref="A4"/>
      <selection pane="bottomRight" activeCell="Q179" sqref="Q179"/>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v>0</v>
      </c>
      <c r="N6" s="4">
        <v>0</v>
      </c>
      <c r="O6" s="4">
        <v>0</v>
      </c>
      <c r="P6" s="4">
        <v>0</v>
      </c>
      <c r="Q6" s="4">
        <v>0</v>
      </c>
      <c r="R6" s="4">
        <f t="shared" ref="R6:R13" si="2">SUM(E6:Q6)</f>
        <v>0</v>
      </c>
      <c r="S6" s="1">
        <v>4</v>
      </c>
    </row>
    <row r="7" spans="1:19" x14ac:dyDescent="0.25">
      <c r="C7">
        <v>501</v>
      </c>
      <c r="D7" t="s">
        <v>457</v>
      </c>
      <c r="E7" s="4">
        <v>0</v>
      </c>
      <c r="F7" s="4">
        <v>0</v>
      </c>
      <c r="G7" s="4">
        <v>6087.4</v>
      </c>
      <c r="H7" s="4">
        <v>0</v>
      </c>
      <c r="I7" s="4">
        <v>0</v>
      </c>
      <c r="J7" s="4">
        <v>0</v>
      </c>
      <c r="K7" s="4">
        <v>0</v>
      </c>
      <c r="L7" s="4">
        <v>0</v>
      </c>
      <c r="M7" s="4">
        <v>0</v>
      </c>
      <c r="N7" s="4">
        <v>0</v>
      </c>
      <c r="O7" s="4">
        <v>0</v>
      </c>
      <c r="P7" s="4">
        <v>0</v>
      </c>
      <c r="Q7" s="4">
        <v>0</v>
      </c>
      <c r="R7" s="4">
        <f t="shared" si="2"/>
        <v>6087.4</v>
      </c>
      <c r="S7">
        <v>5</v>
      </c>
    </row>
    <row r="8" spans="1:19" x14ac:dyDescent="0.25">
      <c r="C8">
        <v>502</v>
      </c>
      <c r="D8" t="s">
        <v>458</v>
      </c>
      <c r="E8" s="4">
        <v>0</v>
      </c>
      <c r="F8" s="4">
        <v>0</v>
      </c>
      <c r="G8" s="4">
        <v>0</v>
      </c>
      <c r="H8" s="4">
        <v>0</v>
      </c>
      <c r="I8" s="4">
        <v>0</v>
      </c>
      <c r="J8" s="4">
        <v>0</v>
      </c>
      <c r="K8" s="4">
        <v>0</v>
      </c>
      <c r="L8" s="4">
        <v>0</v>
      </c>
      <c r="M8" s="4">
        <v>0</v>
      </c>
      <c r="N8" s="4">
        <v>0</v>
      </c>
      <c r="O8" s="4">
        <v>0</v>
      </c>
      <c r="P8" s="4">
        <v>0</v>
      </c>
      <c r="Q8" s="4">
        <v>0</v>
      </c>
      <c r="R8" s="4">
        <f t="shared" si="2"/>
        <v>0</v>
      </c>
      <c r="S8">
        <v>6</v>
      </c>
    </row>
    <row r="9" spans="1:19" x14ac:dyDescent="0.25">
      <c r="C9">
        <v>503</v>
      </c>
      <c r="D9" t="s">
        <v>459</v>
      </c>
      <c r="E9" s="4">
        <v>48107.85</v>
      </c>
      <c r="F9" s="4">
        <v>0</v>
      </c>
      <c r="G9" s="4">
        <v>0</v>
      </c>
      <c r="H9" s="4">
        <v>0</v>
      </c>
      <c r="I9" s="4">
        <v>2490.15</v>
      </c>
      <c r="J9" s="4">
        <v>0</v>
      </c>
      <c r="K9" s="4">
        <v>0</v>
      </c>
      <c r="L9" s="4">
        <v>0</v>
      </c>
      <c r="M9" s="4">
        <v>0</v>
      </c>
      <c r="N9" s="4">
        <v>0</v>
      </c>
      <c r="O9" s="4">
        <v>0</v>
      </c>
      <c r="P9" s="4">
        <v>0</v>
      </c>
      <c r="Q9" s="4">
        <v>0</v>
      </c>
      <c r="R9" s="4">
        <f t="shared" si="2"/>
        <v>50598</v>
      </c>
      <c r="S9" s="1">
        <v>7</v>
      </c>
    </row>
    <row r="10" spans="1:19" x14ac:dyDescent="0.25">
      <c r="C10">
        <v>504</v>
      </c>
      <c r="D10" t="s">
        <v>460</v>
      </c>
      <c r="E10" s="4">
        <v>0</v>
      </c>
      <c r="F10" s="4">
        <v>0</v>
      </c>
      <c r="G10" s="4">
        <v>0</v>
      </c>
      <c r="H10" s="4">
        <v>0</v>
      </c>
      <c r="I10" s="4">
        <v>0</v>
      </c>
      <c r="J10" s="4">
        <v>0</v>
      </c>
      <c r="K10" s="4">
        <v>0</v>
      </c>
      <c r="L10" s="4">
        <v>0</v>
      </c>
      <c r="M10" s="4">
        <v>0</v>
      </c>
      <c r="N10" s="4">
        <v>0</v>
      </c>
      <c r="O10" s="4">
        <v>0</v>
      </c>
      <c r="P10" s="4">
        <v>0</v>
      </c>
      <c r="Q10" s="4">
        <v>0</v>
      </c>
      <c r="R10" s="4">
        <f t="shared" si="2"/>
        <v>0</v>
      </c>
      <c r="S10">
        <v>8</v>
      </c>
    </row>
    <row r="11" spans="1:19" x14ac:dyDescent="0.25">
      <c r="C11">
        <v>505</v>
      </c>
      <c r="D11" t="s">
        <v>461</v>
      </c>
      <c r="E11" s="4">
        <v>0</v>
      </c>
      <c r="F11" s="4">
        <v>0</v>
      </c>
      <c r="G11" s="4">
        <v>0</v>
      </c>
      <c r="H11" s="4">
        <v>0</v>
      </c>
      <c r="I11" s="4">
        <v>0</v>
      </c>
      <c r="J11" s="4">
        <v>0</v>
      </c>
      <c r="K11" s="4">
        <v>0</v>
      </c>
      <c r="L11" s="4">
        <v>0</v>
      </c>
      <c r="M11" s="4">
        <v>0</v>
      </c>
      <c r="N11" s="4">
        <v>0</v>
      </c>
      <c r="O11" s="4">
        <v>0</v>
      </c>
      <c r="P11" s="4">
        <v>0</v>
      </c>
      <c r="Q11" s="4">
        <v>0</v>
      </c>
      <c r="R11" s="4">
        <f t="shared" si="2"/>
        <v>0</v>
      </c>
      <c r="S11">
        <v>9</v>
      </c>
    </row>
    <row r="12" spans="1:19" x14ac:dyDescent="0.25">
      <c r="C12">
        <v>506</v>
      </c>
      <c r="D12" t="s">
        <v>462</v>
      </c>
      <c r="E12" s="4">
        <v>0</v>
      </c>
      <c r="F12" s="4">
        <v>0</v>
      </c>
      <c r="G12" s="4">
        <v>0</v>
      </c>
      <c r="H12" s="4">
        <v>0</v>
      </c>
      <c r="I12" s="4">
        <v>0</v>
      </c>
      <c r="J12" s="4">
        <v>0</v>
      </c>
      <c r="K12" s="4">
        <v>0</v>
      </c>
      <c r="L12" s="4">
        <v>0</v>
      </c>
      <c r="M12" s="4">
        <v>0</v>
      </c>
      <c r="N12" s="4">
        <v>0</v>
      </c>
      <c r="O12" s="4">
        <v>0</v>
      </c>
      <c r="P12" s="4">
        <v>0</v>
      </c>
      <c r="Q12" s="4">
        <v>0</v>
      </c>
      <c r="R12" s="4">
        <f t="shared" si="2"/>
        <v>0</v>
      </c>
      <c r="S12" s="1">
        <v>10</v>
      </c>
    </row>
    <row r="13" spans="1:19" x14ac:dyDescent="0.25">
      <c r="C13">
        <v>509</v>
      </c>
      <c r="D13" t="s">
        <v>463</v>
      </c>
      <c r="E13" s="4">
        <v>0</v>
      </c>
      <c r="F13" s="4">
        <v>0</v>
      </c>
      <c r="G13" s="4">
        <v>0</v>
      </c>
      <c r="H13" s="4">
        <v>0</v>
      </c>
      <c r="I13" s="4">
        <v>0</v>
      </c>
      <c r="J13" s="4">
        <v>0</v>
      </c>
      <c r="K13" s="4">
        <v>0</v>
      </c>
      <c r="L13" s="4">
        <v>0</v>
      </c>
      <c r="M13" s="4">
        <v>0</v>
      </c>
      <c r="N13" s="4">
        <v>0</v>
      </c>
      <c r="O13" s="4">
        <v>0</v>
      </c>
      <c r="P13" s="4">
        <v>0</v>
      </c>
      <c r="Q13" s="4">
        <v>0</v>
      </c>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v>0</v>
      </c>
      <c r="N16" s="4">
        <v>0</v>
      </c>
      <c r="O16" s="4">
        <v>0</v>
      </c>
      <c r="P16" s="4">
        <v>0</v>
      </c>
      <c r="Q16" s="4">
        <v>0</v>
      </c>
      <c r="R16" s="4">
        <f t="shared" ref="R16:R23" si="4">SUM(E16:Q16)</f>
        <v>0</v>
      </c>
      <c r="S16">
        <v>14</v>
      </c>
    </row>
    <row r="17" spans="2:19" x14ac:dyDescent="0.25">
      <c r="C17">
        <v>511</v>
      </c>
      <c r="D17" t="s">
        <v>457</v>
      </c>
      <c r="E17" s="4">
        <v>0</v>
      </c>
      <c r="F17" s="4">
        <v>0</v>
      </c>
      <c r="G17" s="4">
        <v>0</v>
      </c>
      <c r="H17" s="4">
        <v>0</v>
      </c>
      <c r="I17" s="4">
        <v>0</v>
      </c>
      <c r="J17" s="4">
        <v>0</v>
      </c>
      <c r="K17" s="4">
        <v>0</v>
      </c>
      <c r="L17" s="4">
        <v>0</v>
      </c>
      <c r="M17" s="4">
        <v>0</v>
      </c>
      <c r="N17" s="4">
        <v>0</v>
      </c>
      <c r="O17" s="4">
        <v>0</v>
      </c>
      <c r="P17" s="4">
        <v>0</v>
      </c>
      <c r="Q17" s="4">
        <v>0</v>
      </c>
      <c r="R17" s="4">
        <f t="shared" si="4"/>
        <v>0</v>
      </c>
      <c r="S17">
        <v>15</v>
      </c>
    </row>
    <row r="18" spans="2:19" x14ac:dyDescent="0.25">
      <c r="C18">
        <v>512</v>
      </c>
      <c r="D18" t="s">
        <v>458</v>
      </c>
      <c r="E18" s="4">
        <v>0</v>
      </c>
      <c r="F18" s="4">
        <v>0</v>
      </c>
      <c r="G18" s="4">
        <v>0</v>
      </c>
      <c r="H18" s="4">
        <v>0</v>
      </c>
      <c r="I18" s="4">
        <v>0</v>
      </c>
      <c r="J18" s="4">
        <v>0</v>
      </c>
      <c r="K18" s="4">
        <v>0</v>
      </c>
      <c r="L18" s="4">
        <v>0</v>
      </c>
      <c r="M18" s="4">
        <v>0</v>
      </c>
      <c r="N18" s="4">
        <v>0</v>
      </c>
      <c r="O18" s="4">
        <v>0</v>
      </c>
      <c r="P18" s="4">
        <v>0</v>
      </c>
      <c r="Q18" s="4">
        <v>0</v>
      </c>
      <c r="R18" s="4">
        <f t="shared" si="4"/>
        <v>0</v>
      </c>
      <c r="S18" s="1">
        <v>16</v>
      </c>
    </row>
    <row r="19" spans="2:19" x14ac:dyDescent="0.25">
      <c r="C19">
        <v>513</v>
      </c>
      <c r="D19" t="s">
        <v>459</v>
      </c>
      <c r="E19" s="4">
        <v>0</v>
      </c>
      <c r="F19" s="4">
        <v>0</v>
      </c>
      <c r="G19" s="4">
        <v>0</v>
      </c>
      <c r="H19" s="4">
        <v>0</v>
      </c>
      <c r="I19" s="4">
        <v>0</v>
      </c>
      <c r="J19" s="4">
        <v>0</v>
      </c>
      <c r="K19" s="4">
        <v>0</v>
      </c>
      <c r="L19" s="4">
        <v>0</v>
      </c>
      <c r="M19" s="4">
        <v>0</v>
      </c>
      <c r="N19" s="4">
        <v>0</v>
      </c>
      <c r="O19" s="4">
        <v>0</v>
      </c>
      <c r="P19" s="4">
        <v>0</v>
      </c>
      <c r="Q19" s="4">
        <v>0</v>
      </c>
      <c r="R19" s="4">
        <f t="shared" si="4"/>
        <v>0</v>
      </c>
      <c r="S19">
        <v>17</v>
      </c>
    </row>
    <row r="20" spans="2:19" x14ac:dyDescent="0.25">
      <c r="C20">
        <v>514</v>
      </c>
      <c r="D20" t="s">
        <v>460</v>
      </c>
      <c r="E20" s="4">
        <v>0</v>
      </c>
      <c r="F20" s="4">
        <v>0</v>
      </c>
      <c r="G20" s="4">
        <v>0</v>
      </c>
      <c r="H20" s="4">
        <v>0</v>
      </c>
      <c r="I20" s="4">
        <v>0</v>
      </c>
      <c r="J20" s="4">
        <v>0</v>
      </c>
      <c r="K20" s="4">
        <v>0</v>
      </c>
      <c r="L20" s="4">
        <v>0</v>
      </c>
      <c r="M20" s="4">
        <v>0</v>
      </c>
      <c r="N20" s="4">
        <v>0</v>
      </c>
      <c r="O20" s="4">
        <v>0</v>
      </c>
      <c r="P20" s="4">
        <v>0</v>
      </c>
      <c r="Q20" s="4">
        <v>0</v>
      </c>
      <c r="R20" s="4">
        <f t="shared" si="4"/>
        <v>0</v>
      </c>
      <c r="S20">
        <v>18</v>
      </c>
    </row>
    <row r="21" spans="2:19" x14ac:dyDescent="0.25">
      <c r="C21">
        <v>515</v>
      </c>
      <c r="D21" t="s">
        <v>461</v>
      </c>
      <c r="E21" s="4">
        <v>0</v>
      </c>
      <c r="F21" s="4">
        <v>0</v>
      </c>
      <c r="G21" s="4">
        <v>0</v>
      </c>
      <c r="H21" s="4">
        <v>0</v>
      </c>
      <c r="I21" s="4">
        <v>0</v>
      </c>
      <c r="J21" s="4">
        <v>0</v>
      </c>
      <c r="K21" s="4">
        <v>0</v>
      </c>
      <c r="L21" s="4">
        <v>0</v>
      </c>
      <c r="M21" s="4">
        <v>0</v>
      </c>
      <c r="N21" s="4">
        <v>0</v>
      </c>
      <c r="O21" s="4">
        <v>0</v>
      </c>
      <c r="P21" s="4">
        <v>0</v>
      </c>
      <c r="Q21" s="4">
        <v>0</v>
      </c>
      <c r="R21" s="4">
        <f t="shared" si="4"/>
        <v>0</v>
      </c>
      <c r="S21" s="1">
        <v>19</v>
      </c>
    </row>
    <row r="22" spans="2:19" x14ac:dyDescent="0.25">
      <c r="C22">
        <v>516</v>
      </c>
      <c r="D22" t="s">
        <v>462</v>
      </c>
      <c r="E22" s="4">
        <v>0</v>
      </c>
      <c r="F22" s="4">
        <v>0</v>
      </c>
      <c r="G22" s="4">
        <v>0</v>
      </c>
      <c r="H22" s="4">
        <v>0</v>
      </c>
      <c r="I22" s="4">
        <v>0</v>
      </c>
      <c r="J22" s="4">
        <v>0</v>
      </c>
      <c r="K22" s="4">
        <v>0</v>
      </c>
      <c r="L22" s="4">
        <v>0</v>
      </c>
      <c r="M22" s="4">
        <v>0</v>
      </c>
      <c r="N22" s="4">
        <v>0</v>
      </c>
      <c r="O22" s="4">
        <v>0</v>
      </c>
      <c r="P22" s="4">
        <v>0</v>
      </c>
      <c r="Q22" s="4">
        <v>0</v>
      </c>
      <c r="R22" s="4">
        <f t="shared" si="4"/>
        <v>0</v>
      </c>
      <c r="S22">
        <v>20</v>
      </c>
    </row>
    <row r="23" spans="2:19" x14ac:dyDescent="0.25">
      <c r="C23">
        <v>519</v>
      </c>
      <c r="D23" t="s">
        <v>463</v>
      </c>
      <c r="E23" s="4">
        <v>0</v>
      </c>
      <c r="F23" s="4">
        <v>0</v>
      </c>
      <c r="G23" s="4">
        <v>0</v>
      </c>
      <c r="H23" s="4">
        <v>0</v>
      </c>
      <c r="I23" s="4">
        <v>0</v>
      </c>
      <c r="J23" s="4">
        <v>0</v>
      </c>
      <c r="K23" s="4">
        <v>0</v>
      </c>
      <c r="L23" s="4">
        <v>0</v>
      </c>
      <c r="M23" s="4">
        <v>0</v>
      </c>
      <c r="N23" s="4">
        <v>0</v>
      </c>
      <c r="O23" s="4">
        <v>0</v>
      </c>
      <c r="P23" s="4">
        <v>0</v>
      </c>
      <c r="Q23" s="4">
        <v>0</v>
      </c>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v>0</v>
      </c>
      <c r="N26" s="4">
        <v>0</v>
      </c>
      <c r="O26" s="4">
        <v>0</v>
      </c>
      <c r="P26" s="4">
        <v>0</v>
      </c>
      <c r="Q26" s="4">
        <v>0</v>
      </c>
      <c r="R26" s="4">
        <f>SUM(E26:Q26)</f>
        <v>0</v>
      </c>
      <c r="S26">
        <v>24</v>
      </c>
    </row>
    <row r="27" spans="2:19" x14ac:dyDescent="0.25">
      <c r="C27">
        <v>521</v>
      </c>
      <c r="D27" t="s">
        <v>367</v>
      </c>
      <c r="E27" s="4">
        <v>0</v>
      </c>
      <c r="F27" s="4">
        <v>0</v>
      </c>
      <c r="G27" s="4">
        <v>0</v>
      </c>
      <c r="H27" s="4">
        <v>0</v>
      </c>
      <c r="I27" s="4">
        <v>0</v>
      </c>
      <c r="J27" s="4">
        <v>0</v>
      </c>
      <c r="K27" s="4">
        <v>0</v>
      </c>
      <c r="L27" s="4">
        <v>0</v>
      </c>
      <c r="M27" s="4">
        <v>0</v>
      </c>
      <c r="N27" s="4">
        <v>0</v>
      </c>
      <c r="O27" s="4">
        <v>0</v>
      </c>
      <c r="P27" s="4">
        <v>0</v>
      </c>
      <c r="Q27" s="4">
        <v>0</v>
      </c>
      <c r="R27" s="4">
        <f>SUM(E27:Q27)</f>
        <v>0</v>
      </c>
      <c r="S27" s="1">
        <v>25</v>
      </c>
    </row>
    <row r="28" spans="2:19" x14ac:dyDescent="0.25">
      <c r="C28">
        <v>529</v>
      </c>
      <c r="D28" t="s">
        <v>465</v>
      </c>
      <c r="E28" s="4">
        <v>0</v>
      </c>
      <c r="F28" s="4">
        <v>0</v>
      </c>
      <c r="G28" s="4">
        <v>0</v>
      </c>
      <c r="H28" s="4">
        <v>0</v>
      </c>
      <c r="I28" s="4">
        <v>0</v>
      </c>
      <c r="J28" s="4">
        <v>0</v>
      </c>
      <c r="K28" s="4">
        <v>0</v>
      </c>
      <c r="L28" s="4">
        <v>0</v>
      </c>
      <c r="M28" s="4">
        <v>0</v>
      </c>
      <c r="N28" s="4">
        <v>0</v>
      </c>
      <c r="O28" s="4">
        <v>0</v>
      </c>
      <c r="P28" s="4">
        <v>0</v>
      </c>
      <c r="Q28" s="4">
        <v>0</v>
      </c>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v>0</v>
      </c>
      <c r="N31" s="4">
        <v>0</v>
      </c>
      <c r="O31" s="4">
        <v>0</v>
      </c>
      <c r="P31" s="4">
        <v>0</v>
      </c>
      <c r="Q31" s="4">
        <v>0</v>
      </c>
      <c r="R31" s="4">
        <f t="shared" ref="R31:R39" si="7">SUM(E31:Q31)</f>
        <v>0</v>
      </c>
      <c r="S31">
        <v>29</v>
      </c>
    </row>
    <row r="32" spans="2:19" x14ac:dyDescent="0.25">
      <c r="C32">
        <v>541</v>
      </c>
      <c r="D32" t="s">
        <v>467</v>
      </c>
      <c r="E32" s="4">
        <v>0</v>
      </c>
      <c r="F32" s="4">
        <v>0</v>
      </c>
      <c r="G32" s="4">
        <v>0</v>
      </c>
      <c r="H32" s="4">
        <v>0</v>
      </c>
      <c r="I32" s="4">
        <v>0</v>
      </c>
      <c r="J32" s="4">
        <v>0</v>
      </c>
      <c r="K32" s="4">
        <v>0</v>
      </c>
      <c r="L32" s="4">
        <v>0</v>
      </c>
      <c r="M32" s="4">
        <v>0</v>
      </c>
      <c r="N32" s="4">
        <v>0</v>
      </c>
      <c r="O32" s="4">
        <v>0</v>
      </c>
      <c r="P32" s="4">
        <v>0</v>
      </c>
      <c r="Q32" s="4">
        <v>0</v>
      </c>
      <c r="R32" s="4">
        <f t="shared" si="7"/>
        <v>0</v>
      </c>
      <c r="S32">
        <v>30</v>
      </c>
    </row>
    <row r="33" spans="2:19" x14ac:dyDescent="0.25">
      <c r="C33">
        <v>542</v>
      </c>
      <c r="D33" t="s">
        <v>468</v>
      </c>
      <c r="E33" s="4">
        <v>0</v>
      </c>
      <c r="F33" s="4">
        <v>0</v>
      </c>
      <c r="G33" s="4">
        <v>0</v>
      </c>
      <c r="H33" s="4">
        <v>0</v>
      </c>
      <c r="I33" s="4">
        <v>0</v>
      </c>
      <c r="J33" s="4">
        <v>0</v>
      </c>
      <c r="K33" s="4">
        <v>0</v>
      </c>
      <c r="L33" s="4">
        <v>0</v>
      </c>
      <c r="M33" s="4">
        <v>0</v>
      </c>
      <c r="N33" s="4">
        <v>0</v>
      </c>
      <c r="O33" s="4">
        <v>0</v>
      </c>
      <c r="P33" s="4">
        <v>0</v>
      </c>
      <c r="Q33" s="4">
        <v>0</v>
      </c>
      <c r="R33" s="4">
        <f t="shared" si="7"/>
        <v>0</v>
      </c>
      <c r="S33" s="1">
        <v>31</v>
      </c>
    </row>
    <row r="34" spans="2:19" x14ac:dyDescent="0.25">
      <c r="C34">
        <v>543</v>
      </c>
      <c r="D34" t="s">
        <v>469</v>
      </c>
      <c r="E34" s="4">
        <v>0</v>
      </c>
      <c r="F34" s="4">
        <v>0</v>
      </c>
      <c r="G34" s="4">
        <v>0</v>
      </c>
      <c r="H34" s="4">
        <v>0</v>
      </c>
      <c r="I34" s="4">
        <v>0</v>
      </c>
      <c r="J34" s="4">
        <v>0</v>
      </c>
      <c r="K34" s="4">
        <v>0</v>
      </c>
      <c r="L34" s="4">
        <v>0</v>
      </c>
      <c r="M34" s="4">
        <v>0</v>
      </c>
      <c r="N34" s="4">
        <v>0</v>
      </c>
      <c r="O34" s="4">
        <v>0</v>
      </c>
      <c r="P34" s="4">
        <v>0</v>
      </c>
      <c r="Q34" s="4">
        <v>0</v>
      </c>
      <c r="R34" s="4">
        <f t="shared" si="7"/>
        <v>0</v>
      </c>
      <c r="S34">
        <v>32</v>
      </c>
    </row>
    <row r="35" spans="2:19" x14ac:dyDescent="0.25">
      <c r="C35">
        <v>544</v>
      </c>
      <c r="D35" t="s">
        <v>470</v>
      </c>
      <c r="E35" s="4">
        <v>0</v>
      </c>
      <c r="F35" s="4">
        <v>0</v>
      </c>
      <c r="G35" s="4">
        <v>0</v>
      </c>
      <c r="H35" s="4">
        <v>0</v>
      </c>
      <c r="I35" s="4">
        <v>0</v>
      </c>
      <c r="J35" s="4">
        <v>0</v>
      </c>
      <c r="K35" s="4">
        <v>0</v>
      </c>
      <c r="L35" s="4">
        <v>0</v>
      </c>
      <c r="M35" s="4">
        <v>0</v>
      </c>
      <c r="N35" s="4">
        <v>0</v>
      </c>
      <c r="O35" s="4">
        <v>0</v>
      </c>
      <c r="P35" s="4">
        <v>0</v>
      </c>
      <c r="Q35" s="4">
        <v>0</v>
      </c>
      <c r="R35" s="4">
        <f t="shared" si="7"/>
        <v>0</v>
      </c>
      <c r="S35">
        <v>33</v>
      </c>
    </row>
    <row r="36" spans="2:19" x14ac:dyDescent="0.25">
      <c r="C36">
        <v>545</v>
      </c>
      <c r="D36" t="s">
        <v>471</v>
      </c>
      <c r="E36" s="4">
        <v>0</v>
      </c>
      <c r="F36" s="4">
        <v>0</v>
      </c>
      <c r="G36" s="4">
        <v>0</v>
      </c>
      <c r="H36" s="4">
        <v>0</v>
      </c>
      <c r="I36" s="4">
        <v>0</v>
      </c>
      <c r="J36" s="4">
        <v>0</v>
      </c>
      <c r="K36" s="4">
        <v>0</v>
      </c>
      <c r="L36" s="4">
        <v>0</v>
      </c>
      <c r="M36" s="4">
        <v>0</v>
      </c>
      <c r="N36" s="4">
        <v>0</v>
      </c>
      <c r="O36" s="4">
        <v>0</v>
      </c>
      <c r="P36" s="4">
        <v>0</v>
      </c>
      <c r="Q36" s="4">
        <v>0</v>
      </c>
      <c r="R36" s="4">
        <f t="shared" si="7"/>
        <v>0</v>
      </c>
      <c r="S36" s="1">
        <v>34</v>
      </c>
    </row>
    <row r="37" spans="2:19" x14ac:dyDescent="0.25">
      <c r="C37">
        <v>546</v>
      </c>
      <c r="D37" t="s">
        <v>472</v>
      </c>
      <c r="E37" s="4">
        <v>0</v>
      </c>
      <c r="F37" s="4">
        <v>0</v>
      </c>
      <c r="G37" s="4">
        <v>0</v>
      </c>
      <c r="H37" s="4">
        <v>0</v>
      </c>
      <c r="I37" s="4">
        <v>0</v>
      </c>
      <c r="J37" s="4">
        <v>0</v>
      </c>
      <c r="K37" s="4">
        <v>0</v>
      </c>
      <c r="L37" s="4">
        <v>0</v>
      </c>
      <c r="M37" s="4">
        <v>0</v>
      </c>
      <c r="N37" s="4">
        <v>0</v>
      </c>
      <c r="O37" s="4">
        <v>0</v>
      </c>
      <c r="P37" s="4">
        <v>0</v>
      </c>
      <c r="Q37" s="4">
        <v>0</v>
      </c>
      <c r="R37" s="4">
        <f t="shared" si="7"/>
        <v>0</v>
      </c>
      <c r="S37">
        <v>35</v>
      </c>
    </row>
    <row r="38" spans="2:19" x14ac:dyDescent="0.25">
      <c r="C38">
        <v>547</v>
      </c>
      <c r="D38" t="s">
        <v>473</v>
      </c>
      <c r="E38" s="4">
        <v>0</v>
      </c>
      <c r="F38" s="4">
        <v>0</v>
      </c>
      <c r="G38" s="4">
        <v>0</v>
      </c>
      <c r="H38" s="4">
        <v>0</v>
      </c>
      <c r="I38" s="4">
        <v>0</v>
      </c>
      <c r="J38" s="4">
        <v>0</v>
      </c>
      <c r="K38" s="4">
        <v>0</v>
      </c>
      <c r="L38" s="4">
        <v>0</v>
      </c>
      <c r="M38" s="4">
        <v>0</v>
      </c>
      <c r="N38" s="4">
        <v>0</v>
      </c>
      <c r="O38" s="4">
        <v>0</v>
      </c>
      <c r="P38" s="4">
        <v>0</v>
      </c>
      <c r="Q38" s="4">
        <v>0</v>
      </c>
      <c r="R38" s="4">
        <f t="shared" si="7"/>
        <v>0</v>
      </c>
      <c r="S38">
        <v>36</v>
      </c>
    </row>
    <row r="39" spans="2:19" x14ac:dyDescent="0.25">
      <c r="C39">
        <v>548</v>
      </c>
      <c r="D39" t="s">
        <v>474</v>
      </c>
      <c r="E39" s="4">
        <v>0</v>
      </c>
      <c r="F39" s="4">
        <v>0</v>
      </c>
      <c r="G39" s="4">
        <v>0</v>
      </c>
      <c r="H39" s="4">
        <v>0</v>
      </c>
      <c r="I39" s="4">
        <v>0</v>
      </c>
      <c r="J39" s="4">
        <v>0</v>
      </c>
      <c r="K39" s="4">
        <v>0</v>
      </c>
      <c r="L39" s="4">
        <v>0</v>
      </c>
      <c r="M39" s="4">
        <v>0</v>
      </c>
      <c r="N39" s="4">
        <v>0</v>
      </c>
      <c r="O39" s="4">
        <v>0</v>
      </c>
      <c r="P39" s="4">
        <v>0</v>
      </c>
      <c r="Q39" s="4">
        <v>0</v>
      </c>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v>0</v>
      </c>
      <c r="N42" s="4">
        <v>0</v>
      </c>
      <c r="O42" s="4">
        <v>0</v>
      </c>
      <c r="P42" s="4">
        <v>0</v>
      </c>
      <c r="Q42" s="4">
        <v>0</v>
      </c>
      <c r="R42" s="4">
        <f t="shared" ref="R42:R50" si="9">SUM(E42:Q42)</f>
        <v>0</v>
      </c>
      <c r="S42" s="1">
        <v>40</v>
      </c>
    </row>
    <row r="43" spans="2:19" x14ac:dyDescent="0.25">
      <c r="C43">
        <v>551</v>
      </c>
      <c r="D43" t="s">
        <v>467</v>
      </c>
      <c r="E43" s="4">
        <v>0</v>
      </c>
      <c r="F43" s="4">
        <v>0</v>
      </c>
      <c r="G43" s="4">
        <v>0</v>
      </c>
      <c r="H43" s="4">
        <v>0</v>
      </c>
      <c r="I43" s="4">
        <v>0</v>
      </c>
      <c r="J43" s="4">
        <v>0</v>
      </c>
      <c r="K43" s="4">
        <v>0</v>
      </c>
      <c r="L43" s="4">
        <v>0</v>
      </c>
      <c r="M43" s="4">
        <v>0</v>
      </c>
      <c r="N43" s="4">
        <v>0</v>
      </c>
      <c r="O43" s="4">
        <v>0</v>
      </c>
      <c r="P43" s="4">
        <v>0</v>
      </c>
      <c r="Q43" s="4">
        <v>0</v>
      </c>
      <c r="R43" s="4">
        <f t="shared" si="9"/>
        <v>0</v>
      </c>
      <c r="S43">
        <v>41</v>
      </c>
    </row>
    <row r="44" spans="2:19" x14ac:dyDescent="0.25">
      <c r="C44">
        <v>552</v>
      </c>
      <c r="D44" t="s">
        <v>468</v>
      </c>
      <c r="E44" s="4">
        <v>0</v>
      </c>
      <c r="F44" s="4">
        <v>0</v>
      </c>
      <c r="G44" s="4">
        <v>0</v>
      </c>
      <c r="H44" s="4">
        <v>0</v>
      </c>
      <c r="I44" s="4">
        <v>0</v>
      </c>
      <c r="J44" s="4">
        <v>0</v>
      </c>
      <c r="K44" s="4">
        <v>0</v>
      </c>
      <c r="L44" s="4">
        <v>0</v>
      </c>
      <c r="M44" s="4">
        <v>0</v>
      </c>
      <c r="N44" s="4">
        <v>0</v>
      </c>
      <c r="O44" s="4">
        <v>0</v>
      </c>
      <c r="P44" s="4">
        <v>0</v>
      </c>
      <c r="Q44" s="4">
        <v>0</v>
      </c>
      <c r="R44" s="4">
        <f t="shared" si="9"/>
        <v>0</v>
      </c>
      <c r="S44">
        <v>42</v>
      </c>
    </row>
    <row r="45" spans="2:19" x14ac:dyDescent="0.25">
      <c r="C45">
        <v>553</v>
      </c>
      <c r="D45" t="s">
        <v>469</v>
      </c>
      <c r="E45" s="4">
        <v>0</v>
      </c>
      <c r="F45" s="4">
        <v>0</v>
      </c>
      <c r="G45" s="4">
        <v>0</v>
      </c>
      <c r="H45" s="4">
        <v>0</v>
      </c>
      <c r="I45" s="4">
        <v>0</v>
      </c>
      <c r="J45" s="4">
        <v>0</v>
      </c>
      <c r="K45" s="4">
        <v>0</v>
      </c>
      <c r="L45" s="4">
        <v>0</v>
      </c>
      <c r="M45" s="4">
        <v>0</v>
      </c>
      <c r="N45" s="4">
        <v>0</v>
      </c>
      <c r="O45" s="4">
        <v>0</v>
      </c>
      <c r="P45" s="4">
        <v>0</v>
      </c>
      <c r="Q45" s="4">
        <v>0</v>
      </c>
      <c r="R45" s="4">
        <f t="shared" si="9"/>
        <v>0</v>
      </c>
      <c r="S45" s="1">
        <v>43</v>
      </c>
    </row>
    <row r="46" spans="2:19" x14ac:dyDescent="0.25">
      <c r="C46">
        <v>554</v>
      </c>
      <c r="D46" t="s">
        <v>470</v>
      </c>
      <c r="E46" s="4">
        <v>0</v>
      </c>
      <c r="F46" s="4">
        <v>0</v>
      </c>
      <c r="G46" s="4">
        <v>0</v>
      </c>
      <c r="H46" s="4">
        <v>0</v>
      </c>
      <c r="I46" s="4">
        <v>0</v>
      </c>
      <c r="J46" s="4">
        <v>0</v>
      </c>
      <c r="K46" s="4">
        <v>0</v>
      </c>
      <c r="L46" s="4">
        <v>0</v>
      </c>
      <c r="M46" s="4">
        <v>0</v>
      </c>
      <c r="N46" s="4">
        <v>0</v>
      </c>
      <c r="O46" s="4">
        <v>0</v>
      </c>
      <c r="P46" s="4">
        <v>0</v>
      </c>
      <c r="Q46" s="4">
        <v>0</v>
      </c>
      <c r="R46" s="4">
        <f t="shared" si="9"/>
        <v>0</v>
      </c>
      <c r="S46">
        <v>44</v>
      </c>
    </row>
    <row r="47" spans="2:19" x14ac:dyDescent="0.25">
      <c r="C47">
        <v>555</v>
      </c>
      <c r="D47" t="s">
        <v>471</v>
      </c>
      <c r="E47" s="4">
        <v>0</v>
      </c>
      <c r="F47" s="4">
        <v>0</v>
      </c>
      <c r="G47" s="4">
        <v>0</v>
      </c>
      <c r="H47" s="4">
        <v>0</v>
      </c>
      <c r="I47" s="4">
        <v>0</v>
      </c>
      <c r="J47" s="4">
        <v>0</v>
      </c>
      <c r="K47" s="4">
        <v>0</v>
      </c>
      <c r="L47" s="4">
        <v>0</v>
      </c>
      <c r="M47" s="4">
        <v>0</v>
      </c>
      <c r="N47" s="4">
        <v>0</v>
      </c>
      <c r="O47" s="4">
        <v>0</v>
      </c>
      <c r="P47" s="4">
        <v>0</v>
      </c>
      <c r="Q47" s="4">
        <v>0</v>
      </c>
      <c r="R47" s="4">
        <f t="shared" si="9"/>
        <v>0</v>
      </c>
      <c r="S47">
        <v>45</v>
      </c>
    </row>
    <row r="48" spans="2:19" x14ac:dyDescent="0.25">
      <c r="C48">
        <v>556</v>
      </c>
      <c r="D48" t="s">
        <v>472</v>
      </c>
      <c r="E48" s="4">
        <v>0</v>
      </c>
      <c r="F48" s="4">
        <v>0</v>
      </c>
      <c r="G48" s="4">
        <v>0</v>
      </c>
      <c r="H48" s="4">
        <v>0</v>
      </c>
      <c r="I48" s="4">
        <v>0</v>
      </c>
      <c r="J48" s="4">
        <v>0</v>
      </c>
      <c r="K48" s="4">
        <v>0</v>
      </c>
      <c r="L48" s="4">
        <v>0</v>
      </c>
      <c r="M48" s="4">
        <v>0</v>
      </c>
      <c r="N48" s="4">
        <v>0</v>
      </c>
      <c r="O48" s="4">
        <v>0</v>
      </c>
      <c r="P48" s="4">
        <v>0</v>
      </c>
      <c r="Q48" s="4">
        <v>0</v>
      </c>
      <c r="R48" s="4">
        <f t="shared" si="9"/>
        <v>0</v>
      </c>
      <c r="S48" s="1">
        <v>46</v>
      </c>
    </row>
    <row r="49" spans="2:19" x14ac:dyDescent="0.25">
      <c r="C49">
        <v>557</v>
      </c>
      <c r="D49" t="s">
        <v>473</v>
      </c>
      <c r="E49" s="4">
        <v>0</v>
      </c>
      <c r="F49" s="4">
        <v>0</v>
      </c>
      <c r="G49" s="4">
        <v>0</v>
      </c>
      <c r="H49" s="4">
        <v>0</v>
      </c>
      <c r="I49" s="4">
        <v>0</v>
      </c>
      <c r="J49" s="4">
        <v>0</v>
      </c>
      <c r="K49" s="4">
        <v>0</v>
      </c>
      <c r="L49" s="4">
        <v>0</v>
      </c>
      <c r="M49" s="4">
        <v>0</v>
      </c>
      <c r="N49" s="4">
        <v>0</v>
      </c>
      <c r="O49" s="4">
        <v>0</v>
      </c>
      <c r="P49" s="4">
        <v>0</v>
      </c>
      <c r="Q49" s="4">
        <v>0</v>
      </c>
      <c r="R49" s="4">
        <f t="shared" si="9"/>
        <v>0</v>
      </c>
      <c r="S49">
        <v>47</v>
      </c>
    </row>
    <row r="50" spans="2:19" x14ac:dyDescent="0.25">
      <c r="C50">
        <v>558</v>
      </c>
      <c r="D50" t="s">
        <v>474</v>
      </c>
      <c r="E50" s="4">
        <v>0</v>
      </c>
      <c r="F50" s="4">
        <v>0</v>
      </c>
      <c r="G50" s="4">
        <v>0</v>
      </c>
      <c r="H50" s="4">
        <v>0</v>
      </c>
      <c r="I50" s="4">
        <v>0</v>
      </c>
      <c r="J50" s="4">
        <v>0</v>
      </c>
      <c r="K50" s="4">
        <v>0</v>
      </c>
      <c r="L50" s="4">
        <v>0</v>
      </c>
      <c r="M50" s="4">
        <v>0</v>
      </c>
      <c r="N50" s="4">
        <v>0</v>
      </c>
      <c r="O50" s="4">
        <v>0</v>
      </c>
      <c r="P50" s="4">
        <v>0</v>
      </c>
      <c r="Q50" s="4">
        <v>0</v>
      </c>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v>0</v>
      </c>
      <c r="N53" s="4">
        <v>0</v>
      </c>
      <c r="O53" s="4">
        <v>0</v>
      </c>
      <c r="P53" s="4">
        <v>0</v>
      </c>
      <c r="Q53" s="4">
        <v>0</v>
      </c>
      <c r="R53" s="4">
        <f t="shared" ref="R53:R61" si="11">SUM(E53:Q53)</f>
        <v>0</v>
      </c>
      <c r="S53">
        <v>51</v>
      </c>
    </row>
    <row r="54" spans="2:19" x14ac:dyDescent="0.25">
      <c r="C54">
        <v>561</v>
      </c>
      <c r="D54" t="s">
        <v>467</v>
      </c>
      <c r="E54" s="4">
        <v>0</v>
      </c>
      <c r="F54" s="4">
        <v>0</v>
      </c>
      <c r="G54" s="4">
        <v>0</v>
      </c>
      <c r="H54" s="4">
        <v>0</v>
      </c>
      <c r="I54" s="4">
        <v>0</v>
      </c>
      <c r="J54" s="4">
        <v>0</v>
      </c>
      <c r="K54" s="4">
        <v>0</v>
      </c>
      <c r="L54" s="4">
        <v>0</v>
      </c>
      <c r="M54" s="4">
        <v>0</v>
      </c>
      <c r="N54" s="4">
        <v>0</v>
      </c>
      <c r="O54" s="4">
        <v>0</v>
      </c>
      <c r="P54" s="4">
        <v>0</v>
      </c>
      <c r="Q54" s="4">
        <v>0</v>
      </c>
      <c r="R54" s="4">
        <f t="shared" si="11"/>
        <v>0</v>
      </c>
      <c r="S54" s="1">
        <v>52</v>
      </c>
    </row>
    <row r="55" spans="2:19" x14ac:dyDescent="0.25">
      <c r="C55">
        <v>562</v>
      </c>
      <c r="D55" t="s">
        <v>468</v>
      </c>
      <c r="E55" s="4">
        <v>0</v>
      </c>
      <c r="F55" s="4">
        <v>0</v>
      </c>
      <c r="G55" s="4">
        <v>0</v>
      </c>
      <c r="H55" s="4">
        <v>0</v>
      </c>
      <c r="I55" s="4">
        <v>0</v>
      </c>
      <c r="J55" s="4">
        <v>0</v>
      </c>
      <c r="K55" s="4">
        <v>0</v>
      </c>
      <c r="L55" s="4">
        <v>0</v>
      </c>
      <c r="M55" s="4">
        <v>0</v>
      </c>
      <c r="N55" s="4">
        <v>0</v>
      </c>
      <c r="O55" s="4">
        <v>0</v>
      </c>
      <c r="P55" s="4">
        <v>0</v>
      </c>
      <c r="Q55" s="4">
        <v>0</v>
      </c>
      <c r="R55" s="4">
        <f t="shared" si="11"/>
        <v>0</v>
      </c>
      <c r="S55">
        <v>53</v>
      </c>
    </row>
    <row r="56" spans="2:19" x14ac:dyDescent="0.25">
      <c r="C56">
        <v>563</v>
      </c>
      <c r="D56" t="s">
        <v>469</v>
      </c>
      <c r="E56" s="4">
        <v>0</v>
      </c>
      <c r="F56" s="4">
        <v>0</v>
      </c>
      <c r="G56" s="4">
        <v>0</v>
      </c>
      <c r="H56" s="4">
        <v>0</v>
      </c>
      <c r="I56" s="4">
        <v>0</v>
      </c>
      <c r="J56" s="4">
        <v>0</v>
      </c>
      <c r="K56" s="4">
        <v>0</v>
      </c>
      <c r="L56" s="4">
        <v>0</v>
      </c>
      <c r="M56" s="4">
        <v>0</v>
      </c>
      <c r="N56" s="4">
        <v>0</v>
      </c>
      <c r="O56" s="4">
        <v>0</v>
      </c>
      <c r="P56" s="4">
        <v>0</v>
      </c>
      <c r="Q56" s="4">
        <v>0</v>
      </c>
      <c r="R56" s="4">
        <f t="shared" si="11"/>
        <v>0</v>
      </c>
      <c r="S56">
        <v>54</v>
      </c>
    </row>
    <row r="57" spans="2:19" x14ac:dyDescent="0.25">
      <c r="C57">
        <v>564</v>
      </c>
      <c r="D57" t="s">
        <v>470</v>
      </c>
      <c r="E57" s="4">
        <v>0</v>
      </c>
      <c r="F57" s="4">
        <v>0</v>
      </c>
      <c r="G57" s="4">
        <v>0</v>
      </c>
      <c r="H57" s="4">
        <v>0</v>
      </c>
      <c r="I57" s="4">
        <v>0</v>
      </c>
      <c r="J57" s="4">
        <v>0</v>
      </c>
      <c r="K57" s="4">
        <v>0</v>
      </c>
      <c r="L57" s="4">
        <v>0</v>
      </c>
      <c r="M57" s="4">
        <v>0</v>
      </c>
      <c r="N57" s="4">
        <v>0</v>
      </c>
      <c r="O57" s="4">
        <v>0</v>
      </c>
      <c r="P57" s="4">
        <v>0</v>
      </c>
      <c r="Q57" s="4">
        <v>0</v>
      </c>
      <c r="R57" s="4">
        <f t="shared" si="11"/>
        <v>0</v>
      </c>
      <c r="S57" s="1">
        <v>55</v>
      </c>
    </row>
    <row r="58" spans="2:19" x14ac:dyDescent="0.25">
      <c r="C58">
        <v>565</v>
      </c>
      <c r="D58" t="s">
        <v>471</v>
      </c>
      <c r="E58" s="4">
        <v>0</v>
      </c>
      <c r="F58" s="4">
        <v>0</v>
      </c>
      <c r="G58" s="4">
        <v>0</v>
      </c>
      <c r="H58" s="4">
        <v>0</v>
      </c>
      <c r="I58" s="4">
        <v>0</v>
      </c>
      <c r="J58" s="4">
        <v>0</v>
      </c>
      <c r="K58" s="4">
        <v>0</v>
      </c>
      <c r="L58" s="4">
        <v>0</v>
      </c>
      <c r="M58" s="4">
        <v>0</v>
      </c>
      <c r="N58" s="4">
        <v>0</v>
      </c>
      <c r="O58" s="4">
        <v>0</v>
      </c>
      <c r="P58" s="4">
        <v>0</v>
      </c>
      <c r="Q58" s="4">
        <v>0</v>
      </c>
      <c r="R58" s="4">
        <f t="shared" si="11"/>
        <v>0</v>
      </c>
      <c r="S58">
        <v>56</v>
      </c>
    </row>
    <row r="59" spans="2:19" x14ac:dyDescent="0.25">
      <c r="C59">
        <v>566</v>
      </c>
      <c r="D59" t="s">
        <v>472</v>
      </c>
      <c r="E59" s="4">
        <v>0</v>
      </c>
      <c r="F59" s="4">
        <v>0</v>
      </c>
      <c r="G59" s="4">
        <v>0</v>
      </c>
      <c r="H59" s="4">
        <v>0</v>
      </c>
      <c r="I59" s="4">
        <v>0</v>
      </c>
      <c r="J59" s="4">
        <v>0</v>
      </c>
      <c r="K59" s="4">
        <v>0</v>
      </c>
      <c r="L59" s="4">
        <v>0</v>
      </c>
      <c r="M59" s="4">
        <v>0</v>
      </c>
      <c r="N59" s="4">
        <v>0</v>
      </c>
      <c r="O59" s="4">
        <v>0</v>
      </c>
      <c r="P59" s="4">
        <v>0</v>
      </c>
      <c r="Q59" s="4">
        <v>0</v>
      </c>
      <c r="R59" s="4">
        <f t="shared" si="11"/>
        <v>0</v>
      </c>
      <c r="S59">
        <v>57</v>
      </c>
    </row>
    <row r="60" spans="2:19" x14ac:dyDescent="0.25">
      <c r="C60">
        <v>567</v>
      </c>
      <c r="D60" t="s">
        <v>473</v>
      </c>
      <c r="E60" s="4">
        <v>0</v>
      </c>
      <c r="F60" s="4">
        <v>0</v>
      </c>
      <c r="G60" s="4">
        <v>0</v>
      </c>
      <c r="H60" s="4">
        <v>0</v>
      </c>
      <c r="I60" s="4">
        <v>0</v>
      </c>
      <c r="J60" s="4">
        <v>0</v>
      </c>
      <c r="K60" s="4">
        <v>0</v>
      </c>
      <c r="L60" s="4">
        <v>0</v>
      </c>
      <c r="M60" s="4">
        <v>0</v>
      </c>
      <c r="N60" s="4">
        <v>0</v>
      </c>
      <c r="O60" s="4">
        <v>0</v>
      </c>
      <c r="P60" s="4">
        <v>0</v>
      </c>
      <c r="Q60" s="4">
        <v>0</v>
      </c>
      <c r="R60" s="4">
        <f t="shared" si="11"/>
        <v>0</v>
      </c>
      <c r="S60" s="1">
        <v>58</v>
      </c>
    </row>
    <row r="61" spans="2:19" x14ac:dyDescent="0.25">
      <c r="C61">
        <v>568</v>
      </c>
      <c r="D61" t="s">
        <v>474</v>
      </c>
      <c r="E61" s="4">
        <v>0</v>
      </c>
      <c r="F61" s="4">
        <v>0</v>
      </c>
      <c r="G61" s="4">
        <v>0</v>
      </c>
      <c r="H61" s="4">
        <v>0</v>
      </c>
      <c r="I61" s="4">
        <v>0</v>
      </c>
      <c r="J61" s="4">
        <v>0</v>
      </c>
      <c r="K61" s="4">
        <v>0</v>
      </c>
      <c r="L61" s="4">
        <v>0</v>
      </c>
      <c r="M61" s="4">
        <v>0</v>
      </c>
      <c r="N61" s="4">
        <v>0</v>
      </c>
      <c r="O61" s="4">
        <v>0</v>
      </c>
      <c r="P61" s="4">
        <v>0</v>
      </c>
      <c r="Q61" s="4">
        <v>0</v>
      </c>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v>0</v>
      </c>
      <c r="N64" s="4">
        <v>0</v>
      </c>
      <c r="O64" s="4">
        <v>0</v>
      </c>
      <c r="P64" s="4">
        <v>0</v>
      </c>
      <c r="Q64" s="4">
        <v>0</v>
      </c>
      <c r="R64" s="4">
        <f t="shared" ref="R64:R72" si="13">SUM(E64:Q64)</f>
        <v>0</v>
      </c>
      <c r="S64">
        <v>62</v>
      </c>
    </row>
    <row r="65" spans="2:19" x14ac:dyDescent="0.25">
      <c r="C65">
        <v>571</v>
      </c>
      <c r="D65" t="s">
        <v>467</v>
      </c>
      <c r="E65" s="4">
        <v>0</v>
      </c>
      <c r="F65" s="4">
        <v>0</v>
      </c>
      <c r="G65" s="4">
        <v>0</v>
      </c>
      <c r="H65" s="4">
        <v>0</v>
      </c>
      <c r="I65" s="4">
        <v>0</v>
      </c>
      <c r="J65" s="4">
        <v>0</v>
      </c>
      <c r="K65" s="4">
        <v>0</v>
      </c>
      <c r="L65" s="4">
        <v>0</v>
      </c>
      <c r="M65" s="4">
        <v>0</v>
      </c>
      <c r="N65" s="4">
        <v>0</v>
      </c>
      <c r="O65" s="4">
        <v>0</v>
      </c>
      <c r="P65" s="4">
        <v>0</v>
      </c>
      <c r="Q65" s="4">
        <v>0</v>
      </c>
      <c r="R65" s="4">
        <f t="shared" si="13"/>
        <v>0</v>
      </c>
      <c r="S65">
        <v>63</v>
      </c>
    </row>
    <row r="66" spans="2:19" x14ac:dyDescent="0.25">
      <c r="C66">
        <v>572</v>
      </c>
      <c r="D66" t="s">
        <v>468</v>
      </c>
      <c r="E66" s="4">
        <v>0</v>
      </c>
      <c r="F66" s="4">
        <v>0</v>
      </c>
      <c r="G66" s="4">
        <v>0</v>
      </c>
      <c r="H66" s="4">
        <v>0</v>
      </c>
      <c r="I66" s="4">
        <v>0</v>
      </c>
      <c r="J66" s="4">
        <v>0</v>
      </c>
      <c r="K66" s="4">
        <v>0</v>
      </c>
      <c r="L66" s="4">
        <v>0</v>
      </c>
      <c r="M66" s="4">
        <v>0</v>
      </c>
      <c r="N66" s="4">
        <v>0</v>
      </c>
      <c r="O66" s="4">
        <v>0</v>
      </c>
      <c r="P66" s="4">
        <v>0</v>
      </c>
      <c r="Q66" s="4">
        <v>0</v>
      </c>
      <c r="R66" s="4">
        <f t="shared" si="13"/>
        <v>0</v>
      </c>
      <c r="S66" s="1">
        <v>64</v>
      </c>
    </row>
    <row r="67" spans="2:19" x14ac:dyDescent="0.25">
      <c r="C67">
        <v>573</v>
      </c>
      <c r="D67" t="s">
        <v>469</v>
      </c>
      <c r="E67" s="4">
        <v>0</v>
      </c>
      <c r="F67" s="4">
        <v>0</v>
      </c>
      <c r="G67" s="4">
        <v>0</v>
      </c>
      <c r="H67" s="4">
        <v>0</v>
      </c>
      <c r="I67" s="4">
        <v>0</v>
      </c>
      <c r="J67" s="4">
        <v>0</v>
      </c>
      <c r="K67" s="4">
        <v>0</v>
      </c>
      <c r="L67" s="4">
        <v>0</v>
      </c>
      <c r="M67" s="4">
        <v>0</v>
      </c>
      <c r="N67" s="4">
        <v>0</v>
      </c>
      <c r="O67" s="4">
        <v>0</v>
      </c>
      <c r="P67" s="4">
        <v>0</v>
      </c>
      <c r="Q67" s="4">
        <v>0</v>
      </c>
      <c r="R67" s="4">
        <f t="shared" si="13"/>
        <v>0</v>
      </c>
      <c r="S67">
        <v>65</v>
      </c>
    </row>
    <row r="68" spans="2:19" x14ac:dyDescent="0.25">
      <c r="C68">
        <v>574</v>
      </c>
      <c r="D68" t="s">
        <v>470</v>
      </c>
      <c r="E68" s="4">
        <v>0</v>
      </c>
      <c r="F68" s="4">
        <v>0</v>
      </c>
      <c r="G68" s="4">
        <v>0</v>
      </c>
      <c r="H68" s="4">
        <v>0</v>
      </c>
      <c r="I68" s="4">
        <v>0</v>
      </c>
      <c r="J68" s="4">
        <v>0</v>
      </c>
      <c r="K68" s="4">
        <v>0</v>
      </c>
      <c r="L68" s="4">
        <v>0</v>
      </c>
      <c r="M68" s="4">
        <v>0</v>
      </c>
      <c r="N68" s="4">
        <v>0</v>
      </c>
      <c r="O68" s="4">
        <v>0</v>
      </c>
      <c r="P68" s="4">
        <v>0</v>
      </c>
      <c r="Q68" s="4">
        <v>0</v>
      </c>
      <c r="R68" s="4">
        <f t="shared" si="13"/>
        <v>0</v>
      </c>
      <c r="S68">
        <v>66</v>
      </c>
    </row>
    <row r="69" spans="2:19" x14ac:dyDescent="0.25">
      <c r="C69">
        <v>575</v>
      </c>
      <c r="D69" t="s">
        <v>471</v>
      </c>
      <c r="E69" s="4">
        <v>0</v>
      </c>
      <c r="F69" s="4">
        <v>0</v>
      </c>
      <c r="G69" s="4">
        <v>0</v>
      </c>
      <c r="H69" s="4">
        <v>0</v>
      </c>
      <c r="I69" s="4">
        <v>0</v>
      </c>
      <c r="J69" s="4">
        <v>0</v>
      </c>
      <c r="K69" s="4">
        <v>0</v>
      </c>
      <c r="L69" s="4">
        <v>0</v>
      </c>
      <c r="M69" s="4">
        <v>0</v>
      </c>
      <c r="N69" s="4">
        <v>0</v>
      </c>
      <c r="O69" s="4">
        <v>0</v>
      </c>
      <c r="P69" s="4">
        <v>0</v>
      </c>
      <c r="Q69" s="4">
        <v>0</v>
      </c>
      <c r="R69" s="4">
        <f t="shared" si="13"/>
        <v>0</v>
      </c>
      <c r="S69" s="1">
        <v>67</v>
      </c>
    </row>
    <row r="70" spans="2:19" x14ac:dyDescent="0.25">
      <c r="C70">
        <v>576</v>
      </c>
      <c r="D70" t="s">
        <v>472</v>
      </c>
      <c r="E70" s="4">
        <v>0</v>
      </c>
      <c r="F70" s="4">
        <v>0</v>
      </c>
      <c r="G70" s="4">
        <v>0</v>
      </c>
      <c r="H70" s="4">
        <v>0</v>
      </c>
      <c r="I70" s="4">
        <v>0</v>
      </c>
      <c r="J70" s="4">
        <v>0</v>
      </c>
      <c r="K70" s="4">
        <v>0</v>
      </c>
      <c r="L70" s="4">
        <v>0</v>
      </c>
      <c r="M70" s="4">
        <v>0</v>
      </c>
      <c r="N70" s="4">
        <v>0</v>
      </c>
      <c r="O70" s="4">
        <v>0</v>
      </c>
      <c r="P70" s="4">
        <v>0</v>
      </c>
      <c r="Q70" s="4">
        <v>0</v>
      </c>
      <c r="R70" s="4">
        <f t="shared" si="13"/>
        <v>0</v>
      </c>
      <c r="S70">
        <v>68</v>
      </c>
    </row>
    <row r="71" spans="2:19" x14ac:dyDescent="0.25">
      <c r="C71">
        <v>577</v>
      </c>
      <c r="D71" t="s">
        <v>473</v>
      </c>
      <c r="E71" s="4">
        <v>0</v>
      </c>
      <c r="F71" s="4">
        <v>0</v>
      </c>
      <c r="G71" s="4">
        <v>0</v>
      </c>
      <c r="H71" s="4">
        <v>0</v>
      </c>
      <c r="I71" s="4">
        <v>0</v>
      </c>
      <c r="J71" s="4">
        <v>0</v>
      </c>
      <c r="K71" s="4">
        <v>0</v>
      </c>
      <c r="L71" s="4">
        <v>0</v>
      </c>
      <c r="M71" s="4">
        <v>0</v>
      </c>
      <c r="N71" s="4">
        <v>0</v>
      </c>
      <c r="O71" s="4">
        <v>0</v>
      </c>
      <c r="P71" s="4">
        <v>0</v>
      </c>
      <c r="Q71" s="4">
        <v>0</v>
      </c>
      <c r="R71" s="4">
        <f t="shared" si="13"/>
        <v>0</v>
      </c>
      <c r="S71">
        <v>69</v>
      </c>
    </row>
    <row r="72" spans="2:19" x14ac:dyDescent="0.25">
      <c r="C72">
        <v>578</v>
      </c>
      <c r="D72" t="s">
        <v>474</v>
      </c>
      <c r="E72" s="4">
        <v>0</v>
      </c>
      <c r="F72" s="4">
        <v>0</v>
      </c>
      <c r="G72" s="4">
        <v>0</v>
      </c>
      <c r="H72" s="4">
        <v>0</v>
      </c>
      <c r="I72" s="4">
        <v>0</v>
      </c>
      <c r="J72" s="4">
        <v>0</v>
      </c>
      <c r="K72" s="4">
        <v>0</v>
      </c>
      <c r="L72" s="4">
        <v>0</v>
      </c>
      <c r="M72" s="4">
        <v>0</v>
      </c>
      <c r="N72" s="4">
        <v>0</v>
      </c>
      <c r="O72" s="4">
        <v>0</v>
      </c>
      <c r="P72" s="4">
        <v>0</v>
      </c>
      <c r="Q72" s="4">
        <v>0</v>
      </c>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v>0</v>
      </c>
      <c r="N75" s="4">
        <v>0</v>
      </c>
      <c r="O75" s="4">
        <v>0</v>
      </c>
      <c r="P75" s="4">
        <v>0</v>
      </c>
      <c r="Q75" s="4">
        <v>0</v>
      </c>
      <c r="R75" s="4">
        <f t="shared" ref="R75:R80" si="15">SUM(E75:Q75)</f>
        <v>0</v>
      </c>
      <c r="S75" s="1">
        <v>73</v>
      </c>
    </row>
    <row r="76" spans="2:19" x14ac:dyDescent="0.25">
      <c r="C76">
        <v>582</v>
      </c>
      <c r="D76" t="s">
        <v>464</v>
      </c>
      <c r="E76" s="4">
        <v>0</v>
      </c>
      <c r="F76" s="4">
        <v>0</v>
      </c>
      <c r="G76" s="4">
        <v>0</v>
      </c>
      <c r="H76" s="4">
        <v>0</v>
      </c>
      <c r="I76" s="4">
        <v>0</v>
      </c>
      <c r="J76" s="4">
        <v>0</v>
      </c>
      <c r="K76" s="4">
        <v>0</v>
      </c>
      <c r="L76" s="4">
        <v>0</v>
      </c>
      <c r="M76" s="4">
        <v>0</v>
      </c>
      <c r="N76" s="4">
        <v>0</v>
      </c>
      <c r="O76" s="4">
        <v>0</v>
      </c>
      <c r="P76" s="4">
        <v>0</v>
      </c>
      <c r="Q76" s="4">
        <v>0</v>
      </c>
      <c r="R76" s="4">
        <f t="shared" si="15"/>
        <v>0</v>
      </c>
      <c r="S76">
        <v>74</v>
      </c>
    </row>
    <row r="77" spans="2:19" x14ac:dyDescent="0.25">
      <c r="C77">
        <v>584</v>
      </c>
      <c r="D77" t="s">
        <v>250</v>
      </c>
      <c r="E77" s="4">
        <v>0</v>
      </c>
      <c r="F77" s="4">
        <v>0</v>
      </c>
      <c r="G77" s="4">
        <v>0</v>
      </c>
      <c r="H77" s="4">
        <v>0</v>
      </c>
      <c r="I77" s="4">
        <v>0</v>
      </c>
      <c r="J77" s="4">
        <v>0</v>
      </c>
      <c r="K77" s="4">
        <v>0</v>
      </c>
      <c r="L77" s="4">
        <v>0</v>
      </c>
      <c r="M77" s="4">
        <v>0</v>
      </c>
      <c r="N77" s="4">
        <v>0</v>
      </c>
      <c r="O77" s="4">
        <v>0</v>
      </c>
      <c r="P77" s="4">
        <v>0</v>
      </c>
      <c r="Q77" s="4">
        <v>0</v>
      </c>
      <c r="R77" s="4">
        <f t="shared" si="15"/>
        <v>0</v>
      </c>
      <c r="S77">
        <v>75</v>
      </c>
    </row>
    <row r="78" spans="2:19" x14ac:dyDescent="0.25">
      <c r="C78">
        <v>585</v>
      </c>
      <c r="D78" t="s">
        <v>379</v>
      </c>
      <c r="E78" s="4">
        <v>0</v>
      </c>
      <c r="F78" s="4">
        <v>0</v>
      </c>
      <c r="G78" s="4">
        <v>0</v>
      </c>
      <c r="H78" s="4">
        <v>0</v>
      </c>
      <c r="I78" s="4">
        <v>0</v>
      </c>
      <c r="J78" s="4">
        <v>0</v>
      </c>
      <c r="K78" s="4">
        <v>0</v>
      </c>
      <c r="L78" s="4">
        <v>0</v>
      </c>
      <c r="M78" s="4">
        <v>0</v>
      </c>
      <c r="N78" s="4">
        <v>0</v>
      </c>
      <c r="O78" s="4">
        <v>0</v>
      </c>
      <c r="P78" s="4">
        <v>0</v>
      </c>
      <c r="Q78" s="4">
        <v>0</v>
      </c>
      <c r="R78" s="4">
        <f t="shared" si="15"/>
        <v>0</v>
      </c>
      <c r="S78" s="1">
        <v>76</v>
      </c>
    </row>
    <row r="79" spans="2:19" x14ac:dyDescent="0.25">
      <c r="C79">
        <v>586</v>
      </c>
      <c r="D79" t="s">
        <v>478</v>
      </c>
      <c r="E79" s="4">
        <v>0</v>
      </c>
      <c r="F79" s="4">
        <v>0</v>
      </c>
      <c r="G79" s="4">
        <v>0</v>
      </c>
      <c r="H79" s="4">
        <v>0</v>
      </c>
      <c r="I79" s="4">
        <v>0</v>
      </c>
      <c r="J79" s="4">
        <v>0</v>
      </c>
      <c r="K79" s="4">
        <v>0</v>
      </c>
      <c r="L79" s="4">
        <v>0</v>
      </c>
      <c r="M79" s="4">
        <v>0</v>
      </c>
      <c r="N79" s="4">
        <v>0</v>
      </c>
      <c r="O79" s="4">
        <v>0</v>
      </c>
      <c r="P79" s="4">
        <v>0</v>
      </c>
      <c r="Q79" s="4">
        <v>0</v>
      </c>
      <c r="R79" s="4">
        <f t="shared" si="15"/>
        <v>0</v>
      </c>
      <c r="S79">
        <v>77</v>
      </c>
    </row>
    <row r="80" spans="2:19" x14ac:dyDescent="0.25">
      <c r="C80">
        <v>589</v>
      </c>
      <c r="D80" t="s">
        <v>479</v>
      </c>
      <c r="E80" s="4">
        <v>0</v>
      </c>
      <c r="F80" s="4">
        <v>0</v>
      </c>
      <c r="G80" s="4">
        <v>0</v>
      </c>
      <c r="H80" s="4">
        <v>0</v>
      </c>
      <c r="I80" s="4">
        <v>0</v>
      </c>
      <c r="J80" s="4">
        <v>0</v>
      </c>
      <c r="K80" s="4">
        <v>0</v>
      </c>
      <c r="L80" s="4">
        <v>0</v>
      </c>
      <c r="M80" s="4">
        <v>0</v>
      </c>
      <c r="N80" s="4">
        <v>0</v>
      </c>
      <c r="O80" s="4">
        <v>0</v>
      </c>
      <c r="P80" s="4">
        <v>0</v>
      </c>
      <c r="Q80" s="4">
        <v>0</v>
      </c>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v>0</v>
      </c>
      <c r="N83" s="4">
        <v>0</v>
      </c>
      <c r="O83" s="4">
        <v>0</v>
      </c>
      <c r="P83" s="4">
        <v>0</v>
      </c>
      <c r="Q83" s="4">
        <v>0</v>
      </c>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v>0</v>
      </c>
      <c r="N89" s="4">
        <v>0</v>
      </c>
      <c r="O89" s="4">
        <v>0</v>
      </c>
      <c r="P89" s="4">
        <v>0</v>
      </c>
      <c r="Q89" s="4">
        <v>0</v>
      </c>
      <c r="R89" s="4">
        <f t="shared" ref="R89:R96" si="19">SUM(E89:Q89)</f>
        <v>0</v>
      </c>
      <c r="S89">
        <v>87</v>
      </c>
    </row>
    <row r="90" spans="1:19" x14ac:dyDescent="0.25">
      <c r="C90">
        <v>601</v>
      </c>
      <c r="D90" t="s">
        <v>457</v>
      </c>
      <c r="E90" s="4">
        <v>0</v>
      </c>
      <c r="F90" s="4">
        <v>0</v>
      </c>
      <c r="G90" s="4">
        <v>0</v>
      </c>
      <c r="H90" s="4">
        <v>0</v>
      </c>
      <c r="I90" s="4">
        <v>0</v>
      </c>
      <c r="J90" s="4">
        <v>0</v>
      </c>
      <c r="K90" s="4">
        <v>0</v>
      </c>
      <c r="L90" s="4">
        <v>0</v>
      </c>
      <c r="M90" s="4">
        <v>0</v>
      </c>
      <c r="N90" s="4">
        <v>0</v>
      </c>
      <c r="O90" s="4">
        <v>0</v>
      </c>
      <c r="P90" s="4">
        <v>0</v>
      </c>
      <c r="Q90" s="4">
        <v>0</v>
      </c>
      <c r="R90" s="4">
        <f t="shared" si="19"/>
        <v>0</v>
      </c>
      <c r="S90" s="1">
        <v>88</v>
      </c>
    </row>
    <row r="91" spans="1:19" x14ac:dyDescent="0.25">
      <c r="C91">
        <v>602</v>
      </c>
      <c r="D91" t="s">
        <v>458</v>
      </c>
      <c r="E91" s="4">
        <v>0</v>
      </c>
      <c r="F91" s="4">
        <v>0</v>
      </c>
      <c r="G91" s="4">
        <v>0</v>
      </c>
      <c r="H91" s="4">
        <v>0</v>
      </c>
      <c r="I91" s="4">
        <v>0</v>
      </c>
      <c r="J91" s="4">
        <v>0</v>
      </c>
      <c r="K91" s="4">
        <v>0</v>
      </c>
      <c r="L91" s="4">
        <v>0</v>
      </c>
      <c r="M91" s="4">
        <v>0</v>
      </c>
      <c r="N91" s="4">
        <v>0</v>
      </c>
      <c r="O91" s="4">
        <v>0</v>
      </c>
      <c r="P91" s="4">
        <v>0</v>
      </c>
      <c r="Q91" s="4">
        <v>0</v>
      </c>
      <c r="R91" s="4">
        <f t="shared" si="19"/>
        <v>0</v>
      </c>
      <c r="S91">
        <v>89</v>
      </c>
    </row>
    <row r="92" spans="1:19" x14ac:dyDescent="0.25">
      <c r="C92">
        <v>603</v>
      </c>
      <c r="D92" t="s">
        <v>459</v>
      </c>
      <c r="E92" s="4">
        <v>0</v>
      </c>
      <c r="F92" s="4">
        <v>0</v>
      </c>
      <c r="G92" s="4">
        <v>0</v>
      </c>
      <c r="H92" s="4">
        <v>0</v>
      </c>
      <c r="I92" s="4">
        <v>0</v>
      </c>
      <c r="J92" s="4">
        <v>0</v>
      </c>
      <c r="K92" s="4">
        <v>0</v>
      </c>
      <c r="L92" s="4">
        <v>0</v>
      </c>
      <c r="M92" s="4">
        <v>0</v>
      </c>
      <c r="N92" s="4">
        <v>0</v>
      </c>
      <c r="O92" s="4">
        <v>0</v>
      </c>
      <c r="P92" s="4">
        <v>0</v>
      </c>
      <c r="Q92" s="4">
        <v>0</v>
      </c>
      <c r="R92" s="4">
        <f t="shared" si="19"/>
        <v>0</v>
      </c>
      <c r="S92">
        <v>90</v>
      </c>
    </row>
    <row r="93" spans="1:19" x14ac:dyDescent="0.25">
      <c r="C93">
        <v>604</v>
      </c>
      <c r="D93" t="s">
        <v>460</v>
      </c>
      <c r="E93" s="4">
        <v>0</v>
      </c>
      <c r="F93" s="4">
        <v>0</v>
      </c>
      <c r="G93" s="4">
        <v>0</v>
      </c>
      <c r="H93" s="4">
        <v>0</v>
      </c>
      <c r="I93" s="4">
        <v>0</v>
      </c>
      <c r="J93" s="4">
        <v>0</v>
      </c>
      <c r="K93" s="4">
        <v>0</v>
      </c>
      <c r="L93" s="4">
        <v>0</v>
      </c>
      <c r="M93" s="4">
        <v>0</v>
      </c>
      <c r="N93" s="4">
        <v>0</v>
      </c>
      <c r="O93" s="4">
        <v>0</v>
      </c>
      <c r="P93" s="4">
        <v>0</v>
      </c>
      <c r="Q93" s="4">
        <v>0</v>
      </c>
      <c r="R93" s="4">
        <f t="shared" si="19"/>
        <v>0</v>
      </c>
      <c r="S93" s="1">
        <v>91</v>
      </c>
    </row>
    <row r="94" spans="1:19" x14ac:dyDescent="0.25">
      <c r="C94">
        <v>605</v>
      </c>
      <c r="D94" t="s">
        <v>461</v>
      </c>
      <c r="E94" s="4">
        <v>0</v>
      </c>
      <c r="F94" s="4">
        <v>0</v>
      </c>
      <c r="G94" s="4">
        <v>0</v>
      </c>
      <c r="H94" s="4">
        <v>0</v>
      </c>
      <c r="I94" s="4">
        <v>0</v>
      </c>
      <c r="J94" s="4">
        <v>0</v>
      </c>
      <c r="K94" s="4">
        <v>0</v>
      </c>
      <c r="L94" s="4">
        <v>0</v>
      </c>
      <c r="M94" s="4">
        <v>0</v>
      </c>
      <c r="N94" s="4">
        <v>0</v>
      </c>
      <c r="O94" s="4">
        <v>0</v>
      </c>
      <c r="P94" s="4">
        <v>0</v>
      </c>
      <c r="Q94" s="4">
        <v>0</v>
      </c>
      <c r="R94" s="4">
        <f t="shared" si="19"/>
        <v>0</v>
      </c>
      <c r="S94">
        <v>92</v>
      </c>
    </row>
    <row r="95" spans="1:19" x14ac:dyDescent="0.25">
      <c r="C95">
        <v>606</v>
      </c>
      <c r="D95" t="s">
        <v>462</v>
      </c>
      <c r="E95" s="4">
        <v>0</v>
      </c>
      <c r="F95" s="4">
        <v>0</v>
      </c>
      <c r="G95" s="4">
        <v>0</v>
      </c>
      <c r="H95" s="4">
        <v>0</v>
      </c>
      <c r="I95" s="4">
        <v>0</v>
      </c>
      <c r="J95" s="4">
        <v>0</v>
      </c>
      <c r="K95" s="4">
        <v>0</v>
      </c>
      <c r="L95" s="4">
        <v>0</v>
      </c>
      <c r="M95" s="4">
        <v>0</v>
      </c>
      <c r="N95" s="4">
        <v>0</v>
      </c>
      <c r="O95" s="4">
        <v>0</v>
      </c>
      <c r="P95" s="4">
        <v>0</v>
      </c>
      <c r="Q95" s="4">
        <v>0</v>
      </c>
      <c r="R95" s="4">
        <f t="shared" si="19"/>
        <v>0</v>
      </c>
      <c r="S95">
        <v>93</v>
      </c>
    </row>
    <row r="96" spans="1:19" x14ac:dyDescent="0.25">
      <c r="C96">
        <v>609</v>
      </c>
      <c r="D96" t="s">
        <v>463</v>
      </c>
      <c r="E96" s="4">
        <v>0</v>
      </c>
      <c r="F96" s="4">
        <v>0</v>
      </c>
      <c r="G96" s="4">
        <v>0</v>
      </c>
      <c r="H96" s="4">
        <v>0</v>
      </c>
      <c r="I96" s="4">
        <v>0</v>
      </c>
      <c r="J96" s="4">
        <v>0</v>
      </c>
      <c r="K96" s="4">
        <v>0</v>
      </c>
      <c r="L96" s="4">
        <v>0</v>
      </c>
      <c r="M96" s="4">
        <v>0</v>
      </c>
      <c r="N96" s="4">
        <v>0</v>
      </c>
      <c r="O96" s="4">
        <v>0</v>
      </c>
      <c r="P96" s="4">
        <v>0</v>
      </c>
      <c r="Q96" s="4">
        <v>0</v>
      </c>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v>0</v>
      </c>
      <c r="N99" s="4">
        <v>0</v>
      </c>
      <c r="O99" s="4">
        <v>0</v>
      </c>
      <c r="P99" s="4">
        <v>0</v>
      </c>
      <c r="Q99" s="4">
        <v>0</v>
      </c>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v>0</v>
      </c>
      <c r="N100" s="4">
        <v>0</v>
      </c>
      <c r="O100" s="4">
        <v>0</v>
      </c>
      <c r="P100" s="4">
        <v>0</v>
      </c>
      <c r="Q100" s="4">
        <v>0</v>
      </c>
      <c r="R100" s="4">
        <f t="shared" si="21"/>
        <v>0</v>
      </c>
      <c r="S100">
        <v>98</v>
      </c>
    </row>
    <row r="101" spans="2:19" x14ac:dyDescent="0.25">
      <c r="C101">
        <v>612</v>
      </c>
      <c r="D101" t="s">
        <v>458</v>
      </c>
      <c r="E101" s="4">
        <v>0</v>
      </c>
      <c r="F101" s="4">
        <v>0</v>
      </c>
      <c r="G101" s="4">
        <v>0</v>
      </c>
      <c r="H101" s="4">
        <v>0</v>
      </c>
      <c r="I101" s="4">
        <v>0</v>
      </c>
      <c r="J101" s="4">
        <v>0</v>
      </c>
      <c r="K101" s="4">
        <v>0</v>
      </c>
      <c r="L101" s="4">
        <v>0</v>
      </c>
      <c r="M101" s="4">
        <v>0</v>
      </c>
      <c r="N101" s="4">
        <v>0</v>
      </c>
      <c r="O101" s="4">
        <v>0</v>
      </c>
      <c r="P101" s="4">
        <v>0</v>
      </c>
      <c r="Q101" s="4">
        <v>0</v>
      </c>
      <c r="R101" s="4">
        <f t="shared" si="21"/>
        <v>0</v>
      </c>
      <c r="S101">
        <v>99</v>
      </c>
    </row>
    <row r="102" spans="2:19" x14ac:dyDescent="0.25">
      <c r="C102">
        <v>613</v>
      </c>
      <c r="D102" t="s">
        <v>459</v>
      </c>
      <c r="E102" s="4">
        <v>0</v>
      </c>
      <c r="F102" s="4">
        <v>0</v>
      </c>
      <c r="G102" s="4">
        <v>0</v>
      </c>
      <c r="H102" s="4">
        <v>0</v>
      </c>
      <c r="I102" s="4">
        <v>0</v>
      </c>
      <c r="J102" s="4">
        <v>0</v>
      </c>
      <c r="K102" s="4">
        <v>0</v>
      </c>
      <c r="L102" s="4">
        <v>0</v>
      </c>
      <c r="M102" s="4">
        <v>0</v>
      </c>
      <c r="N102" s="4">
        <v>0</v>
      </c>
      <c r="O102" s="4">
        <v>0</v>
      </c>
      <c r="P102" s="4">
        <v>0</v>
      </c>
      <c r="Q102" s="4">
        <v>0</v>
      </c>
      <c r="R102" s="4">
        <f t="shared" si="21"/>
        <v>0</v>
      </c>
      <c r="S102" s="1">
        <v>100</v>
      </c>
    </row>
    <row r="103" spans="2:19"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f t="shared" si="21"/>
        <v>0</v>
      </c>
      <c r="S103">
        <v>101</v>
      </c>
    </row>
    <row r="104" spans="2:19"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f t="shared" si="21"/>
        <v>0</v>
      </c>
      <c r="S104">
        <v>102</v>
      </c>
    </row>
    <row r="105" spans="2:19" x14ac:dyDescent="0.25">
      <c r="C105">
        <v>616</v>
      </c>
      <c r="D105" t="s">
        <v>462</v>
      </c>
      <c r="E105" s="4">
        <v>0</v>
      </c>
      <c r="F105" s="4">
        <v>0</v>
      </c>
      <c r="G105" s="4">
        <v>0</v>
      </c>
      <c r="H105" s="4">
        <v>0</v>
      </c>
      <c r="I105" s="4">
        <v>0</v>
      </c>
      <c r="J105" s="4">
        <v>0</v>
      </c>
      <c r="K105" s="4">
        <v>0</v>
      </c>
      <c r="L105" s="4">
        <v>0</v>
      </c>
      <c r="M105" s="4">
        <v>0</v>
      </c>
      <c r="N105" s="4">
        <v>0</v>
      </c>
      <c r="O105" s="4">
        <v>0</v>
      </c>
      <c r="P105" s="4">
        <v>0</v>
      </c>
      <c r="Q105" s="4">
        <v>0</v>
      </c>
      <c r="R105" s="4">
        <f t="shared" si="21"/>
        <v>0</v>
      </c>
      <c r="S105" s="1">
        <v>103</v>
      </c>
    </row>
    <row r="106" spans="2:19"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f>SUM(E109:Q109)</f>
        <v>0</v>
      </c>
      <c r="S109">
        <v>107</v>
      </c>
    </row>
    <row r="110" spans="2:19"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f>SUM(E110:Q110)</f>
        <v>0</v>
      </c>
      <c r="S110">
        <v>108</v>
      </c>
    </row>
    <row r="111" spans="2:19"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v>0</v>
      </c>
      <c r="N114" s="4">
        <v>0</v>
      </c>
      <c r="O114" s="4">
        <v>0</v>
      </c>
      <c r="P114" s="4">
        <v>0</v>
      </c>
      <c r="Q114" s="4">
        <v>0</v>
      </c>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v>0</v>
      </c>
      <c r="N115" s="4">
        <v>0</v>
      </c>
      <c r="O115" s="4">
        <v>0</v>
      </c>
      <c r="P115" s="4">
        <v>0</v>
      </c>
      <c r="Q115" s="4">
        <v>0</v>
      </c>
      <c r="R115" s="4">
        <f t="shared" si="24"/>
        <v>119952.25</v>
      </c>
      <c r="S115">
        <v>113</v>
      </c>
    </row>
    <row r="116" spans="2:19" x14ac:dyDescent="0.25">
      <c r="C116">
        <v>632</v>
      </c>
      <c r="D116" t="s">
        <v>468</v>
      </c>
      <c r="E116" s="4">
        <v>0</v>
      </c>
      <c r="F116" s="4">
        <v>0</v>
      </c>
      <c r="G116" s="4">
        <v>0</v>
      </c>
      <c r="H116" s="4">
        <v>0</v>
      </c>
      <c r="I116" s="4">
        <v>0</v>
      </c>
      <c r="J116" s="4">
        <v>0</v>
      </c>
      <c r="K116" s="4">
        <v>0</v>
      </c>
      <c r="L116" s="4">
        <v>0</v>
      </c>
      <c r="M116" s="4">
        <v>0</v>
      </c>
      <c r="N116" s="4">
        <v>0</v>
      </c>
      <c r="O116" s="4">
        <v>0</v>
      </c>
      <c r="P116" s="4">
        <v>0</v>
      </c>
      <c r="Q116" s="4">
        <v>0</v>
      </c>
      <c r="R116" s="4">
        <f t="shared" si="24"/>
        <v>0</v>
      </c>
      <c r="S116">
        <v>114</v>
      </c>
    </row>
    <row r="117" spans="2:19"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f t="shared" si="24"/>
        <v>0</v>
      </c>
      <c r="S117" s="1">
        <v>115</v>
      </c>
    </row>
    <row r="118" spans="2:19" x14ac:dyDescent="0.25">
      <c r="C118">
        <v>634</v>
      </c>
      <c r="D118" t="s">
        <v>470</v>
      </c>
      <c r="E118" s="4">
        <v>0</v>
      </c>
      <c r="F118" s="4">
        <v>0</v>
      </c>
      <c r="G118" s="4">
        <v>0</v>
      </c>
      <c r="H118" s="4">
        <v>0</v>
      </c>
      <c r="I118" s="4">
        <v>0</v>
      </c>
      <c r="J118" s="4">
        <v>0</v>
      </c>
      <c r="K118" s="4">
        <v>0</v>
      </c>
      <c r="L118" s="4">
        <v>0</v>
      </c>
      <c r="M118" s="4">
        <v>0</v>
      </c>
      <c r="N118" s="4">
        <v>0</v>
      </c>
      <c r="O118" s="4">
        <v>0</v>
      </c>
      <c r="P118" s="4">
        <v>0</v>
      </c>
      <c r="Q118" s="4">
        <v>0</v>
      </c>
      <c r="R118" s="4">
        <f t="shared" si="24"/>
        <v>0</v>
      </c>
      <c r="S118">
        <v>116</v>
      </c>
    </row>
    <row r="119" spans="2:19" x14ac:dyDescent="0.25">
      <c r="C119">
        <v>635</v>
      </c>
      <c r="D119" t="s">
        <v>471</v>
      </c>
      <c r="E119" s="4">
        <v>0</v>
      </c>
      <c r="F119" s="4">
        <v>0</v>
      </c>
      <c r="G119" s="4">
        <v>0</v>
      </c>
      <c r="H119" s="4">
        <v>0</v>
      </c>
      <c r="I119" s="4">
        <v>2490.15</v>
      </c>
      <c r="J119" s="4">
        <v>0</v>
      </c>
      <c r="K119" s="4">
        <v>0</v>
      </c>
      <c r="L119" s="4">
        <v>0</v>
      </c>
      <c r="M119" s="4">
        <v>0</v>
      </c>
      <c r="N119" s="4">
        <v>0</v>
      </c>
      <c r="O119" s="4">
        <v>0</v>
      </c>
      <c r="P119" s="4">
        <v>0</v>
      </c>
      <c r="Q119" s="4">
        <v>0</v>
      </c>
      <c r="R119" s="4">
        <f t="shared" si="24"/>
        <v>2490.15</v>
      </c>
      <c r="S119">
        <v>117</v>
      </c>
    </row>
    <row r="120" spans="2:19" x14ac:dyDescent="0.25">
      <c r="C120">
        <v>636</v>
      </c>
      <c r="D120" t="s">
        <v>472</v>
      </c>
      <c r="E120" s="4">
        <v>0</v>
      </c>
      <c r="F120" s="4">
        <v>0</v>
      </c>
      <c r="G120" s="4">
        <v>0</v>
      </c>
      <c r="H120" s="4">
        <v>0</v>
      </c>
      <c r="I120" s="4">
        <v>0</v>
      </c>
      <c r="J120" s="4">
        <v>0</v>
      </c>
      <c r="K120" s="4">
        <v>0</v>
      </c>
      <c r="L120" s="4">
        <v>0</v>
      </c>
      <c r="M120" s="4">
        <v>0</v>
      </c>
      <c r="N120" s="4">
        <v>0</v>
      </c>
      <c r="O120" s="4">
        <v>0</v>
      </c>
      <c r="P120" s="4">
        <v>0</v>
      </c>
      <c r="Q120" s="4">
        <v>0</v>
      </c>
      <c r="R120" s="4">
        <f t="shared" si="24"/>
        <v>0</v>
      </c>
      <c r="S120" s="1">
        <v>118</v>
      </c>
    </row>
    <row r="121" spans="2:19" x14ac:dyDescent="0.25">
      <c r="C121">
        <v>637</v>
      </c>
      <c r="D121" t="s">
        <v>473</v>
      </c>
      <c r="E121" s="4">
        <v>0</v>
      </c>
      <c r="F121" s="4">
        <v>0</v>
      </c>
      <c r="G121" s="4">
        <v>0</v>
      </c>
      <c r="H121" s="4">
        <v>0</v>
      </c>
      <c r="I121" s="4">
        <v>0</v>
      </c>
      <c r="J121" s="4">
        <v>0</v>
      </c>
      <c r="K121" s="4">
        <v>0</v>
      </c>
      <c r="L121" s="4">
        <v>0</v>
      </c>
      <c r="M121" s="4">
        <v>0</v>
      </c>
      <c r="N121" s="4">
        <v>0</v>
      </c>
      <c r="O121" s="4">
        <v>0</v>
      </c>
      <c r="P121" s="4">
        <v>0</v>
      </c>
      <c r="Q121" s="4">
        <v>0</v>
      </c>
      <c r="R121" s="4">
        <f t="shared" si="24"/>
        <v>0</v>
      </c>
      <c r="S121">
        <v>119</v>
      </c>
    </row>
    <row r="122" spans="2:19"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f t="shared" si="26"/>
        <v>0</v>
      </c>
      <c r="S126" s="1">
        <v>124</v>
      </c>
    </row>
    <row r="127" spans="2:19"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f t="shared" si="26"/>
        <v>0</v>
      </c>
      <c r="S127">
        <v>125</v>
      </c>
    </row>
    <row r="128" spans="2:19"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f t="shared" si="26"/>
        <v>0</v>
      </c>
      <c r="S128">
        <v>126</v>
      </c>
    </row>
    <row r="129" spans="2:19"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f t="shared" si="26"/>
        <v>0</v>
      </c>
      <c r="S129" s="1">
        <v>127</v>
      </c>
    </row>
    <row r="130" spans="2:19"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f t="shared" si="26"/>
        <v>0</v>
      </c>
      <c r="S130">
        <v>128</v>
      </c>
    </row>
    <row r="131" spans="2:19"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f t="shared" si="26"/>
        <v>0</v>
      </c>
      <c r="S131">
        <v>129</v>
      </c>
    </row>
    <row r="132" spans="2:19"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f t="shared" si="26"/>
        <v>0</v>
      </c>
      <c r="S132" s="1">
        <v>130</v>
      </c>
    </row>
    <row r="133" spans="2:19"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f t="shared" si="28"/>
        <v>0</v>
      </c>
      <c r="S137">
        <v>135</v>
      </c>
    </row>
    <row r="138" spans="2:19"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f t="shared" si="28"/>
        <v>0</v>
      </c>
      <c r="S138" s="1">
        <v>136</v>
      </c>
    </row>
    <row r="139" spans="2:19"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f t="shared" si="28"/>
        <v>0</v>
      </c>
      <c r="S139">
        <v>137</v>
      </c>
    </row>
    <row r="140" spans="2:19"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f t="shared" si="28"/>
        <v>0</v>
      </c>
      <c r="S140">
        <v>138</v>
      </c>
    </row>
    <row r="141" spans="2:19"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f t="shared" si="28"/>
        <v>0</v>
      </c>
      <c r="S141" s="1">
        <v>139</v>
      </c>
    </row>
    <row r="142" spans="2:19"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f t="shared" si="28"/>
        <v>0</v>
      </c>
      <c r="S142">
        <v>140</v>
      </c>
    </row>
    <row r="143" spans="2:19"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f t="shared" si="28"/>
        <v>0</v>
      </c>
      <c r="S143">
        <v>141</v>
      </c>
    </row>
    <row r="144" spans="2:19"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f t="shared" si="30"/>
        <v>0</v>
      </c>
      <c r="S148">
        <v>146</v>
      </c>
    </row>
    <row r="149" spans="2:19"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f t="shared" si="30"/>
        <v>0</v>
      </c>
      <c r="S149">
        <v>147</v>
      </c>
    </row>
    <row r="150" spans="2:19"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f t="shared" si="30"/>
        <v>0</v>
      </c>
      <c r="S150" s="1">
        <v>148</v>
      </c>
    </row>
    <row r="151" spans="2:19"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f t="shared" si="30"/>
        <v>0</v>
      </c>
      <c r="S151">
        <v>149</v>
      </c>
    </row>
    <row r="152" spans="2:19"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f t="shared" si="30"/>
        <v>0</v>
      </c>
      <c r="S152">
        <v>150</v>
      </c>
    </row>
    <row r="153" spans="2:19"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f t="shared" si="30"/>
        <v>0</v>
      </c>
      <c r="S153" s="1">
        <v>151</v>
      </c>
    </row>
    <row r="154" spans="2:19"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f t="shared" si="30"/>
        <v>0</v>
      </c>
      <c r="S154">
        <v>152</v>
      </c>
    </row>
    <row r="155" spans="2:19"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f t="shared" si="32"/>
        <v>0</v>
      </c>
      <c r="S159" s="1">
        <v>157</v>
      </c>
    </row>
    <row r="160" spans="2:19"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f t="shared" si="32"/>
        <v>0</v>
      </c>
      <c r="S160">
        <v>158</v>
      </c>
    </row>
    <row r="161" spans="2:19"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f t="shared" si="32"/>
        <v>0</v>
      </c>
      <c r="S161">
        <v>159</v>
      </c>
    </row>
    <row r="162" spans="2:19"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f t="shared" si="32"/>
        <v>0</v>
      </c>
      <c r="S162" s="1">
        <v>160</v>
      </c>
    </row>
    <row r="163" spans="2:19"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f t="shared" si="32"/>
        <v>0</v>
      </c>
      <c r="S163">
        <v>161</v>
      </c>
    </row>
    <row r="164" spans="2:19"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f t="shared" si="32"/>
        <v>0</v>
      </c>
      <c r="S164">
        <v>162</v>
      </c>
    </row>
    <row r="165" spans="2:19"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f t="shared" si="32"/>
        <v>0</v>
      </c>
      <c r="S165" s="1">
        <v>163</v>
      </c>
    </row>
    <row r="166" spans="2:19"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f t="shared" si="34"/>
        <v>0</v>
      </c>
      <c r="S170">
        <v>168</v>
      </c>
    </row>
    <row r="171" spans="2:19"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f t="shared" si="34"/>
        <v>0</v>
      </c>
      <c r="S171" s="1">
        <v>169</v>
      </c>
    </row>
    <row r="172" spans="2:19"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f t="shared" si="34"/>
        <v>0</v>
      </c>
      <c r="S172">
        <v>170</v>
      </c>
    </row>
    <row r="173" spans="2:19"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f t="shared" si="34"/>
        <v>0</v>
      </c>
      <c r="S173">
        <v>171</v>
      </c>
    </row>
    <row r="174" spans="2:19"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f t="shared" si="34"/>
        <v>0</v>
      </c>
      <c r="S174" s="1">
        <v>172</v>
      </c>
    </row>
    <row r="175" spans="2:19" x14ac:dyDescent="0.25">
      <c r="C175">
        <v>689</v>
      </c>
      <c r="D175" t="s">
        <v>492</v>
      </c>
      <c r="E175" s="4">
        <v>0</v>
      </c>
      <c r="F175" s="4">
        <v>0</v>
      </c>
      <c r="G175" s="4">
        <v>0</v>
      </c>
      <c r="H175" s="4">
        <v>0</v>
      </c>
      <c r="I175" s="4">
        <v>0</v>
      </c>
      <c r="J175" s="4">
        <v>0</v>
      </c>
      <c r="K175" s="4">
        <v>0</v>
      </c>
      <c r="L175" s="4">
        <v>0</v>
      </c>
      <c r="M175" s="4">
        <v>0</v>
      </c>
      <c r="N175" s="4">
        <v>0</v>
      </c>
      <c r="O175" s="4">
        <v>0</v>
      </c>
      <c r="P175" s="4">
        <v>0</v>
      </c>
      <c r="Q175" s="4">
        <v>0</v>
      </c>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v>0</v>
      </c>
      <c r="N178" s="4">
        <v>0</v>
      </c>
      <c r="O178" s="4">
        <v>0</v>
      </c>
      <c r="P178" s="4">
        <v>0</v>
      </c>
      <c r="Q178" s="4">
        <v>0</v>
      </c>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E30" sqref="E30"/>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HLOOKUP($D$4,'8.13 Bourgeoisie investissement'!$E$3:$R$184,2,0)</f>
        <v>0</v>
      </c>
    </row>
    <row r="8" spans="1:5" x14ac:dyDescent="0.25">
      <c r="A8" s="78"/>
      <c r="B8" s="69">
        <v>50</v>
      </c>
      <c r="C8" s="69"/>
      <c r="D8" s="69" t="s">
        <v>454</v>
      </c>
      <c r="E8" s="70">
        <f>HLOOKUP($D$4,'8.13 Bourgeoisie investissement'!$E$3:$R$184,3,0)</f>
        <v>0</v>
      </c>
    </row>
    <row r="9" spans="1:5" x14ac:dyDescent="0.25">
      <c r="C9">
        <v>500</v>
      </c>
      <c r="D9" t="s">
        <v>456</v>
      </c>
      <c r="E9" s="89">
        <f>HLOOKUP($D$4,'8.13 Bourgeoisie investissement'!$E$3:$R$184,4,0)</f>
        <v>0</v>
      </c>
    </row>
    <row r="10" spans="1:5" x14ac:dyDescent="0.25">
      <c r="C10">
        <v>501</v>
      </c>
      <c r="D10" t="s">
        <v>457</v>
      </c>
      <c r="E10" s="89">
        <f>HLOOKUP($D$4,'8.13 Bourgeoisie investissement'!$E$3:$R$184,5,0)</f>
        <v>0</v>
      </c>
    </row>
    <row r="11" spans="1:5" x14ac:dyDescent="0.25">
      <c r="C11">
        <v>502</v>
      </c>
      <c r="D11" t="s">
        <v>458</v>
      </c>
      <c r="E11" s="89">
        <f>HLOOKUP($D$4,'8.13 Bourgeoisie investissement'!$E$3:$R$184,6,0)</f>
        <v>0</v>
      </c>
    </row>
    <row r="12" spans="1:5" x14ac:dyDescent="0.25">
      <c r="C12">
        <v>503</v>
      </c>
      <c r="D12" t="s">
        <v>459</v>
      </c>
      <c r="E12" s="89">
        <f>HLOOKUP($D$4,'8.13 Bourgeoisie investissement'!$E$3:$R$184,7,0)</f>
        <v>0</v>
      </c>
    </row>
    <row r="13" spans="1:5" x14ac:dyDescent="0.25">
      <c r="C13">
        <v>504</v>
      </c>
      <c r="D13" t="s">
        <v>460</v>
      </c>
      <c r="E13" s="89">
        <f>HLOOKUP($D$4,'8.13 Bourgeoisie investissement'!$E$3:$R$184,8,0)</f>
        <v>0</v>
      </c>
    </row>
    <row r="14" spans="1:5" x14ac:dyDescent="0.25">
      <c r="C14">
        <v>505</v>
      </c>
      <c r="D14" t="s">
        <v>461</v>
      </c>
      <c r="E14" s="89">
        <f>HLOOKUP($D$4,'8.13 Bourgeoisie investissement'!$E$3:$R$184,9,0)</f>
        <v>0</v>
      </c>
    </row>
    <row r="15" spans="1:5" x14ac:dyDescent="0.25">
      <c r="C15">
        <v>506</v>
      </c>
      <c r="D15" t="s">
        <v>462</v>
      </c>
      <c r="E15" s="89">
        <f>HLOOKUP($D$4,'8.13 Bourgeoisie investissement'!$E$3:$R$184,10,0)</f>
        <v>0</v>
      </c>
    </row>
    <row r="16" spans="1:5" x14ac:dyDescent="0.25">
      <c r="C16">
        <v>509</v>
      </c>
      <c r="D16" t="s">
        <v>463</v>
      </c>
      <c r="E16" s="89">
        <f>HLOOKUP($D$4,'8.13 Bourgeoisie investissement'!$E$3:$R$184,11,0)</f>
        <v>0</v>
      </c>
    </row>
    <row r="17" spans="2:5" x14ac:dyDescent="0.25">
      <c r="E17" s="89"/>
    </row>
    <row r="18" spans="2:5" x14ac:dyDescent="0.25">
      <c r="B18" s="69">
        <v>51</v>
      </c>
      <c r="C18" s="69"/>
      <c r="D18" s="69" t="s">
        <v>455</v>
      </c>
      <c r="E18" s="70">
        <f>HLOOKUP($D$4,'8.13 Bourgeoisie investissement'!$E$3:$R$184,13,0)</f>
        <v>0</v>
      </c>
    </row>
    <row r="19" spans="2:5" x14ac:dyDescent="0.25">
      <c r="C19">
        <v>510</v>
      </c>
      <c r="D19" t="s">
        <v>456</v>
      </c>
      <c r="E19" s="89">
        <f>HLOOKUP($D$4,'8.13 Bourgeoisie investissement'!$E$3:$R$184,14,0)</f>
        <v>0</v>
      </c>
    </row>
    <row r="20" spans="2:5" x14ac:dyDescent="0.25">
      <c r="C20">
        <v>511</v>
      </c>
      <c r="D20" t="s">
        <v>457</v>
      </c>
      <c r="E20" s="89">
        <f>HLOOKUP($D$4,'8.13 Bourgeoisie investissement'!$E$3:$R$184,15,0)</f>
        <v>0</v>
      </c>
    </row>
    <row r="21" spans="2:5" x14ac:dyDescent="0.25">
      <c r="C21">
        <v>512</v>
      </c>
      <c r="D21" t="s">
        <v>458</v>
      </c>
      <c r="E21" s="89">
        <f>HLOOKUP($D$4,'8.13 Bourgeoisie investissement'!$E$3:$R$184,16,0)</f>
        <v>0</v>
      </c>
    </row>
    <row r="22" spans="2:5" x14ac:dyDescent="0.25">
      <c r="C22">
        <v>513</v>
      </c>
      <c r="D22" t="s">
        <v>459</v>
      </c>
      <c r="E22" s="89">
        <f>HLOOKUP($D$4,'8.13 Bourgeoisie investissement'!$E$3:$R$184,17,0)</f>
        <v>0</v>
      </c>
    </row>
    <row r="23" spans="2:5" x14ac:dyDescent="0.25">
      <c r="C23">
        <v>514</v>
      </c>
      <c r="D23" t="s">
        <v>460</v>
      </c>
      <c r="E23" s="89">
        <f>HLOOKUP($D$4,'8.13 Bourgeoisie investissement'!$E$3:$R$184,18,0)</f>
        <v>0</v>
      </c>
    </row>
    <row r="24" spans="2:5" x14ac:dyDescent="0.25">
      <c r="C24">
        <v>515</v>
      </c>
      <c r="D24" t="s">
        <v>461</v>
      </c>
      <c r="E24" s="89">
        <f>HLOOKUP($D$4,'8.13 Bourgeoisie investissement'!$E$3:$R$184,19,0)</f>
        <v>0</v>
      </c>
    </row>
    <row r="25" spans="2:5" x14ac:dyDescent="0.25">
      <c r="C25">
        <v>516</v>
      </c>
      <c r="D25" t="s">
        <v>462</v>
      </c>
      <c r="E25" s="89">
        <f>HLOOKUP($D$4,'8.13 Bourgeoisie investissement'!$E$3:$R$184,20,0)</f>
        <v>0</v>
      </c>
    </row>
    <row r="26" spans="2:5" x14ac:dyDescent="0.25">
      <c r="C26">
        <v>519</v>
      </c>
      <c r="D26" t="s">
        <v>463</v>
      </c>
      <c r="E26" s="89">
        <f>HLOOKUP($D$4,'8.13 Bourgeoisie investissement'!$E$3:$R$184,21,0)</f>
        <v>0</v>
      </c>
    </row>
    <row r="27" spans="2:5" x14ac:dyDescent="0.25">
      <c r="E27" s="89"/>
    </row>
    <row r="28" spans="2:5" x14ac:dyDescent="0.25">
      <c r="B28" s="69">
        <v>52</v>
      </c>
      <c r="C28" s="69"/>
      <c r="D28" s="69" t="s">
        <v>464</v>
      </c>
      <c r="E28" s="70">
        <f>HLOOKUP($D$4,'8.13 Bourgeoisie investissement'!$E$3:$R$184,23,0)</f>
        <v>0</v>
      </c>
    </row>
    <row r="29" spans="2:5" x14ac:dyDescent="0.25">
      <c r="C29">
        <v>520</v>
      </c>
      <c r="D29" t="s">
        <v>366</v>
      </c>
      <c r="E29" s="89">
        <f>HLOOKUP($D$4,'8.13 Bourgeoisie investissement'!$E$3:$R$184,24,0)</f>
        <v>0</v>
      </c>
    </row>
    <row r="30" spans="2:5" x14ac:dyDescent="0.25">
      <c r="C30">
        <v>521</v>
      </c>
      <c r="D30" t="s">
        <v>367</v>
      </c>
      <c r="E30" s="89">
        <f>HLOOKUP($D$4,'8.13 Bourgeoisie investissement'!$E$3:$R$184,25,0)</f>
        <v>0</v>
      </c>
    </row>
    <row r="31" spans="2:5" x14ac:dyDescent="0.25">
      <c r="C31">
        <v>529</v>
      </c>
      <c r="D31" t="s">
        <v>465</v>
      </c>
      <c r="E31" s="89">
        <f>HLOOKUP($D$4,'8.13 Bourgeoisie investissement'!$E$3:$R$184,26,0)</f>
        <v>0</v>
      </c>
    </row>
    <row r="32" spans="2:5" x14ac:dyDescent="0.25">
      <c r="E32" s="89"/>
    </row>
    <row r="33" spans="2:5" x14ac:dyDescent="0.25">
      <c r="B33" s="69">
        <v>54</v>
      </c>
      <c r="C33" s="69"/>
      <c r="D33" s="69" t="s">
        <v>250</v>
      </c>
      <c r="E33" s="70">
        <f>HLOOKUP($D$4,'8.13 Bourgeoisie investissement'!$E$3:$R$184,28,0)</f>
        <v>0</v>
      </c>
    </row>
    <row r="34" spans="2:5" x14ac:dyDescent="0.25">
      <c r="C34">
        <v>540</v>
      </c>
      <c r="D34" t="s">
        <v>466</v>
      </c>
      <c r="E34" s="89">
        <f>HLOOKUP($D$4,'8.13 Bourgeoisie investissement'!$E$3:$R$184,29,0)</f>
        <v>0</v>
      </c>
    </row>
    <row r="35" spans="2:5" x14ac:dyDescent="0.25">
      <c r="C35">
        <v>541</v>
      </c>
      <c r="D35" t="s">
        <v>467</v>
      </c>
      <c r="E35" s="89">
        <f>HLOOKUP($D$4,'8.13 Bourgeoisie investissement'!$E$3:$R$184,30,0)</f>
        <v>0</v>
      </c>
    </row>
    <row r="36" spans="2:5" x14ac:dyDescent="0.25">
      <c r="C36">
        <v>542</v>
      </c>
      <c r="D36" t="s">
        <v>468</v>
      </c>
      <c r="E36" s="89">
        <f>HLOOKUP($D$4,'8.13 Bourgeoisie investissement'!$E$3:$R$184,31,0)</f>
        <v>0</v>
      </c>
    </row>
    <row r="37" spans="2:5" x14ac:dyDescent="0.25">
      <c r="C37">
        <v>543</v>
      </c>
      <c r="D37" t="s">
        <v>469</v>
      </c>
      <c r="E37" s="89">
        <f>HLOOKUP($D$4,'8.13 Bourgeoisie investissement'!$E$3:$R$184,32,0)</f>
        <v>0</v>
      </c>
    </row>
    <row r="38" spans="2:5" x14ac:dyDescent="0.25">
      <c r="C38">
        <v>544</v>
      </c>
      <c r="D38" t="s">
        <v>470</v>
      </c>
      <c r="E38" s="89">
        <f>HLOOKUP($D$4,'8.13 Bourgeoisie investissement'!$E$3:$R$184,33,0)</f>
        <v>0</v>
      </c>
    </row>
    <row r="39" spans="2:5" x14ac:dyDescent="0.25">
      <c r="C39">
        <v>545</v>
      </c>
      <c r="D39" t="s">
        <v>471</v>
      </c>
      <c r="E39" s="89">
        <f>HLOOKUP($D$4,'8.13 Bourgeoisie investissement'!$E$3:$R$184,34,0)</f>
        <v>0</v>
      </c>
    </row>
    <row r="40" spans="2:5" x14ac:dyDescent="0.25">
      <c r="C40">
        <v>546</v>
      </c>
      <c r="D40" t="s">
        <v>472</v>
      </c>
      <c r="E40" s="89">
        <f>HLOOKUP($D$4,'8.13 Bourgeoisie investissement'!$E$3:$R$184,35,0)</f>
        <v>0</v>
      </c>
    </row>
    <row r="41" spans="2:5" x14ac:dyDescent="0.25">
      <c r="C41">
        <v>547</v>
      </c>
      <c r="D41" t="s">
        <v>473</v>
      </c>
      <c r="E41" s="89">
        <f>HLOOKUP($D$4,'8.13 Bourgeoisie investissement'!$E$3:$R$184,36,0)</f>
        <v>0</v>
      </c>
    </row>
    <row r="42" spans="2:5" x14ac:dyDescent="0.25">
      <c r="C42">
        <v>548</v>
      </c>
      <c r="D42" t="s">
        <v>474</v>
      </c>
      <c r="E42" s="89">
        <f>HLOOKUP($D$4,'8.13 Bourgeoisie investissement'!$E$3:$R$184,37,0)</f>
        <v>0</v>
      </c>
    </row>
    <row r="43" spans="2:5" x14ac:dyDescent="0.25">
      <c r="E43" s="89"/>
    </row>
    <row r="44" spans="2:5" x14ac:dyDescent="0.25">
      <c r="B44" s="69">
        <v>55</v>
      </c>
      <c r="C44" s="69"/>
      <c r="D44" s="69" t="s">
        <v>379</v>
      </c>
      <c r="E44" s="70">
        <f>HLOOKUP($D$4,'8.13 Bourgeoisie investissement'!$E$3:$R$184,39,0)</f>
        <v>0</v>
      </c>
    </row>
    <row r="45" spans="2:5" x14ac:dyDescent="0.25">
      <c r="C45">
        <v>550</v>
      </c>
      <c r="D45" t="s">
        <v>466</v>
      </c>
      <c r="E45" s="89">
        <f>HLOOKUP($D$4,'8.13 Bourgeoisie investissement'!$E$3:$R$184,40,0)</f>
        <v>0</v>
      </c>
    </row>
    <row r="46" spans="2:5" x14ac:dyDescent="0.25">
      <c r="C46">
        <v>551</v>
      </c>
      <c r="D46" t="s">
        <v>467</v>
      </c>
      <c r="E46" s="89">
        <f>HLOOKUP($D$4,'8.13 Bourgeoisie investissement'!$E$3:$R$184,41,0)</f>
        <v>0</v>
      </c>
    </row>
    <row r="47" spans="2:5" x14ac:dyDescent="0.25">
      <c r="C47">
        <v>552</v>
      </c>
      <c r="D47" t="s">
        <v>468</v>
      </c>
      <c r="E47" s="89">
        <f>HLOOKUP($D$4,'8.13 Bourgeoisie investissement'!$E$3:$R$184,42,0)</f>
        <v>0</v>
      </c>
    </row>
    <row r="48" spans="2:5" x14ac:dyDescent="0.25">
      <c r="C48">
        <v>553</v>
      </c>
      <c r="D48" t="s">
        <v>469</v>
      </c>
      <c r="E48" s="89">
        <f>HLOOKUP($D$4,'8.13 Bourgeoisie investissement'!$E$3:$R$184,43,0)</f>
        <v>0</v>
      </c>
    </row>
    <row r="49" spans="2:5" x14ac:dyDescent="0.25">
      <c r="C49">
        <v>554</v>
      </c>
      <c r="D49" t="s">
        <v>470</v>
      </c>
      <c r="E49" s="89">
        <f>HLOOKUP($D$4,'8.13 Bourgeoisie investissement'!$E$3:$R$184,44,0)</f>
        <v>0</v>
      </c>
    </row>
    <row r="50" spans="2:5" x14ac:dyDescent="0.25">
      <c r="C50">
        <v>555</v>
      </c>
      <c r="D50" t="s">
        <v>471</v>
      </c>
      <c r="E50" s="89">
        <f>HLOOKUP($D$4,'8.13 Bourgeoisie investissement'!$E$3:$R$184,45,0)</f>
        <v>0</v>
      </c>
    </row>
    <row r="51" spans="2:5" x14ac:dyDescent="0.25">
      <c r="C51">
        <v>556</v>
      </c>
      <c r="D51" t="s">
        <v>472</v>
      </c>
      <c r="E51" s="89">
        <f>HLOOKUP($D$4,'8.13 Bourgeoisie investissement'!$E$3:$R$184,46,0)</f>
        <v>0</v>
      </c>
    </row>
    <row r="52" spans="2:5" x14ac:dyDescent="0.25">
      <c r="C52">
        <v>557</v>
      </c>
      <c r="D52" t="s">
        <v>473</v>
      </c>
      <c r="E52" s="89">
        <f>HLOOKUP($D$4,'8.13 Bourgeoisie investissement'!$E$3:$R$184,47,0)</f>
        <v>0</v>
      </c>
    </row>
    <row r="53" spans="2:5" x14ac:dyDescent="0.25">
      <c r="C53">
        <v>558</v>
      </c>
      <c r="D53" t="s">
        <v>474</v>
      </c>
      <c r="E53" s="89">
        <f>HLOOKUP($D$4,'8.13 Bourgeoisie investissement'!$E$3:$R$184,48,0)</f>
        <v>0</v>
      </c>
    </row>
    <row r="54" spans="2:5" x14ac:dyDescent="0.25">
      <c r="E54" s="89"/>
    </row>
    <row r="55" spans="2:5" x14ac:dyDescent="0.25">
      <c r="B55" s="69">
        <v>56</v>
      </c>
      <c r="C55" s="69"/>
      <c r="D55" s="69" t="s">
        <v>475</v>
      </c>
      <c r="E55" s="70">
        <f>HLOOKUP($D$4,'8.13 Bourgeoisie investissement'!$E$3:$R$184,50,0)</f>
        <v>0</v>
      </c>
    </row>
    <row r="56" spans="2:5" x14ac:dyDescent="0.25">
      <c r="C56">
        <v>560</v>
      </c>
      <c r="D56" t="s">
        <v>466</v>
      </c>
      <c r="E56" s="89">
        <f>HLOOKUP($D$4,'8.13 Bourgeoisie investissement'!$E$3:$R$184,51,0)</f>
        <v>0</v>
      </c>
    </row>
    <row r="57" spans="2:5" x14ac:dyDescent="0.25">
      <c r="C57">
        <v>561</v>
      </c>
      <c r="D57" t="s">
        <v>467</v>
      </c>
      <c r="E57" s="89">
        <f>HLOOKUP($D$4,'8.13 Bourgeoisie investissement'!$E$3:$R$184,52,0)</f>
        <v>0</v>
      </c>
    </row>
    <row r="58" spans="2:5" x14ac:dyDescent="0.25">
      <c r="C58">
        <v>562</v>
      </c>
      <c r="D58" t="s">
        <v>468</v>
      </c>
      <c r="E58" s="89">
        <f>HLOOKUP($D$4,'8.13 Bourgeoisie investissement'!$E$3:$R$184,53,0)</f>
        <v>0</v>
      </c>
    </row>
    <row r="59" spans="2:5" x14ac:dyDescent="0.25">
      <c r="C59">
        <v>563</v>
      </c>
      <c r="D59" t="s">
        <v>469</v>
      </c>
      <c r="E59" s="89">
        <f>HLOOKUP($D$4,'8.13 Bourgeoisie investissement'!$E$3:$R$184,54,0)</f>
        <v>0</v>
      </c>
    </row>
    <row r="60" spans="2:5" x14ac:dyDescent="0.25">
      <c r="C60">
        <v>564</v>
      </c>
      <c r="D60" t="s">
        <v>470</v>
      </c>
      <c r="E60" s="89">
        <f>HLOOKUP($D$4,'8.13 Bourgeoisie investissement'!$E$3:$R$184,55,0)</f>
        <v>0</v>
      </c>
    </row>
    <row r="61" spans="2:5" x14ac:dyDescent="0.25">
      <c r="C61">
        <v>565</v>
      </c>
      <c r="D61" t="s">
        <v>471</v>
      </c>
      <c r="E61" s="89">
        <f>HLOOKUP($D$4,'8.13 Bourgeoisie investissement'!$E$3:$R$184,56,0)</f>
        <v>0</v>
      </c>
    </row>
    <row r="62" spans="2:5" x14ac:dyDescent="0.25">
      <c r="C62">
        <v>566</v>
      </c>
      <c r="D62" t="s">
        <v>472</v>
      </c>
      <c r="E62" s="89">
        <f>HLOOKUP($D$4,'8.13 Bourgeoisie investissement'!$E$3:$R$184,57,0)</f>
        <v>0</v>
      </c>
    </row>
    <row r="63" spans="2:5" x14ac:dyDescent="0.25">
      <c r="C63">
        <v>567</v>
      </c>
      <c r="D63" t="s">
        <v>473</v>
      </c>
      <c r="E63" s="89">
        <f>HLOOKUP($D$4,'8.13 Bourgeoisie investissement'!$E$3:$R$184,58,0)</f>
        <v>0</v>
      </c>
    </row>
    <row r="64" spans="2:5" x14ac:dyDescent="0.25">
      <c r="C64">
        <v>568</v>
      </c>
      <c r="D64" t="s">
        <v>474</v>
      </c>
      <c r="E64" s="89">
        <f>HLOOKUP($D$4,'8.13 Bourgeoisie investissement'!$E$3:$R$184,59,0)</f>
        <v>0</v>
      </c>
    </row>
    <row r="65" spans="2:5" x14ac:dyDescent="0.25">
      <c r="E65" s="89"/>
    </row>
    <row r="66" spans="2:5" x14ac:dyDescent="0.25">
      <c r="B66" s="69">
        <v>57</v>
      </c>
      <c r="C66" s="69"/>
      <c r="D66" s="69" t="s">
        <v>476</v>
      </c>
      <c r="E66" s="70">
        <f>HLOOKUP($D$4,'8.13 Bourgeoisie investissement'!$E$3:$R$184,61,0)</f>
        <v>0</v>
      </c>
    </row>
    <row r="67" spans="2:5" x14ac:dyDescent="0.25">
      <c r="C67">
        <v>570</v>
      </c>
      <c r="D67" t="s">
        <v>466</v>
      </c>
      <c r="E67" s="89">
        <f>HLOOKUP($D$4,'8.13 Bourgeoisie investissement'!$E$3:$R$184,62,0)</f>
        <v>0</v>
      </c>
    </row>
    <row r="68" spans="2:5" x14ac:dyDescent="0.25">
      <c r="C68">
        <v>571</v>
      </c>
      <c r="D68" t="s">
        <v>467</v>
      </c>
      <c r="E68" s="89">
        <f>HLOOKUP($D$4,'8.13 Bourgeoisie investissement'!$E$3:$R$184,63,0)</f>
        <v>0</v>
      </c>
    </row>
    <row r="69" spans="2:5" x14ac:dyDescent="0.25">
      <c r="C69">
        <v>572</v>
      </c>
      <c r="D69" t="s">
        <v>468</v>
      </c>
      <c r="E69" s="89">
        <f>HLOOKUP($D$4,'8.13 Bourgeoisie investissement'!$E$3:$R$184,64,0)</f>
        <v>0</v>
      </c>
    </row>
    <row r="70" spans="2:5" x14ac:dyDescent="0.25">
      <c r="C70">
        <v>573</v>
      </c>
      <c r="D70" t="s">
        <v>469</v>
      </c>
      <c r="E70" s="89">
        <f>HLOOKUP($D$4,'8.13 Bourgeoisie investissement'!$E$3:$R$184,65,0)</f>
        <v>0</v>
      </c>
    </row>
    <row r="71" spans="2:5" x14ac:dyDescent="0.25">
      <c r="C71">
        <v>574</v>
      </c>
      <c r="D71" t="s">
        <v>470</v>
      </c>
      <c r="E71" s="89">
        <f>HLOOKUP($D$4,'8.13 Bourgeoisie investissement'!$E$3:$R$184,66,0)</f>
        <v>0</v>
      </c>
    </row>
    <row r="72" spans="2:5" x14ac:dyDescent="0.25">
      <c r="C72">
        <v>575</v>
      </c>
      <c r="D72" t="s">
        <v>471</v>
      </c>
      <c r="E72" s="89">
        <f>HLOOKUP($D$4,'8.13 Bourgeoisie investissement'!$E$3:$R$184,67,0)</f>
        <v>0</v>
      </c>
    </row>
    <row r="73" spans="2:5" x14ac:dyDescent="0.25">
      <c r="C73">
        <v>576</v>
      </c>
      <c r="D73" t="s">
        <v>472</v>
      </c>
      <c r="E73" s="89">
        <f>HLOOKUP($D$4,'8.13 Bourgeoisie investissement'!$E$3:$R$184,68,0)</f>
        <v>0</v>
      </c>
    </row>
    <row r="74" spans="2:5" x14ac:dyDescent="0.25">
      <c r="C74">
        <v>577</v>
      </c>
      <c r="D74" t="s">
        <v>473</v>
      </c>
      <c r="E74" s="89">
        <f>HLOOKUP($D$4,'8.13 Bourgeoisie investissement'!$E$3:$R$184,69,0)</f>
        <v>0</v>
      </c>
    </row>
    <row r="75" spans="2:5" x14ac:dyDescent="0.25">
      <c r="C75">
        <v>578</v>
      </c>
      <c r="D75" t="s">
        <v>474</v>
      </c>
      <c r="E75" s="89">
        <f>HLOOKUP($D$4,'8.13 Bourgeoisie investissement'!$E$3:$R$184,70,0)</f>
        <v>0</v>
      </c>
    </row>
    <row r="76" spans="2:5" x14ac:dyDescent="0.25">
      <c r="E76" s="89"/>
    </row>
    <row r="77" spans="2:5" x14ac:dyDescent="0.25">
      <c r="B77" s="69">
        <v>58</v>
      </c>
      <c r="C77" s="69"/>
      <c r="D77" s="69" t="s">
        <v>477</v>
      </c>
      <c r="E77" s="70">
        <f>HLOOKUP($D$4,'8.13 Bourgeoisie investissement'!$E$3:$R$184,72,0)</f>
        <v>0</v>
      </c>
    </row>
    <row r="78" spans="2:5" x14ac:dyDescent="0.25">
      <c r="C78">
        <v>580</v>
      </c>
      <c r="D78" t="s">
        <v>454</v>
      </c>
      <c r="E78" s="89">
        <f>HLOOKUP($D$4,'8.13 Bourgeoisie investissement'!$E$3:$R$184,73,0)</f>
        <v>0</v>
      </c>
    </row>
    <row r="79" spans="2:5" x14ac:dyDescent="0.25">
      <c r="C79">
        <v>582</v>
      </c>
      <c r="D79" t="s">
        <v>464</v>
      </c>
      <c r="E79" s="89">
        <f>HLOOKUP($D$4,'8.13 Bourgeoisie investissement'!$E$3:$R$184,74,0)</f>
        <v>0</v>
      </c>
    </row>
    <row r="80" spans="2:5" x14ac:dyDescent="0.25">
      <c r="C80">
        <v>584</v>
      </c>
      <c r="D80" t="s">
        <v>250</v>
      </c>
      <c r="E80" s="89">
        <f>HLOOKUP($D$4,'8.13 Bourgeoisie investissement'!$E$3:$R$184,75,0)</f>
        <v>0</v>
      </c>
    </row>
    <row r="81" spans="1:5" x14ac:dyDescent="0.25">
      <c r="C81">
        <v>585</v>
      </c>
      <c r="D81" t="s">
        <v>379</v>
      </c>
      <c r="E81" s="89">
        <f>HLOOKUP($D$4,'8.13 Bourgeoisie investissement'!$E$3:$R$184,76,0)</f>
        <v>0</v>
      </c>
    </row>
    <row r="82" spans="1:5" x14ac:dyDescent="0.25">
      <c r="C82">
        <v>586</v>
      </c>
      <c r="D82" t="s">
        <v>478</v>
      </c>
      <c r="E82" s="89">
        <f>HLOOKUP($D$4,'8.13 Bourgeoisie investissement'!$E$3:$R$184,77,0)</f>
        <v>0</v>
      </c>
    </row>
    <row r="83" spans="1:5" x14ac:dyDescent="0.25">
      <c r="C83">
        <v>589</v>
      </c>
      <c r="D83" t="s">
        <v>479</v>
      </c>
      <c r="E83" s="89">
        <f>HLOOKUP($D$4,'8.13 Bourgeoisie investissement'!$E$3:$R$184,78,0)</f>
        <v>0</v>
      </c>
    </row>
    <row r="84" spans="1:5" x14ac:dyDescent="0.25">
      <c r="E84" s="89"/>
    </row>
    <row r="85" spans="1:5" x14ac:dyDescent="0.25">
      <c r="B85" s="69">
        <v>59</v>
      </c>
      <c r="C85" s="69"/>
      <c r="D85" s="69" t="s">
        <v>480</v>
      </c>
      <c r="E85" s="70">
        <f>HLOOKUP($D$4,'8.13 Bourgeoisie investissement'!$E$3:$R$184,80,0)</f>
        <v>94682.25</v>
      </c>
    </row>
    <row r="86" spans="1:5" x14ac:dyDescent="0.25">
      <c r="C86">
        <v>590</v>
      </c>
      <c r="D86" t="s">
        <v>480</v>
      </c>
      <c r="E86" s="89">
        <f>HLOOKUP($D$4,'8.13 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HLOOKUP($D$4,'8.13 Bourgeoisie investissement'!$E$3:$R$184,85,0)</f>
        <v>94682.25</v>
      </c>
    </row>
    <row r="91" spans="1:5" x14ac:dyDescent="0.25">
      <c r="A91" s="7"/>
      <c r="B91" s="105">
        <v>60</v>
      </c>
      <c r="C91" s="105"/>
      <c r="D91" s="105" t="s">
        <v>482</v>
      </c>
      <c r="E91" s="103">
        <f>HLOOKUP($D$4,'8.13 Bourgeoisie investissement'!$E$3:$R$184,86,0)</f>
        <v>0</v>
      </c>
    </row>
    <row r="92" spans="1:5" x14ac:dyDescent="0.25">
      <c r="C92">
        <v>600</v>
      </c>
      <c r="D92" t="s">
        <v>456</v>
      </c>
      <c r="E92" s="89">
        <f>HLOOKUP($D$4,'8.13 Bourgeoisie investissement'!$E$3:$R$184,87,0)</f>
        <v>0</v>
      </c>
    </row>
    <row r="93" spans="1:5" x14ac:dyDescent="0.25">
      <c r="C93">
        <v>601</v>
      </c>
      <c r="D93" t="s">
        <v>457</v>
      </c>
      <c r="E93" s="89">
        <f>HLOOKUP($D$4,'8.13 Bourgeoisie investissement'!$E$3:$R$184,88,0)</f>
        <v>0</v>
      </c>
    </row>
    <row r="94" spans="1:5" x14ac:dyDescent="0.25">
      <c r="C94">
        <v>602</v>
      </c>
      <c r="D94" t="s">
        <v>458</v>
      </c>
      <c r="E94" s="89">
        <f>HLOOKUP($D$4,'8.13 Bourgeoisie investissement'!$E$3:$R$184,89,0)</f>
        <v>0</v>
      </c>
    </row>
    <row r="95" spans="1:5" x14ac:dyDescent="0.25">
      <c r="C95">
        <v>603</v>
      </c>
      <c r="D95" t="s">
        <v>459</v>
      </c>
      <c r="E95" s="89">
        <f>HLOOKUP($D$4,'8.13 Bourgeoisie investissement'!$E$3:$R$184,90,0)</f>
        <v>0</v>
      </c>
    </row>
    <row r="96" spans="1:5" x14ac:dyDescent="0.25">
      <c r="C96">
        <v>604</v>
      </c>
      <c r="D96" t="s">
        <v>460</v>
      </c>
      <c r="E96" s="89">
        <f>HLOOKUP($D$4,'8.13 Bourgeoisie investissement'!$E$3:$R$184,91,0)</f>
        <v>0</v>
      </c>
    </row>
    <row r="97" spans="2:5" x14ac:dyDescent="0.25">
      <c r="C97">
        <v>605</v>
      </c>
      <c r="D97" t="s">
        <v>461</v>
      </c>
      <c r="E97" s="89">
        <f>HLOOKUP($D$4,'8.13 Bourgeoisie investissement'!$E$3:$R$184,92,0)</f>
        <v>0</v>
      </c>
    </row>
    <row r="98" spans="2:5" x14ac:dyDescent="0.25">
      <c r="C98">
        <v>606</v>
      </c>
      <c r="D98" t="s">
        <v>462</v>
      </c>
      <c r="E98" s="89">
        <f>HLOOKUP($D$4,'8.13 Bourgeoisie investissement'!$E$3:$R$184,93,0)</f>
        <v>0</v>
      </c>
    </row>
    <row r="99" spans="2:5" x14ac:dyDescent="0.25">
      <c r="C99">
        <v>609</v>
      </c>
      <c r="D99" t="s">
        <v>463</v>
      </c>
      <c r="E99" s="89">
        <f>HLOOKUP($D$4,'8.13 Bourgeoisie investissement'!$E$3:$R$184,94,0)</f>
        <v>0</v>
      </c>
    </row>
    <row r="100" spans="2:5" x14ac:dyDescent="0.25">
      <c r="E100" s="89"/>
    </row>
    <row r="101" spans="2:5" x14ac:dyDescent="0.25">
      <c r="B101" s="105">
        <v>61</v>
      </c>
      <c r="C101" s="105"/>
      <c r="D101" s="105" t="s">
        <v>483</v>
      </c>
      <c r="E101" s="103">
        <f>HLOOKUP($D$4,'8.13 Bourgeoisie investissement'!$E$3:$R$184,96,0)</f>
        <v>0</v>
      </c>
    </row>
    <row r="102" spans="2:5" x14ac:dyDescent="0.25">
      <c r="C102">
        <v>610</v>
      </c>
      <c r="D102" t="s">
        <v>456</v>
      </c>
      <c r="E102" s="89">
        <f>HLOOKUP($D$4,'8.13 Bourgeoisie investissement'!$E$3:$R$184,97,0)</f>
        <v>0</v>
      </c>
    </row>
    <row r="103" spans="2:5" x14ac:dyDescent="0.25">
      <c r="C103">
        <v>611</v>
      </c>
      <c r="D103" t="s">
        <v>457</v>
      </c>
      <c r="E103" s="89">
        <f>HLOOKUP($D$4,'8.13 Bourgeoisie investissement'!$E$3:$R$184,98,0)</f>
        <v>0</v>
      </c>
    </row>
    <row r="104" spans="2:5" x14ac:dyDescent="0.25">
      <c r="C104">
        <v>612</v>
      </c>
      <c r="D104" t="s">
        <v>458</v>
      </c>
      <c r="E104" s="89">
        <f>HLOOKUP($D$4,'8.13 Bourgeoisie investissement'!$E$3:$R$184,99,0)</f>
        <v>0</v>
      </c>
    </row>
    <row r="105" spans="2:5" x14ac:dyDescent="0.25">
      <c r="C105">
        <v>613</v>
      </c>
      <c r="D105" t="s">
        <v>459</v>
      </c>
      <c r="E105" s="89">
        <f>HLOOKUP($D$4,'8.13 Bourgeoisie investissement'!$E$3:$R$184,100,0)</f>
        <v>0</v>
      </c>
    </row>
    <row r="106" spans="2:5" x14ac:dyDescent="0.25">
      <c r="C106">
        <v>614</v>
      </c>
      <c r="D106" t="s">
        <v>460</v>
      </c>
      <c r="E106" s="89">
        <f>HLOOKUP($D$4,'8.13 Bourgeoisie investissement'!$E$3:$R$184,101,0)</f>
        <v>0</v>
      </c>
    </row>
    <row r="107" spans="2:5" x14ac:dyDescent="0.25">
      <c r="C107">
        <v>615</v>
      </c>
      <c r="D107" t="s">
        <v>461</v>
      </c>
      <c r="E107" s="89">
        <f>HLOOKUP($D$4,'8.13 Bourgeoisie investissement'!$E$3:$R$184,102,0)</f>
        <v>0</v>
      </c>
    </row>
    <row r="108" spans="2:5" x14ac:dyDescent="0.25">
      <c r="C108">
        <v>616</v>
      </c>
      <c r="D108" t="s">
        <v>462</v>
      </c>
      <c r="E108" s="89">
        <f>HLOOKUP($D$4,'8.13 Bourgeoisie investissement'!$E$3:$R$184,103,0)</f>
        <v>0</v>
      </c>
    </row>
    <row r="109" spans="2:5" x14ac:dyDescent="0.25">
      <c r="C109">
        <v>619</v>
      </c>
      <c r="D109" t="s">
        <v>463</v>
      </c>
      <c r="E109" s="89">
        <f>HLOOKUP($D$4,'8.13 Bourgeoisie investissement'!$E$3:$R$184,104,0)</f>
        <v>0</v>
      </c>
    </row>
    <row r="110" spans="2:5" x14ac:dyDescent="0.25">
      <c r="E110" s="89"/>
    </row>
    <row r="111" spans="2:5" x14ac:dyDescent="0.25">
      <c r="B111" s="105">
        <v>62</v>
      </c>
      <c r="C111" s="105"/>
      <c r="D111" s="105" t="s">
        <v>484</v>
      </c>
      <c r="E111" s="103">
        <f>HLOOKUP($D$4,'8.13 Bourgeoisie investissement'!$E$3:$R$184,106,0)</f>
        <v>0</v>
      </c>
    </row>
    <row r="112" spans="2:5" x14ac:dyDescent="0.25">
      <c r="C112">
        <v>620</v>
      </c>
      <c r="D112" t="s">
        <v>366</v>
      </c>
      <c r="E112" s="89">
        <f>HLOOKUP($D$4,'8.13 Bourgeoisie investissement'!$E$3:$R$184,107,0)</f>
        <v>0</v>
      </c>
    </row>
    <row r="113" spans="2:5" x14ac:dyDescent="0.25">
      <c r="C113">
        <v>621</v>
      </c>
      <c r="D113" t="s">
        <v>367</v>
      </c>
      <c r="E113" s="89">
        <f>HLOOKUP($D$4,'8.13 Bourgeoisie investissement'!$E$3:$R$184,108,0)</f>
        <v>0</v>
      </c>
    </row>
    <row r="114" spans="2:5" x14ac:dyDescent="0.25">
      <c r="C114">
        <v>629</v>
      </c>
      <c r="D114" t="s">
        <v>465</v>
      </c>
      <c r="E114" s="89">
        <f>HLOOKUP($D$4,'8.13 Bourgeoisie investissement'!$E$3:$R$184,109,0)</f>
        <v>0</v>
      </c>
    </row>
    <row r="115" spans="2:5" x14ac:dyDescent="0.25">
      <c r="E115" s="89"/>
    </row>
    <row r="116" spans="2:5" x14ac:dyDescent="0.25">
      <c r="B116" s="105">
        <v>63</v>
      </c>
      <c r="C116" s="105"/>
      <c r="D116" s="105" t="s">
        <v>485</v>
      </c>
      <c r="E116" s="103">
        <f>HLOOKUP($D$4,'8.13 Bourgeoisie investissement'!$E$3:$R$184,111,0)</f>
        <v>94682.25</v>
      </c>
    </row>
    <row r="117" spans="2:5" x14ac:dyDescent="0.25">
      <c r="C117">
        <v>630</v>
      </c>
      <c r="D117" t="s">
        <v>466</v>
      </c>
      <c r="E117" s="89">
        <f>HLOOKUP($D$4,'8.13 Bourgeoisie investissement'!$E$3:$R$184,112,0)</f>
        <v>0</v>
      </c>
    </row>
    <row r="118" spans="2:5" x14ac:dyDescent="0.25">
      <c r="C118">
        <v>631</v>
      </c>
      <c r="D118" t="s">
        <v>467</v>
      </c>
      <c r="E118" s="89">
        <f>HLOOKUP($D$4,'8.13 Bourgeoisie investissement'!$E$3:$R$184,113,0)</f>
        <v>94682.25</v>
      </c>
    </row>
    <row r="119" spans="2:5" x14ac:dyDescent="0.25">
      <c r="C119">
        <v>632</v>
      </c>
      <c r="D119" t="s">
        <v>468</v>
      </c>
      <c r="E119" s="89">
        <f>HLOOKUP($D$4,'8.13 Bourgeoisie investissement'!$E$3:$R$184,114,0)</f>
        <v>0</v>
      </c>
    </row>
    <row r="120" spans="2:5" x14ac:dyDescent="0.25">
      <c r="C120">
        <v>633</v>
      </c>
      <c r="D120" t="s">
        <v>469</v>
      </c>
      <c r="E120" s="89">
        <f>HLOOKUP($D$4,'8.13 Bourgeoisie investissement'!$E$3:$R$184,115,0)</f>
        <v>0</v>
      </c>
    </row>
    <row r="121" spans="2:5" x14ac:dyDescent="0.25">
      <c r="C121">
        <v>634</v>
      </c>
      <c r="D121" t="s">
        <v>470</v>
      </c>
      <c r="E121" s="89">
        <f>HLOOKUP($D$4,'8.13 Bourgeoisie investissement'!$E$3:$R$184,116,0)</f>
        <v>0</v>
      </c>
    </row>
    <row r="122" spans="2:5" x14ac:dyDescent="0.25">
      <c r="C122">
        <v>635</v>
      </c>
      <c r="D122" t="s">
        <v>471</v>
      </c>
      <c r="E122" s="89">
        <f>HLOOKUP($D$4,'8.13 Bourgeoisie investissement'!$E$3:$R$184,117,0)</f>
        <v>0</v>
      </c>
    </row>
    <row r="123" spans="2:5" x14ac:dyDescent="0.25">
      <c r="C123">
        <v>636</v>
      </c>
      <c r="D123" t="s">
        <v>472</v>
      </c>
      <c r="E123" s="89">
        <f>HLOOKUP($D$4,'8.13 Bourgeoisie investissement'!$E$3:$R$184,118,0)</f>
        <v>0</v>
      </c>
    </row>
    <row r="124" spans="2:5" x14ac:dyDescent="0.25">
      <c r="C124">
        <v>637</v>
      </c>
      <c r="D124" t="s">
        <v>473</v>
      </c>
      <c r="E124" s="89">
        <f>HLOOKUP($D$4,'8.13 Bourgeoisie investissement'!$E$3:$R$184,119,0)</f>
        <v>0</v>
      </c>
    </row>
    <row r="125" spans="2:5" x14ac:dyDescent="0.25">
      <c r="C125">
        <v>638</v>
      </c>
      <c r="D125" t="s">
        <v>474</v>
      </c>
      <c r="E125" s="89">
        <f>HLOOKUP($D$4,'8.13 Bourgeoisie investissement'!$E$3:$R$184,120,0)</f>
        <v>0</v>
      </c>
    </row>
    <row r="126" spans="2:5" x14ac:dyDescent="0.25">
      <c r="E126" s="89"/>
    </row>
    <row r="127" spans="2:5" x14ac:dyDescent="0.25">
      <c r="B127" s="105">
        <v>64</v>
      </c>
      <c r="C127" s="105"/>
      <c r="D127" s="105" t="s">
        <v>486</v>
      </c>
      <c r="E127" s="103">
        <f>HLOOKUP($D$4,'8.13 Bourgeoisie investissement'!$E$3:$R$184,122,0)</f>
        <v>0</v>
      </c>
    </row>
    <row r="128" spans="2:5" x14ac:dyDescent="0.25">
      <c r="C128">
        <v>640</v>
      </c>
      <c r="D128" t="s">
        <v>466</v>
      </c>
      <c r="E128" s="89">
        <f>HLOOKUP($D$4,'8.13 Bourgeoisie investissement'!$E$3:$R$184,123,0)</f>
        <v>0</v>
      </c>
    </row>
    <row r="129" spans="2:5" x14ac:dyDescent="0.25">
      <c r="C129">
        <v>641</v>
      </c>
      <c r="D129" t="s">
        <v>467</v>
      </c>
      <c r="E129" s="89">
        <f>HLOOKUP($D$4,'8.13 Bourgeoisie investissement'!$E$3:$R$184,124,0)</f>
        <v>0</v>
      </c>
    </row>
    <row r="130" spans="2:5" x14ac:dyDescent="0.25">
      <c r="C130">
        <v>642</v>
      </c>
      <c r="D130" t="s">
        <v>468</v>
      </c>
      <c r="E130" s="89">
        <f>HLOOKUP($D$4,'8.13 Bourgeoisie investissement'!$E$3:$R$184,125,0)</f>
        <v>0</v>
      </c>
    </row>
    <row r="131" spans="2:5" x14ac:dyDescent="0.25">
      <c r="C131">
        <v>643</v>
      </c>
      <c r="D131" t="s">
        <v>469</v>
      </c>
      <c r="E131" s="89">
        <f>HLOOKUP($D$4,'8.13 Bourgeoisie investissement'!$E$3:$R$184,126,0)</f>
        <v>0</v>
      </c>
    </row>
    <row r="132" spans="2:5" x14ac:dyDescent="0.25">
      <c r="C132">
        <v>644</v>
      </c>
      <c r="D132" t="s">
        <v>470</v>
      </c>
      <c r="E132" s="89">
        <f>HLOOKUP($D$4,'8.13 Bourgeoisie investissement'!$E$3:$R$184,127,0)</f>
        <v>0</v>
      </c>
    </row>
    <row r="133" spans="2:5" x14ac:dyDescent="0.25">
      <c r="C133">
        <v>645</v>
      </c>
      <c r="D133" t="s">
        <v>471</v>
      </c>
      <c r="E133" s="89">
        <f>HLOOKUP($D$4,'8.13 Bourgeoisie investissement'!$E$3:$R$184,128,0)</f>
        <v>0</v>
      </c>
    </row>
    <row r="134" spans="2:5" x14ac:dyDescent="0.25">
      <c r="C134">
        <v>646</v>
      </c>
      <c r="D134" t="s">
        <v>472</v>
      </c>
      <c r="E134" s="89">
        <f>HLOOKUP($D$4,'8.13 Bourgeoisie investissement'!$E$3:$R$184,129,0)</f>
        <v>0</v>
      </c>
    </row>
    <row r="135" spans="2:5" x14ac:dyDescent="0.25">
      <c r="C135">
        <v>647</v>
      </c>
      <c r="D135" t="s">
        <v>473</v>
      </c>
      <c r="E135" s="89">
        <f>HLOOKUP($D$4,'8.13 Bourgeoisie investissement'!$E$3:$R$184,130,0)</f>
        <v>0</v>
      </c>
    </row>
    <row r="136" spans="2:5" x14ac:dyDescent="0.25">
      <c r="C136">
        <v>648</v>
      </c>
      <c r="D136" t="s">
        <v>474</v>
      </c>
      <c r="E136" s="89">
        <f>HLOOKUP($D$4,'8.13 Bourgeoisie investissement'!$E$3:$R$184,131,0)</f>
        <v>0</v>
      </c>
    </row>
    <row r="137" spans="2:5" x14ac:dyDescent="0.25">
      <c r="E137" s="89"/>
    </row>
    <row r="138" spans="2:5" x14ac:dyDescent="0.25">
      <c r="B138" s="105">
        <v>65</v>
      </c>
      <c r="C138" s="105"/>
      <c r="D138" s="105" t="s">
        <v>487</v>
      </c>
      <c r="E138" s="103">
        <f>HLOOKUP($D$4,'8.13 Bourgeoisie investissement'!$E$3:$R$184,133,0)</f>
        <v>0</v>
      </c>
    </row>
    <row r="139" spans="2:5" x14ac:dyDescent="0.25">
      <c r="C139">
        <v>650</v>
      </c>
      <c r="D139" t="s">
        <v>466</v>
      </c>
      <c r="E139" s="89">
        <f>HLOOKUP($D$4,'8.13 Bourgeoisie investissement'!$E$3:$R$184,134,0)</f>
        <v>0</v>
      </c>
    </row>
    <row r="140" spans="2:5" x14ac:dyDescent="0.25">
      <c r="C140">
        <v>651</v>
      </c>
      <c r="D140" t="s">
        <v>467</v>
      </c>
      <c r="E140" s="89">
        <f>HLOOKUP($D$4,'8.13 Bourgeoisie investissement'!$E$3:$R$184,135,0)</f>
        <v>0</v>
      </c>
    </row>
    <row r="141" spans="2:5" x14ac:dyDescent="0.25">
      <c r="C141">
        <v>652</v>
      </c>
      <c r="D141" t="s">
        <v>468</v>
      </c>
      <c r="E141" s="89">
        <f>HLOOKUP($D$4,'8.13 Bourgeoisie investissement'!$E$3:$R$184,136,0)</f>
        <v>0</v>
      </c>
    </row>
    <row r="142" spans="2:5" x14ac:dyDescent="0.25">
      <c r="C142">
        <v>653</v>
      </c>
      <c r="D142" t="s">
        <v>469</v>
      </c>
      <c r="E142" s="89">
        <f>HLOOKUP($D$4,'8.13 Bourgeoisie investissement'!$E$3:$R$184,137,0)</f>
        <v>0</v>
      </c>
    </row>
    <row r="143" spans="2:5" x14ac:dyDescent="0.25">
      <c r="C143">
        <v>654</v>
      </c>
      <c r="D143" t="s">
        <v>470</v>
      </c>
      <c r="E143" s="89">
        <f>HLOOKUP($D$4,'8.13 Bourgeoisie investissement'!$E$3:$R$184,138,0)</f>
        <v>0</v>
      </c>
    </row>
    <row r="144" spans="2:5" x14ac:dyDescent="0.25">
      <c r="C144">
        <v>655</v>
      </c>
      <c r="D144" t="s">
        <v>471</v>
      </c>
      <c r="E144" s="89">
        <f>HLOOKUP($D$4,'8.13 Bourgeoisie investissement'!$E$3:$R$184,139,0)</f>
        <v>0</v>
      </c>
    </row>
    <row r="145" spans="2:5" x14ac:dyDescent="0.25">
      <c r="C145">
        <v>656</v>
      </c>
      <c r="D145" t="s">
        <v>472</v>
      </c>
      <c r="E145" s="89">
        <f>HLOOKUP($D$4,'8.13 Bourgeoisie investissement'!$E$3:$R$184,140,0)</f>
        <v>0</v>
      </c>
    </row>
    <row r="146" spans="2:5" x14ac:dyDescent="0.25">
      <c r="C146">
        <v>657</v>
      </c>
      <c r="D146" t="s">
        <v>473</v>
      </c>
      <c r="E146" s="89">
        <f>HLOOKUP($D$4,'8.13 Bourgeoisie investissement'!$E$3:$R$184,141,0)</f>
        <v>0</v>
      </c>
    </row>
    <row r="147" spans="2:5" x14ac:dyDescent="0.25">
      <c r="C147">
        <v>658</v>
      </c>
      <c r="D147" t="s">
        <v>474</v>
      </c>
      <c r="E147" s="89">
        <f>HLOOKUP($D$4,'8.13 Bourgeoisie investissement'!$E$3:$R$184,142,0)</f>
        <v>0</v>
      </c>
    </row>
    <row r="148" spans="2:5" x14ac:dyDescent="0.25">
      <c r="E148" s="89"/>
    </row>
    <row r="149" spans="2:5" x14ac:dyDescent="0.25">
      <c r="B149" s="105">
        <v>66</v>
      </c>
      <c r="C149" s="105"/>
      <c r="D149" s="105" t="s">
        <v>488</v>
      </c>
      <c r="E149" s="103">
        <f>HLOOKUP($D$4,'8.13 Bourgeoisie investissement'!$E$3:$R$184,144,0)</f>
        <v>0</v>
      </c>
    </row>
    <row r="150" spans="2:5" x14ac:dyDescent="0.25">
      <c r="C150">
        <v>660</v>
      </c>
      <c r="D150" t="s">
        <v>466</v>
      </c>
      <c r="E150" s="89">
        <f>HLOOKUP($D$4,'8.13 Bourgeoisie investissement'!$E$3:$R$184,145,0)</f>
        <v>0</v>
      </c>
    </row>
    <row r="151" spans="2:5" x14ac:dyDescent="0.25">
      <c r="C151">
        <v>661</v>
      </c>
      <c r="D151" t="s">
        <v>467</v>
      </c>
      <c r="E151" s="89">
        <f>HLOOKUP($D$4,'8.13 Bourgeoisie investissement'!$E$3:$R$184,146,0)</f>
        <v>0</v>
      </c>
    </row>
    <row r="152" spans="2:5" x14ac:dyDescent="0.25">
      <c r="C152">
        <v>662</v>
      </c>
      <c r="D152" t="s">
        <v>468</v>
      </c>
      <c r="E152" s="89">
        <f>HLOOKUP($D$4,'8.13 Bourgeoisie investissement'!$E$3:$R$184,147,0)</f>
        <v>0</v>
      </c>
    </row>
    <row r="153" spans="2:5" x14ac:dyDescent="0.25">
      <c r="C153">
        <v>663</v>
      </c>
      <c r="D153" t="s">
        <v>469</v>
      </c>
      <c r="E153" s="89">
        <f>HLOOKUP($D$4,'8.13 Bourgeoisie investissement'!$E$3:$R$184,148,0)</f>
        <v>0</v>
      </c>
    </row>
    <row r="154" spans="2:5" x14ac:dyDescent="0.25">
      <c r="C154">
        <v>664</v>
      </c>
      <c r="D154" t="s">
        <v>470</v>
      </c>
      <c r="E154" s="89">
        <f>HLOOKUP($D$4,'8.13 Bourgeoisie investissement'!$E$3:$R$184,149,0)</f>
        <v>0</v>
      </c>
    </row>
    <row r="155" spans="2:5" x14ac:dyDescent="0.25">
      <c r="C155">
        <v>665</v>
      </c>
      <c r="D155" t="s">
        <v>471</v>
      </c>
      <c r="E155" s="89">
        <f>HLOOKUP($D$4,'8.13 Bourgeoisie investissement'!$E$3:$R$184,150,0)</f>
        <v>0</v>
      </c>
    </row>
    <row r="156" spans="2:5" x14ac:dyDescent="0.25">
      <c r="C156">
        <v>666</v>
      </c>
      <c r="D156" t="s">
        <v>472</v>
      </c>
      <c r="E156" s="89">
        <f>HLOOKUP($D$4,'8.13 Bourgeoisie investissement'!$E$3:$R$184,151,0)</f>
        <v>0</v>
      </c>
    </row>
    <row r="157" spans="2:5" x14ac:dyDescent="0.25">
      <c r="C157">
        <v>667</v>
      </c>
      <c r="D157" t="s">
        <v>473</v>
      </c>
      <c r="E157" s="89">
        <f>HLOOKUP($D$4,'8.13 Bourgeoisie investissement'!$E$3:$R$184,152,0)</f>
        <v>0</v>
      </c>
    </row>
    <row r="158" spans="2:5" x14ac:dyDescent="0.25">
      <c r="C158">
        <v>668</v>
      </c>
      <c r="D158" t="s">
        <v>474</v>
      </c>
      <c r="E158" s="89">
        <f>HLOOKUP($D$4,'8.13 Bourgeoisie investissement'!$E$3:$R$184,153,0)</f>
        <v>0</v>
      </c>
    </row>
    <row r="159" spans="2:5" x14ac:dyDescent="0.25">
      <c r="E159" s="89"/>
    </row>
    <row r="160" spans="2:5" x14ac:dyDescent="0.25">
      <c r="B160" s="105">
        <v>67</v>
      </c>
      <c r="C160" s="105"/>
      <c r="D160" s="105" t="s">
        <v>476</v>
      </c>
      <c r="E160" s="103">
        <f>HLOOKUP($D$4,'8.13 Bourgeoisie investissement'!$E$3:$R$184,155,0)</f>
        <v>0</v>
      </c>
    </row>
    <row r="161" spans="2:5" x14ac:dyDescent="0.25">
      <c r="C161">
        <v>670</v>
      </c>
      <c r="D161" t="s">
        <v>466</v>
      </c>
      <c r="E161" s="89">
        <f>HLOOKUP($D$4,'8.13 Bourgeoisie investissement'!$E$3:$R$184,156,0)</f>
        <v>0</v>
      </c>
    </row>
    <row r="162" spans="2:5" x14ac:dyDescent="0.25">
      <c r="C162">
        <v>671</v>
      </c>
      <c r="D162" t="s">
        <v>467</v>
      </c>
      <c r="E162" s="89">
        <f>HLOOKUP($D$4,'8.13 Bourgeoisie investissement'!$E$3:$R$184,157,0)</f>
        <v>0</v>
      </c>
    </row>
    <row r="163" spans="2:5" x14ac:dyDescent="0.25">
      <c r="C163">
        <v>672</v>
      </c>
      <c r="D163" t="s">
        <v>468</v>
      </c>
      <c r="E163" s="89">
        <f>HLOOKUP($D$4,'8.13 Bourgeoisie investissement'!$E$3:$R$184,158,0)</f>
        <v>0</v>
      </c>
    </row>
    <row r="164" spans="2:5" x14ac:dyDescent="0.25">
      <c r="C164">
        <v>673</v>
      </c>
      <c r="D164" t="s">
        <v>469</v>
      </c>
      <c r="E164" s="89">
        <f>HLOOKUP($D$4,'8.13 Bourgeoisie investissement'!$E$3:$R$184,159,0)</f>
        <v>0</v>
      </c>
    </row>
    <row r="165" spans="2:5" x14ac:dyDescent="0.25">
      <c r="C165">
        <v>674</v>
      </c>
      <c r="D165" t="s">
        <v>470</v>
      </c>
      <c r="E165" s="89">
        <f>HLOOKUP($D$4,'8.13 Bourgeoisie investissement'!$E$3:$R$184,160,0)</f>
        <v>0</v>
      </c>
    </row>
    <row r="166" spans="2:5" x14ac:dyDescent="0.25">
      <c r="C166">
        <v>675</v>
      </c>
      <c r="D166" t="s">
        <v>471</v>
      </c>
      <c r="E166" s="89">
        <f>HLOOKUP($D$4,'8.13 Bourgeoisie investissement'!$E$3:$R$184,161,0)</f>
        <v>0</v>
      </c>
    </row>
    <row r="167" spans="2:5" x14ac:dyDescent="0.25">
      <c r="C167">
        <v>676</v>
      </c>
      <c r="D167" t="s">
        <v>472</v>
      </c>
      <c r="E167" s="89">
        <f>HLOOKUP($D$4,'8.13 Bourgeoisie investissement'!$E$3:$R$184,162,0)</f>
        <v>0</v>
      </c>
    </row>
    <row r="168" spans="2:5" x14ac:dyDescent="0.25">
      <c r="C168">
        <v>677</v>
      </c>
      <c r="D168" t="s">
        <v>473</v>
      </c>
      <c r="E168" s="89">
        <f>HLOOKUP($D$4,'8.13 Bourgeoisie investissement'!$E$3:$R$184,163,0)</f>
        <v>0</v>
      </c>
    </row>
    <row r="169" spans="2:5" x14ac:dyDescent="0.25">
      <c r="C169">
        <v>678</v>
      </c>
      <c r="D169" t="s">
        <v>474</v>
      </c>
      <c r="E169" s="89">
        <f>HLOOKUP($D$4,'8.13 Bourgeoisie investissement'!$E$3:$R$184,164,0)</f>
        <v>0</v>
      </c>
    </row>
    <row r="170" spans="2:5" x14ac:dyDescent="0.25">
      <c r="E170" s="89"/>
    </row>
    <row r="171" spans="2:5" x14ac:dyDescent="0.25">
      <c r="B171" s="105">
        <v>68</v>
      </c>
      <c r="C171" s="105"/>
      <c r="D171" s="105" t="s">
        <v>489</v>
      </c>
      <c r="E171" s="103">
        <f>HLOOKUP($D$4,'8.13 Bourgeoisie investissement'!$E$3:$R$184,166,0)</f>
        <v>0</v>
      </c>
    </row>
    <row r="172" spans="2:5" x14ac:dyDescent="0.25">
      <c r="C172">
        <v>680</v>
      </c>
      <c r="D172" t="s">
        <v>454</v>
      </c>
      <c r="E172" s="89">
        <f>HLOOKUP($D$4,'8.13 Bourgeoisie investissement'!$E$3:$R$184,167,0)</f>
        <v>0</v>
      </c>
    </row>
    <row r="173" spans="2:5" x14ac:dyDescent="0.25">
      <c r="C173">
        <v>682</v>
      </c>
      <c r="D173" t="s">
        <v>464</v>
      </c>
      <c r="E173" s="89">
        <f>HLOOKUP($D$4,'8.13 Bourgeoisie investissement'!$E$3:$R$184,168,0)</f>
        <v>0</v>
      </c>
    </row>
    <row r="174" spans="2:5" x14ac:dyDescent="0.25">
      <c r="C174">
        <v>683</v>
      </c>
      <c r="D174" t="s">
        <v>490</v>
      </c>
      <c r="E174" s="89">
        <f>HLOOKUP($D$4,'8.13 Bourgeoisie investissement'!$E$3:$R$184,169,0)</f>
        <v>0</v>
      </c>
    </row>
    <row r="175" spans="2:5" x14ac:dyDescent="0.25">
      <c r="C175">
        <v>684</v>
      </c>
      <c r="D175" t="s">
        <v>250</v>
      </c>
      <c r="E175" s="89">
        <f>HLOOKUP($D$4,'8.13 Bourgeoisie investissement'!$E$3:$R$184,170,0)</f>
        <v>0</v>
      </c>
    </row>
    <row r="176" spans="2:5" x14ac:dyDescent="0.25">
      <c r="C176">
        <v>685</v>
      </c>
      <c r="D176" t="s">
        <v>379</v>
      </c>
      <c r="E176" s="89">
        <f>HLOOKUP($D$4,'8.13 Bourgeoisie investissement'!$E$3:$R$184,171,0)</f>
        <v>0</v>
      </c>
    </row>
    <row r="177" spans="2:5" x14ac:dyDescent="0.25">
      <c r="C177">
        <v>686</v>
      </c>
      <c r="D177" t="s">
        <v>491</v>
      </c>
      <c r="E177" s="89">
        <f>HLOOKUP($D$4,'8.13 Bourgeoisie investissement'!$E$3:$R$184,172,0)</f>
        <v>0</v>
      </c>
    </row>
    <row r="178" spans="2:5" x14ac:dyDescent="0.25">
      <c r="C178">
        <v>689</v>
      </c>
      <c r="D178" t="s">
        <v>492</v>
      </c>
      <c r="E178" s="89">
        <f>HLOOKUP($D$4,'8.13 Bourgeoisie investissement'!$E$3:$R$184,173,0)</f>
        <v>0</v>
      </c>
    </row>
    <row r="179" spans="2:5" x14ac:dyDescent="0.25">
      <c r="E179" s="89"/>
    </row>
    <row r="180" spans="2:5" x14ac:dyDescent="0.25">
      <c r="B180" s="105">
        <v>69</v>
      </c>
      <c r="C180" s="105"/>
      <c r="D180" s="105" t="s">
        <v>493</v>
      </c>
      <c r="E180" s="103">
        <f>HLOOKUP($D$4,'8.13 Bourgeoisie investissement'!$E$3:$R$184,175,0)</f>
        <v>0</v>
      </c>
    </row>
    <row r="181" spans="2:5" x14ac:dyDescent="0.25">
      <c r="C181">
        <v>690</v>
      </c>
      <c r="D181" t="s">
        <v>493</v>
      </c>
      <c r="E181" s="89">
        <f>HLOOKUP($D$4,'8.13 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HLOOKUP($D$4,'8.13 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'8.13 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P137" activePane="bottomRight" state="frozen"/>
      <selection pane="topRight" activeCell="E1" sqref="E1"/>
      <selection pane="bottomLeft" activeCell="A4" sqref="A4"/>
      <selection pane="bottomRight" activeCell="R157" sqref="R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35267.050000000003</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32335214.139999993</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3750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5253221.1500000004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v>1330</v>
      </c>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252852.39999999997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v>2420</v>
      </c>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4016797.05</v>
      </c>
      <c r="AG7">
        <v>5</v>
      </c>
    </row>
    <row r="8" spans="1:33"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v>0</v>
      </c>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v>0</v>
      </c>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v>0</v>
      </c>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v>0</v>
      </c>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v>0</v>
      </c>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26183.5</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14246461.259999998</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v>2623.7</v>
      </c>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1919204.8099999998</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v>4588</v>
      </c>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276294.69999999995</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v>0</v>
      </c>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v>1929.6</v>
      </c>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7209032.1699999999</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v>17042.2</v>
      </c>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1014412.26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v>0</v>
      </c>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v>0</v>
      </c>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v>0</v>
      </c>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v>0</v>
      </c>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v>0</v>
      </c>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5333.55</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7356573.6899999995</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v>5333.55</v>
      </c>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7311468.6399999997</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v>0</v>
      </c>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v>0</v>
      </c>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v>0</v>
      </c>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v>0</v>
      </c>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v>0</v>
      </c>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v>0</v>
      </c>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v>0</v>
      </c>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v>0</v>
      </c>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v>0</v>
      </c>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v>0</v>
      </c>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v>0</v>
      </c>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v>0</v>
      </c>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v>0</v>
      </c>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v>0</v>
      </c>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v>0</v>
      </c>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v>0</v>
      </c>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v>0</v>
      </c>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v>0</v>
      </c>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v>0</v>
      </c>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v>0</v>
      </c>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v>0</v>
      </c>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v>0</v>
      </c>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v>0</v>
      </c>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v>0</v>
      </c>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v>0</v>
      </c>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35267.050000000003</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32589993.309999999</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v>0</v>
      </c>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v>0</v>
      </c>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v>0</v>
      </c>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v>0</v>
      </c>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v>0</v>
      </c>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10450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12856917.250000002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v>0</v>
      </c>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v>0</v>
      </c>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v>0</v>
      </c>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v>10450</v>
      </c>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10959504.660000002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v>0</v>
      </c>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v>0</v>
      </c>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v>0</v>
      </c>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v>0</v>
      </c>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v>0</v>
      </c>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v>0</v>
      </c>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v>0</v>
      </c>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v>0</v>
      </c>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v>0</v>
      </c>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v>0</v>
      </c>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v>0</v>
      </c>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v>0</v>
      </c>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v>0</v>
      </c>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v>0</v>
      </c>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v>0</v>
      </c>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v>0</v>
      </c>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v>0</v>
      </c>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v>0</v>
      </c>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24817.05</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14172605.699999999</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v>0</v>
      </c>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v>24817.05</v>
      </c>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13501573.049999999</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v>0</v>
      </c>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v>0</v>
      </c>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v>0</v>
      </c>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v>0</v>
      </c>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v>0</v>
      </c>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v>0</v>
      </c>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v>0</v>
      </c>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v>0</v>
      </c>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v>0</v>
      </c>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v>0</v>
      </c>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v>0</v>
      </c>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v>0</v>
      </c>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v>0</v>
      </c>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v>0</v>
      </c>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v>0</v>
      </c>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v>0</v>
      </c>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254779.17000000551</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-5.5588316172361374E-9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35267.050000000003</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30217769.619999994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35267.050000000003</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31740413.02</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811</v>
      </c>
    </row>
    <row r="7" spans="1:5" x14ac:dyDescent="0.25">
      <c r="E7" s="65" t="s">
        <v>202</v>
      </c>
    </row>
    <row r="8" spans="1:5" ht="21" x14ac:dyDescent="0.35">
      <c r="A8" s="92">
        <v>3</v>
      </c>
      <c r="B8" s="92"/>
      <c r="C8" s="92"/>
      <c r="D8" s="92" t="s">
        <v>60</v>
      </c>
      <c r="E8" s="171">
        <f>HLOOKUP($D$5,'9.1 Syndicats comptes 2021'!$E$3:$AF$167,2,0)</f>
        <v>35267.050000000003</v>
      </c>
    </row>
    <row r="9" spans="1:5" x14ac:dyDescent="0.25">
      <c r="A9" s="94"/>
      <c r="B9" s="94">
        <v>30</v>
      </c>
      <c r="C9" s="94"/>
      <c r="D9" s="94" t="s">
        <v>61</v>
      </c>
      <c r="E9" s="95">
        <f>HLOOKUP($D$5,'9.1 Syndicats comptes 2021'!$E$3:$AF$167,3,0)</f>
        <v>3750</v>
      </c>
    </row>
    <row r="10" spans="1:5" x14ac:dyDescent="0.25">
      <c r="C10">
        <v>300</v>
      </c>
      <c r="D10" t="s">
        <v>80</v>
      </c>
      <c r="E10" s="4">
        <f>HLOOKUP($D$5,'9.1 Syndicats comptes 2021'!$E$3:$AF$167,4,0)</f>
        <v>1330</v>
      </c>
    </row>
    <row r="11" spans="1:5" x14ac:dyDescent="0.25">
      <c r="C11">
        <v>301</v>
      </c>
      <c r="D11" t="s">
        <v>81</v>
      </c>
      <c r="E11" s="4">
        <f>HLOOKUP($D$5,'9.1 Syndicats comptes 2021'!$E$3:$AF$167,5,0)</f>
        <v>2420</v>
      </c>
    </row>
    <row r="12" spans="1:5" x14ac:dyDescent="0.25">
      <c r="C12">
        <v>302</v>
      </c>
      <c r="D12" t="s">
        <v>82</v>
      </c>
      <c r="E12" s="4">
        <f>HLOOKUP($D$5,'9.1 Syndicats comptes 2021'!$E$3:$AF$167,6,0)</f>
        <v>0</v>
      </c>
    </row>
    <row r="13" spans="1:5" x14ac:dyDescent="0.25">
      <c r="C13">
        <v>303</v>
      </c>
      <c r="D13" t="s">
        <v>83</v>
      </c>
      <c r="E13" s="4">
        <f>HLOOKUP($D$5,'9.1 Syndicats comptes 2021'!$E$3:$AF$167,7,0)</f>
        <v>0</v>
      </c>
    </row>
    <row r="14" spans="1:5" x14ac:dyDescent="0.25">
      <c r="C14">
        <v>304</v>
      </c>
      <c r="D14" t="s">
        <v>583</v>
      </c>
      <c r="E14" s="4">
        <f>HLOOKUP($D$5,'9.1 Syndicats comptes 2021'!$E$3:$AF$167,8,0)</f>
        <v>0</v>
      </c>
    </row>
    <row r="15" spans="1:5" x14ac:dyDescent="0.25">
      <c r="C15">
        <v>305</v>
      </c>
      <c r="D15" t="s">
        <v>84</v>
      </c>
      <c r="E15" s="4">
        <f>HLOOKUP($D$5,'9.1 Syndicats comptes 2021'!$E$3:$AF$167,9,0)</f>
        <v>0</v>
      </c>
    </row>
    <row r="16" spans="1:5" x14ac:dyDescent="0.25">
      <c r="C16">
        <v>306</v>
      </c>
      <c r="D16" t="s">
        <v>85</v>
      </c>
      <c r="E16" s="4">
        <f>HLOOKUP($D$5,'9.1 Syndicats comptes 2021'!$E$3:$AF$167,10,0)</f>
        <v>0</v>
      </c>
    </row>
    <row r="17" spans="2:5" x14ac:dyDescent="0.25">
      <c r="C17">
        <v>309</v>
      </c>
      <c r="D17" t="s">
        <v>86</v>
      </c>
      <c r="E17" s="4">
        <f>HLOOKUP($D$5,'9.1 Syndicats comptes 2021'!$E$3:$AF$167,11,0)</f>
        <v>0</v>
      </c>
    </row>
    <row r="18" spans="2:5" x14ac:dyDescent="0.25">
      <c r="E18" s="4"/>
    </row>
    <row r="19" spans="2:5" x14ac:dyDescent="0.25">
      <c r="B19" s="94">
        <v>31</v>
      </c>
      <c r="C19" s="94"/>
      <c r="D19" s="94" t="s">
        <v>87</v>
      </c>
      <c r="E19" s="95">
        <f>HLOOKUP($D$5,'9.1 Syndicats comptes 2021'!$E$3:$AF$167,13,0)</f>
        <v>26183.5</v>
      </c>
    </row>
    <row r="20" spans="2:5" x14ac:dyDescent="0.25">
      <c r="C20">
        <v>310</v>
      </c>
      <c r="D20" t="s">
        <v>88</v>
      </c>
      <c r="E20" s="4">
        <f>HLOOKUP($D$5,'9.1 Syndicats comptes 2021'!$E$3:$AF$167,14,0)</f>
        <v>2623.7</v>
      </c>
    </row>
    <row r="21" spans="2:5" x14ac:dyDescent="0.25">
      <c r="C21">
        <v>311</v>
      </c>
      <c r="D21" t="s">
        <v>452</v>
      </c>
      <c r="E21" s="4">
        <f>HLOOKUP($D$5,'9.1 Syndicats comptes 2021'!$E$3:$AF$167,15,0)</f>
        <v>4588</v>
      </c>
    </row>
    <row r="22" spans="2:5" x14ac:dyDescent="0.25">
      <c r="C22">
        <v>312</v>
      </c>
      <c r="D22" t="s">
        <v>90</v>
      </c>
      <c r="E22" s="4">
        <f>HLOOKUP($D$5,'9.1 Syndicats comptes 2021'!$E$3:$AF$167,16,0)</f>
        <v>0</v>
      </c>
    </row>
    <row r="23" spans="2:5" x14ac:dyDescent="0.25">
      <c r="C23">
        <v>313</v>
      </c>
      <c r="D23" t="s">
        <v>91</v>
      </c>
      <c r="E23" s="4">
        <f>HLOOKUP($D$5,'9.1 Syndicats comptes 2021'!$E$3:$AF$167,17,0)</f>
        <v>1929.6</v>
      </c>
    </row>
    <row r="24" spans="2:5" x14ac:dyDescent="0.25">
      <c r="C24">
        <v>314</v>
      </c>
      <c r="D24" t="s">
        <v>92</v>
      </c>
      <c r="E24" s="4">
        <f>HLOOKUP($D$5,'9.1 Syndicats comptes 2021'!$E$3:$AF$167,18,0)</f>
        <v>17042.2</v>
      </c>
    </row>
    <row r="25" spans="2:5" x14ac:dyDescent="0.25">
      <c r="C25">
        <v>315</v>
      </c>
      <c r="D25" t="s">
        <v>93</v>
      </c>
      <c r="E25" s="4">
        <f>HLOOKUP($D$5,'9.1 Syndicats comptes 2021'!$E$3:$AF$167,19,0)</f>
        <v>0</v>
      </c>
    </row>
    <row r="26" spans="2:5" x14ac:dyDescent="0.25">
      <c r="C26">
        <v>316</v>
      </c>
      <c r="D26" t="s">
        <v>94</v>
      </c>
      <c r="E26" s="4">
        <f>HLOOKUP($D$5,'9.1 Syndicats comptes 2021'!$E$3:$AF$167,20,0)</f>
        <v>0</v>
      </c>
    </row>
    <row r="27" spans="2:5" x14ac:dyDescent="0.25">
      <c r="C27">
        <v>317</v>
      </c>
      <c r="D27" t="s">
        <v>95</v>
      </c>
      <c r="E27" s="4">
        <f>HLOOKUP($D$5,'9.1 Syndicats comptes 2021'!$E$3:$AF$167,21,0)</f>
        <v>0</v>
      </c>
    </row>
    <row r="28" spans="2:5" x14ac:dyDescent="0.25">
      <c r="C28">
        <v>318</v>
      </c>
      <c r="D28" t="s">
        <v>96</v>
      </c>
      <c r="E28" s="4">
        <f>HLOOKUP($D$5,'9.1 Syndicats comptes 2021'!$E$3:$AF$167,22,0)</f>
        <v>0</v>
      </c>
    </row>
    <row r="29" spans="2:5" x14ac:dyDescent="0.25">
      <c r="C29">
        <v>319</v>
      </c>
      <c r="D29" t="s">
        <v>97</v>
      </c>
      <c r="E29" s="4">
        <f>HLOOKUP($D$5,'9.1 Syndicats comptes 2021'!$E$3:$AF$167,23,0)</f>
        <v>0</v>
      </c>
    </row>
    <row r="30" spans="2:5" x14ac:dyDescent="0.25">
      <c r="E30" s="4"/>
    </row>
    <row r="31" spans="2:5" x14ac:dyDescent="0.25">
      <c r="B31" s="94">
        <v>33</v>
      </c>
      <c r="C31" s="94"/>
      <c r="D31" s="94" t="s">
        <v>98</v>
      </c>
      <c r="E31" s="95">
        <f>HLOOKUP($D$5,'9.1 Syndicats comptes 2021'!$E$3:$AF$167,25,0)</f>
        <v>5333.55</v>
      </c>
    </row>
    <row r="32" spans="2:5" x14ac:dyDescent="0.25">
      <c r="C32">
        <v>330</v>
      </c>
      <c r="D32" t="s">
        <v>100</v>
      </c>
      <c r="E32" s="4">
        <f>HLOOKUP($D$5,'9.1 Syndicats comptes 2021'!$E$3:$AF$167,26,0)</f>
        <v>5333.55</v>
      </c>
    </row>
    <row r="33" spans="2:5" x14ac:dyDescent="0.25">
      <c r="C33">
        <v>332</v>
      </c>
      <c r="D33" t="s">
        <v>99</v>
      </c>
      <c r="E33" s="4">
        <f>HLOOKUP($D$5,'9.1 Syndicats comptes 2021'!$E$3:$AF$167,27,0)</f>
        <v>0</v>
      </c>
    </row>
    <row r="34" spans="2:5" x14ac:dyDescent="0.25">
      <c r="E34" s="4"/>
    </row>
    <row r="35" spans="2:5" x14ac:dyDescent="0.25">
      <c r="B35" s="94">
        <v>34</v>
      </c>
      <c r="C35" s="94"/>
      <c r="D35" s="94" t="s">
        <v>101</v>
      </c>
      <c r="E35" s="95">
        <f>HLOOKUP($D$5,'9.1 Syndicats comptes 2021'!$E$3:$AF$167,29,0)</f>
        <v>0</v>
      </c>
    </row>
    <row r="36" spans="2:5" x14ac:dyDescent="0.25">
      <c r="C36">
        <v>340</v>
      </c>
      <c r="D36" t="s">
        <v>102</v>
      </c>
      <c r="E36" s="4">
        <f>HLOOKUP($D$5,'9.1 Syndicats comptes 2021'!$E$3:$AF$167,30,0)</f>
        <v>0</v>
      </c>
    </row>
    <row r="37" spans="2:5" x14ac:dyDescent="0.25">
      <c r="C37">
        <v>341</v>
      </c>
      <c r="D37" t="s">
        <v>103</v>
      </c>
      <c r="E37" s="4">
        <f>HLOOKUP($D$5,'9.1 Syndicats comptes 2021'!$E$3:$AF$167,31,0)</f>
        <v>0</v>
      </c>
    </row>
    <row r="38" spans="2:5" x14ac:dyDescent="0.25">
      <c r="C38">
        <v>342</v>
      </c>
      <c r="D38" t="s">
        <v>104</v>
      </c>
      <c r="E38" s="4">
        <f>HLOOKUP($D$5,'9.1 Syndicats comptes 2021'!$E$3:$AF$167,32,0)</f>
        <v>0</v>
      </c>
    </row>
    <row r="39" spans="2:5" x14ac:dyDescent="0.25">
      <c r="C39">
        <v>343</v>
      </c>
      <c r="D39" t="s">
        <v>105</v>
      </c>
      <c r="E39" s="4">
        <f>HLOOKUP($D$5,'9.1 Syndicats comptes 2021'!$E$3:$AF$167,33,0)</f>
        <v>0</v>
      </c>
    </row>
    <row r="40" spans="2:5" x14ac:dyDescent="0.25">
      <c r="C40">
        <v>344</v>
      </c>
      <c r="D40" t="s">
        <v>106</v>
      </c>
      <c r="E40" s="4">
        <f>HLOOKUP($D$5,'9.1 Syndicats comptes 2021'!$E$3:$AF$167,34,0)</f>
        <v>0</v>
      </c>
    </row>
    <row r="41" spans="2:5" x14ac:dyDescent="0.25">
      <c r="C41">
        <v>349</v>
      </c>
      <c r="D41" t="s">
        <v>107</v>
      </c>
      <c r="E41" s="4">
        <f>HLOOKUP($D$5,'9.1 Syndicats comptes 2021'!$E$3:$AF$167,35,0)</f>
        <v>0</v>
      </c>
    </row>
    <row r="42" spans="2:5" x14ac:dyDescent="0.25">
      <c r="E42" s="4"/>
    </row>
    <row r="43" spans="2:5" x14ac:dyDescent="0.25">
      <c r="B43" s="94">
        <v>35</v>
      </c>
      <c r="C43" s="94"/>
      <c r="D43" s="94" t="s">
        <v>109</v>
      </c>
      <c r="E43" s="95">
        <f>HLOOKUP($D$5,'9.1 Syndicats comptes 2021'!$E$3:$AF$167,37,0)</f>
        <v>0</v>
      </c>
    </row>
    <row r="44" spans="2:5" x14ac:dyDescent="0.25">
      <c r="C44">
        <v>350</v>
      </c>
      <c r="D44" t="s">
        <v>109</v>
      </c>
      <c r="E44" s="4">
        <f>HLOOKUP($D$5,'9.1 Syndicats comptes 2021'!$E$3:$AF$167,38,0)</f>
        <v>0</v>
      </c>
    </row>
    <row r="45" spans="2:5" x14ac:dyDescent="0.25">
      <c r="C45">
        <v>351</v>
      </c>
      <c r="D45" t="s">
        <v>108</v>
      </c>
      <c r="E45" s="4">
        <f>HLOOKUP($D$5,'9.1 Syndicats comptes 2021'!$E$3:$AF$167,39,0)</f>
        <v>0</v>
      </c>
    </row>
    <row r="46" spans="2:5" x14ac:dyDescent="0.25">
      <c r="E46" s="4"/>
    </row>
    <row r="47" spans="2:5" x14ac:dyDescent="0.25">
      <c r="B47" s="94">
        <v>36</v>
      </c>
      <c r="C47" s="94"/>
      <c r="D47" s="94" t="s">
        <v>110</v>
      </c>
      <c r="E47" s="95">
        <f>HLOOKUP($D$5,'9.1 Syndicats comptes 2021'!$E$3:$AF$167,41,0)</f>
        <v>0</v>
      </c>
    </row>
    <row r="48" spans="2:5" x14ac:dyDescent="0.25">
      <c r="C48">
        <v>360</v>
      </c>
      <c r="D48" t="s">
        <v>111</v>
      </c>
      <c r="E48" s="4">
        <f>HLOOKUP($D$5,'9.1 Syndicats comptes 2021'!$E$3:$AF$167,42,0)</f>
        <v>0</v>
      </c>
    </row>
    <row r="49" spans="2:5" x14ac:dyDescent="0.25">
      <c r="C49">
        <v>361</v>
      </c>
      <c r="D49" t="s">
        <v>112</v>
      </c>
      <c r="E49" s="4">
        <f>HLOOKUP($D$5,'9.1 Syndicats comptes 2021'!$E$3:$AF$167,43,0)</f>
        <v>0</v>
      </c>
    </row>
    <row r="50" spans="2:5" x14ac:dyDescent="0.25">
      <c r="C50">
        <v>362</v>
      </c>
      <c r="D50" t="s">
        <v>113</v>
      </c>
      <c r="E50" s="4">
        <f>HLOOKUP($D$5,'9.1 Syndicats comptes 2021'!$E$3:$AF$167,44,0)</f>
        <v>0</v>
      </c>
    </row>
    <row r="51" spans="2:5" x14ac:dyDescent="0.25">
      <c r="C51">
        <v>363</v>
      </c>
      <c r="D51" t="s">
        <v>114</v>
      </c>
      <c r="E51" s="4">
        <f>HLOOKUP($D$5,'9.1 Syndicats comptes 2021'!$E$3:$AF$167,45,0)</f>
        <v>0</v>
      </c>
    </row>
    <row r="52" spans="2:5" x14ac:dyDescent="0.25">
      <c r="C52">
        <v>364</v>
      </c>
      <c r="D52" t="s">
        <v>115</v>
      </c>
      <c r="E52" s="4">
        <f>HLOOKUP($D$5,'9.1 Syndicats comptes 2021'!$E$3:$AF$167,46,0)</f>
        <v>0</v>
      </c>
    </row>
    <row r="53" spans="2:5" x14ac:dyDescent="0.25">
      <c r="C53">
        <v>365</v>
      </c>
      <c r="D53" t="s">
        <v>116</v>
      </c>
      <c r="E53" s="4">
        <f>HLOOKUP($D$5,'9.1 Syndicats comptes 2021'!$E$3:$AF$167,47,0)</f>
        <v>0</v>
      </c>
    </row>
    <row r="54" spans="2:5" x14ac:dyDescent="0.25">
      <c r="C54">
        <v>366</v>
      </c>
      <c r="D54" t="s">
        <v>117</v>
      </c>
      <c r="E54" s="4">
        <f>HLOOKUP($D$5,'9.1 Syndicats comptes 2021'!$E$3:$AF$167,48,0)</f>
        <v>0</v>
      </c>
    </row>
    <row r="55" spans="2:5" x14ac:dyDescent="0.25">
      <c r="C55">
        <v>369</v>
      </c>
      <c r="D55" t="s">
        <v>118</v>
      </c>
      <c r="E55" s="4">
        <f>HLOOKUP($D$5,'9.1 Syndicats comptes 2021'!$E$3:$AF$167,49,0)</f>
        <v>0</v>
      </c>
    </row>
    <row r="56" spans="2:5" x14ac:dyDescent="0.25">
      <c r="E56" s="4"/>
    </row>
    <row r="57" spans="2:5" x14ac:dyDescent="0.25">
      <c r="B57" s="94">
        <v>37</v>
      </c>
      <c r="C57" s="94"/>
      <c r="D57" s="94" t="s">
        <v>119</v>
      </c>
      <c r="E57" s="95">
        <f>HLOOKUP($D$5,'9.1 Syndicats comptes 2021'!$E$3:$AF$167,51,0)</f>
        <v>0</v>
      </c>
    </row>
    <row r="58" spans="2:5" x14ac:dyDescent="0.25">
      <c r="C58">
        <v>370</v>
      </c>
      <c r="D58" t="s">
        <v>120</v>
      </c>
      <c r="E58" s="4">
        <f>HLOOKUP($D$5,'9.1 Syndicats comptes 2021'!$E$3:$AF$167,52,0)</f>
        <v>0</v>
      </c>
    </row>
    <row r="59" spans="2:5" x14ac:dyDescent="0.25">
      <c r="E59" s="4"/>
    </row>
    <row r="60" spans="2:5" x14ac:dyDescent="0.25">
      <c r="B60" s="94">
        <v>38</v>
      </c>
      <c r="C60" s="94"/>
      <c r="D60" s="94" t="s">
        <v>121</v>
      </c>
      <c r="E60" s="95">
        <f>HLOOKUP($D$5,'9.1 Syndicats comptes 2021'!$E$3:$AF$167,54,0)</f>
        <v>0</v>
      </c>
    </row>
    <row r="61" spans="2:5" x14ac:dyDescent="0.25">
      <c r="C61">
        <v>380</v>
      </c>
      <c r="D61" t="s">
        <v>122</v>
      </c>
      <c r="E61" s="4">
        <f>HLOOKUP($D$5,'9.1 Syndicats comptes 2021'!$E$3:$AF$167,55,0)</f>
        <v>0</v>
      </c>
    </row>
    <row r="62" spans="2:5" x14ac:dyDescent="0.25">
      <c r="C62">
        <v>381</v>
      </c>
      <c r="D62" t="s">
        <v>123</v>
      </c>
      <c r="E62" s="4">
        <f>HLOOKUP($D$5,'9.1 Syndicats comptes 2021'!$E$3:$AF$167,56,0)</f>
        <v>0</v>
      </c>
    </row>
    <row r="63" spans="2:5" x14ac:dyDescent="0.25">
      <c r="C63">
        <v>384</v>
      </c>
      <c r="D63" t="s">
        <v>124</v>
      </c>
      <c r="E63" s="4">
        <f>HLOOKUP($D$5,'9.1 Syndicats comptes 2021'!$E$3:$AF$167,57,0)</f>
        <v>0</v>
      </c>
    </row>
    <row r="64" spans="2:5" x14ac:dyDescent="0.25">
      <c r="C64">
        <v>385</v>
      </c>
      <c r="D64" t="s">
        <v>125</v>
      </c>
      <c r="E64" s="4">
        <f>HLOOKUP($D$5,'9.1 Syndicats comptes 2021'!$E$3:$AF$167,58,0)</f>
        <v>0</v>
      </c>
    </row>
    <row r="65" spans="1:5" x14ac:dyDescent="0.25">
      <c r="C65">
        <v>386</v>
      </c>
      <c r="D65" t="s">
        <v>126</v>
      </c>
      <c r="E65" s="4">
        <f>HLOOKUP($D$5,'9.1 Syndicats comptes 2021'!$E$3:$AF$167,59,0)</f>
        <v>0</v>
      </c>
    </row>
    <row r="66" spans="1:5" x14ac:dyDescent="0.25">
      <c r="C66">
        <v>389</v>
      </c>
      <c r="D66" t="s">
        <v>290</v>
      </c>
      <c r="E66" s="4">
        <f>HLOOKUP($D$5,'9.1 Syndicats comptes 2021'!$E$3:$AF$167,60,0)</f>
        <v>0</v>
      </c>
    </row>
    <row r="67" spans="1:5" x14ac:dyDescent="0.25">
      <c r="E67" s="4"/>
    </row>
    <row r="68" spans="1:5" x14ac:dyDescent="0.25">
      <c r="B68" s="94">
        <v>39</v>
      </c>
      <c r="C68" s="94"/>
      <c r="D68" s="94" t="s">
        <v>128</v>
      </c>
      <c r="E68" s="95">
        <f>HLOOKUP($D$5,'9.1 Syndicats comptes 2021'!$E$3:$AF$167,62,0)</f>
        <v>0</v>
      </c>
    </row>
    <row r="69" spans="1:5" x14ac:dyDescent="0.25">
      <c r="C69">
        <v>390</v>
      </c>
      <c r="D69" t="s">
        <v>129</v>
      </c>
      <c r="E69" s="4">
        <f>HLOOKUP($D$5,'9.1 Syndicats comptes 2021'!$E$3:$AF$167,63,0)</f>
        <v>0</v>
      </c>
    </row>
    <row r="70" spans="1:5" x14ac:dyDescent="0.25">
      <c r="C70">
        <v>391</v>
      </c>
      <c r="D70" t="s">
        <v>130</v>
      </c>
      <c r="E70" s="4">
        <f>HLOOKUP($D$5,'9.1 Syndicats comptes 2021'!$E$3:$AF$167,64,0)</f>
        <v>0</v>
      </c>
    </row>
    <row r="71" spans="1:5" x14ac:dyDescent="0.25">
      <c r="C71">
        <v>392</v>
      </c>
      <c r="D71" t="s">
        <v>131</v>
      </c>
      <c r="E71" s="4">
        <f>HLOOKUP($D$5,'9.1 Syndicats comptes 2021'!$E$3:$AF$167,65,0)</f>
        <v>0</v>
      </c>
    </row>
    <row r="72" spans="1:5" x14ac:dyDescent="0.25">
      <c r="C72">
        <v>393</v>
      </c>
      <c r="D72" t="s">
        <v>132</v>
      </c>
      <c r="E72" s="4">
        <f>HLOOKUP($D$5,'9.1 Syndicats comptes 2021'!$E$3:$AF$167,66,0)</f>
        <v>0</v>
      </c>
    </row>
    <row r="73" spans="1:5" x14ac:dyDescent="0.25">
      <c r="C73">
        <v>394</v>
      </c>
      <c r="D73" t="s">
        <v>133</v>
      </c>
      <c r="E73" s="4">
        <f>HLOOKUP($D$5,'9.1 Syndicats comptes 2021'!$E$3:$AF$167,67,0)</f>
        <v>0</v>
      </c>
    </row>
    <row r="74" spans="1:5" x14ac:dyDescent="0.25">
      <c r="C74">
        <v>395</v>
      </c>
      <c r="D74" t="s">
        <v>134</v>
      </c>
      <c r="E74" s="4">
        <f>HLOOKUP($D$5,'9.1 Syndicats comptes 2021'!$E$3:$AF$167,68,0)</f>
        <v>0</v>
      </c>
    </row>
    <row r="75" spans="1:5" x14ac:dyDescent="0.25">
      <c r="C75">
        <v>398</v>
      </c>
      <c r="D75" t="s">
        <v>135</v>
      </c>
      <c r="E75" s="4">
        <f>HLOOKUP($D$5,'9.1 Syndicats comptes 2021'!$E$3:$AF$167,69,0)</f>
        <v>0</v>
      </c>
    </row>
    <row r="76" spans="1:5" x14ac:dyDescent="0.25">
      <c r="C76">
        <v>399</v>
      </c>
      <c r="D76" t="s">
        <v>136</v>
      </c>
      <c r="E76" s="4">
        <f>HLOOKUP($D$5,'9.1 Syndicats comptes 2021'!$E$3:$AF$167,70,0)</f>
        <v>0</v>
      </c>
    </row>
    <row r="77" spans="1:5" x14ac:dyDescent="0.25">
      <c r="E77" s="4"/>
    </row>
    <row r="78" spans="1:5" x14ac:dyDescent="0.25">
      <c r="E78" s="4"/>
    </row>
    <row r="79" spans="1:5" ht="21" x14ac:dyDescent="0.35">
      <c r="A79" s="98">
        <v>4</v>
      </c>
      <c r="B79" s="98"/>
      <c r="C79" s="98"/>
      <c r="D79" s="98" t="s">
        <v>137</v>
      </c>
      <c r="E79" s="172">
        <f>HLOOKUP($D$5,'9.1 Syndicats comptes 2021'!$E$3:$AF$167,73,0)</f>
        <v>35267.050000000003</v>
      </c>
    </row>
    <row r="80" spans="1:5" x14ac:dyDescent="0.25">
      <c r="A80" s="7"/>
      <c r="B80" s="96">
        <v>40</v>
      </c>
      <c r="C80" s="96"/>
      <c r="D80" s="96" t="s">
        <v>79</v>
      </c>
      <c r="E80" s="91">
        <f>HLOOKUP($D$5,'9.1 Syndicats comptes 2021'!$E$3:$AF$167,74,0)</f>
        <v>0</v>
      </c>
    </row>
    <row r="81" spans="2:5" x14ac:dyDescent="0.25">
      <c r="C81">
        <v>400</v>
      </c>
      <c r="D81" t="s">
        <v>138</v>
      </c>
      <c r="E81" s="4">
        <f>HLOOKUP($D$5,'9.1 Syndicats comptes 2021'!$E$3:$AF$167,75,0)</f>
        <v>0</v>
      </c>
    </row>
    <row r="82" spans="2:5" x14ac:dyDescent="0.25">
      <c r="C82">
        <v>401</v>
      </c>
      <c r="D82" t="s">
        <v>139</v>
      </c>
      <c r="E82" s="4">
        <f>HLOOKUP($D$5,'9.1 Syndicats comptes 2021'!$E$3:$AF$167,76,0)</f>
        <v>0</v>
      </c>
    </row>
    <row r="83" spans="2:5" x14ac:dyDescent="0.25">
      <c r="C83">
        <v>402</v>
      </c>
      <c r="D83" t="s">
        <v>140</v>
      </c>
      <c r="E83" s="4">
        <f>HLOOKUP($D$5,'9.1 Syndicats comptes 2021'!$E$3:$AF$167,77,0)</f>
        <v>0</v>
      </c>
    </row>
    <row r="84" spans="2:5" x14ac:dyDescent="0.25">
      <c r="C84">
        <v>403</v>
      </c>
      <c r="D84" t="s">
        <v>141</v>
      </c>
      <c r="E84" s="4">
        <f>HLOOKUP($D$5,'9.1 Syndicats comptes 2021'!$E$3:$AF$167,78,0)</f>
        <v>0</v>
      </c>
    </row>
    <row r="85" spans="2:5" x14ac:dyDescent="0.25">
      <c r="E85" s="4"/>
    </row>
    <row r="86" spans="2:5" x14ac:dyDescent="0.25">
      <c r="B86" s="96">
        <v>41</v>
      </c>
      <c r="C86" s="96"/>
      <c r="D86" s="96" t="s">
        <v>142</v>
      </c>
      <c r="E86" s="91">
        <f>HLOOKUP($D$5,'9.1 Syndicats comptes 2021'!$E$3:$AF$167,80,0)</f>
        <v>0</v>
      </c>
    </row>
    <row r="87" spans="2:5" x14ac:dyDescent="0.25">
      <c r="C87">
        <v>410</v>
      </c>
      <c r="D87" t="s">
        <v>143</v>
      </c>
      <c r="E87" s="4">
        <f>HLOOKUP($D$5,'9.1 Syndicats comptes 2021'!$E$3:$AF$167,81,0)</f>
        <v>0</v>
      </c>
    </row>
    <row r="88" spans="2:5" x14ac:dyDescent="0.25">
      <c r="C88">
        <v>411</v>
      </c>
      <c r="D88" t="s">
        <v>144</v>
      </c>
      <c r="E88" s="4">
        <f>HLOOKUP($D$5,'9.1 Syndicats comptes 2021'!$E$3:$AF$167,82,0)</f>
        <v>0</v>
      </c>
    </row>
    <row r="89" spans="2:5" x14ac:dyDescent="0.25">
      <c r="C89">
        <v>412</v>
      </c>
      <c r="D89" t="s">
        <v>145</v>
      </c>
      <c r="E89" s="4">
        <f>HLOOKUP($D$5,'9.1 Syndicats comptes 2021'!$E$3:$AF$167,83,0)</f>
        <v>0</v>
      </c>
    </row>
    <row r="90" spans="2:5" x14ac:dyDescent="0.25">
      <c r="C90">
        <v>413</v>
      </c>
      <c r="D90" t="s">
        <v>146</v>
      </c>
      <c r="E90" s="4">
        <f>HLOOKUP($D$5,'9.1 Syndicats comptes 2021'!$E$3:$AF$167,84,0)</f>
        <v>0</v>
      </c>
    </row>
    <row r="91" spans="2:5" x14ac:dyDescent="0.25">
      <c r="E91" s="4"/>
    </row>
    <row r="92" spans="2:5" x14ac:dyDescent="0.25">
      <c r="B92" s="96">
        <v>42</v>
      </c>
      <c r="C92" s="96"/>
      <c r="D92" s="96" t="s">
        <v>147</v>
      </c>
      <c r="E92" s="91">
        <f>HLOOKUP($D$5,'9.1 Syndicats comptes 2021'!$E$3:$AF$167,86,0)</f>
        <v>10450</v>
      </c>
    </row>
    <row r="93" spans="2:5" x14ac:dyDescent="0.25">
      <c r="C93">
        <v>420</v>
      </c>
      <c r="D93" t="s">
        <v>148</v>
      </c>
      <c r="E93" s="4">
        <f>HLOOKUP($D$5,'9.1 Syndicats comptes 2021'!$E$3:$AF$167,87,0)</f>
        <v>0</v>
      </c>
    </row>
    <row r="94" spans="2:5" x14ac:dyDescent="0.25">
      <c r="C94">
        <v>421</v>
      </c>
      <c r="D94" t="s">
        <v>149</v>
      </c>
      <c r="E94" s="4">
        <f>HLOOKUP($D$5,'9.1 Syndicats comptes 2021'!$E$3:$AF$167,88,0)</f>
        <v>0</v>
      </c>
    </row>
    <row r="95" spans="2:5" x14ac:dyDescent="0.25">
      <c r="C95">
        <v>422</v>
      </c>
      <c r="D95" t="s">
        <v>150</v>
      </c>
      <c r="E95" s="4">
        <f>HLOOKUP($D$5,'9.1 Syndicats comptes 2021'!$E$3:$AF$167,89,0)</f>
        <v>0</v>
      </c>
    </row>
    <row r="96" spans="2:5" x14ac:dyDescent="0.25">
      <c r="C96">
        <v>423</v>
      </c>
      <c r="D96" t="s">
        <v>151</v>
      </c>
      <c r="E96" s="4">
        <f>HLOOKUP($D$5,'9.1 Syndicats comptes 2021'!$E$3:$AF$167,90,0)</f>
        <v>0</v>
      </c>
    </row>
    <row r="97" spans="2:5" x14ac:dyDescent="0.25">
      <c r="C97">
        <v>424</v>
      </c>
      <c r="D97" t="s">
        <v>152</v>
      </c>
      <c r="E97" s="4">
        <f>HLOOKUP($D$5,'9.1 Syndicats comptes 2021'!$E$3:$AF$167,91,0)</f>
        <v>10450</v>
      </c>
    </row>
    <row r="98" spans="2:5" x14ac:dyDescent="0.25">
      <c r="C98">
        <v>425</v>
      </c>
      <c r="D98" t="s">
        <v>153</v>
      </c>
      <c r="E98" s="4">
        <f>HLOOKUP($D$5,'9.1 Syndicats comptes 2021'!$E$3:$AF$167,92,0)</f>
        <v>0</v>
      </c>
    </row>
    <row r="99" spans="2:5" x14ac:dyDescent="0.25">
      <c r="C99">
        <v>426</v>
      </c>
      <c r="D99" t="s">
        <v>154</v>
      </c>
      <c r="E99" s="4">
        <f>HLOOKUP($D$5,'9.1 Syndicats comptes 2021'!$E$3:$AF$167,93,0)</f>
        <v>0</v>
      </c>
    </row>
    <row r="100" spans="2:5" x14ac:dyDescent="0.25">
      <c r="C100">
        <v>427</v>
      </c>
      <c r="D100" t="s">
        <v>155</v>
      </c>
      <c r="E100" s="4">
        <f>HLOOKUP($D$5,'9.1 Syndicats comptes 2021'!$E$3:$AF$167,94,0)</f>
        <v>0</v>
      </c>
    </row>
    <row r="101" spans="2:5" x14ac:dyDescent="0.25">
      <c r="C101">
        <v>429</v>
      </c>
      <c r="D101" t="s">
        <v>156</v>
      </c>
      <c r="E101" s="4">
        <f>HLOOKUP($D$5,'9.1 Syndicats comptes 2021'!$E$3:$AF$167,95,0)</f>
        <v>0</v>
      </c>
    </row>
    <row r="102" spans="2:5" x14ac:dyDescent="0.25">
      <c r="E102" s="4"/>
    </row>
    <row r="103" spans="2:5" x14ac:dyDescent="0.25">
      <c r="B103" s="96">
        <v>43</v>
      </c>
      <c r="C103" s="96"/>
      <c r="D103" s="96" t="s">
        <v>157</v>
      </c>
      <c r="E103" s="91">
        <f>HLOOKUP($D$5,'9.1 Syndicats comptes 2021'!$E$3:$AF$167,97,0)</f>
        <v>0</v>
      </c>
    </row>
    <row r="104" spans="2:5" x14ac:dyDescent="0.25">
      <c r="C104">
        <v>430</v>
      </c>
      <c r="D104" t="s">
        <v>158</v>
      </c>
      <c r="E104" s="4">
        <f>HLOOKUP($D$5,'9.1 Syndicats comptes 2021'!$E$3:$AF$167,98,0)</f>
        <v>0</v>
      </c>
    </row>
    <row r="105" spans="2:5" x14ac:dyDescent="0.25">
      <c r="C105">
        <v>431</v>
      </c>
      <c r="D105" t="s">
        <v>159</v>
      </c>
      <c r="E105" s="4">
        <f>HLOOKUP($D$5,'9.1 Syndicats comptes 2021'!$E$3:$AF$167,99,0)</f>
        <v>0</v>
      </c>
    </row>
    <row r="106" spans="2:5" x14ac:dyDescent="0.25">
      <c r="C106">
        <v>432</v>
      </c>
      <c r="D106" t="s">
        <v>160</v>
      </c>
      <c r="E106" s="4">
        <f>HLOOKUP($D$5,'9.1 Syndicats comptes 2021'!$E$3:$AF$167,100,0)</f>
        <v>0</v>
      </c>
    </row>
    <row r="107" spans="2:5" x14ac:dyDescent="0.25">
      <c r="C107">
        <v>439</v>
      </c>
      <c r="D107" t="s">
        <v>161</v>
      </c>
      <c r="E107" s="4">
        <f>HLOOKUP($D$5,'9.1 Syndicats comptes 2021'!$E$3:$AF$167,101,0)</f>
        <v>0</v>
      </c>
    </row>
    <row r="108" spans="2:5" x14ac:dyDescent="0.25">
      <c r="E108" s="4"/>
    </row>
    <row r="109" spans="2:5" x14ac:dyDescent="0.25">
      <c r="B109" s="96">
        <v>44</v>
      </c>
      <c r="C109" s="96"/>
      <c r="D109" s="96" t="s">
        <v>162</v>
      </c>
      <c r="E109" s="91">
        <f>HLOOKUP($D$5,'9.1 Syndicats comptes 2021'!$E$3:$AF$167,103,0)</f>
        <v>0</v>
      </c>
    </row>
    <row r="110" spans="2:5" x14ac:dyDescent="0.25">
      <c r="C110">
        <v>440</v>
      </c>
      <c r="D110" t="s">
        <v>163</v>
      </c>
      <c r="E110" s="4">
        <f>HLOOKUP($D$5,'9.1 Syndicats comptes 2021'!$E$3:$AF$167,104,0)</f>
        <v>0</v>
      </c>
    </row>
    <row r="111" spans="2:5" x14ac:dyDescent="0.25">
      <c r="C111">
        <v>441</v>
      </c>
      <c r="D111" t="s">
        <v>164</v>
      </c>
      <c r="E111" s="4">
        <f>HLOOKUP($D$5,'9.1 Syndicats comptes 2021'!$E$3:$AF$167,105,0)</f>
        <v>0</v>
      </c>
    </row>
    <row r="112" spans="2:5" x14ac:dyDescent="0.25">
      <c r="C112">
        <v>442</v>
      </c>
      <c r="D112" t="s">
        <v>165</v>
      </c>
      <c r="E112" s="4">
        <f>HLOOKUP($D$5,'9.1 Syndicats comptes 2021'!$E$3:$AF$167,106,0)</f>
        <v>0</v>
      </c>
    </row>
    <row r="113" spans="2:5" x14ac:dyDescent="0.25">
      <c r="C113">
        <v>443</v>
      </c>
      <c r="D113" t="s">
        <v>166</v>
      </c>
      <c r="E113" s="4">
        <f>HLOOKUP($D$5,'9.1 Syndicats comptes 2021'!$E$3:$AF$167,107,0)</f>
        <v>0</v>
      </c>
    </row>
    <row r="114" spans="2:5" x14ac:dyDescent="0.25">
      <c r="C114">
        <v>444</v>
      </c>
      <c r="D114" t="s">
        <v>106</v>
      </c>
      <c r="E114" s="4">
        <f>HLOOKUP($D$5,'9.1 Syndicats comptes 2021'!$E$3:$AF$167,108,0)</f>
        <v>0</v>
      </c>
    </row>
    <row r="115" spans="2:5" x14ac:dyDescent="0.25">
      <c r="C115">
        <v>445</v>
      </c>
      <c r="D115" t="s">
        <v>167</v>
      </c>
      <c r="E115" s="4">
        <f>HLOOKUP($D$5,'9.1 Syndicats comptes 2021'!$E$3:$AF$167,109,0)</f>
        <v>0</v>
      </c>
    </row>
    <row r="116" spans="2:5" x14ac:dyDescent="0.25">
      <c r="C116">
        <v>446</v>
      </c>
      <c r="D116" t="s">
        <v>168</v>
      </c>
      <c r="E116" s="4">
        <f>HLOOKUP($D$5,'9.1 Syndicats comptes 2021'!$E$3:$AF$167,110,0)</f>
        <v>0</v>
      </c>
    </row>
    <row r="117" spans="2:5" x14ac:dyDescent="0.25">
      <c r="C117">
        <v>447</v>
      </c>
      <c r="D117" t="s">
        <v>169</v>
      </c>
      <c r="E117" s="4">
        <f>HLOOKUP($D$5,'9.1 Syndicats comptes 2021'!$E$3:$AF$167,111,0)</f>
        <v>0</v>
      </c>
    </row>
    <row r="118" spans="2:5" x14ac:dyDescent="0.25">
      <c r="C118">
        <v>448</v>
      </c>
      <c r="D118" t="s">
        <v>170</v>
      </c>
      <c r="E118" s="4">
        <f>HLOOKUP($D$5,'9.1 Syndicats comptes 2021'!$E$3:$AF$167,112,0)</f>
        <v>0</v>
      </c>
    </row>
    <row r="119" spans="2:5" x14ac:dyDescent="0.25">
      <c r="C119">
        <v>449</v>
      </c>
      <c r="D119" t="s">
        <v>171</v>
      </c>
      <c r="E119" s="4">
        <f>HLOOKUP($D$5,'9.1 Syndicats comptes 2021'!$E$3:$AF$167,113,0)</f>
        <v>0</v>
      </c>
    </row>
    <row r="120" spans="2:5" x14ac:dyDescent="0.25">
      <c r="E120" s="4"/>
    </row>
    <row r="121" spans="2:5" x14ac:dyDescent="0.25">
      <c r="B121" s="96">
        <v>45</v>
      </c>
      <c r="C121" s="96"/>
      <c r="D121" s="96" t="s">
        <v>174</v>
      </c>
      <c r="E121" s="91">
        <f>HLOOKUP($D$5,'9.1 Syndicats comptes 2021'!$E$3:$AF$167,115,0)</f>
        <v>0</v>
      </c>
    </row>
    <row r="122" spans="2:5" x14ac:dyDescent="0.25">
      <c r="C122">
        <v>450</v>
      </c>
      <c r="D122" t="s">
        <v>172</v>
      </c>
      <c r="E122" s="4">
        <f>HLOOKUP($D$5,'9.1 Syndicats comptes 2021'!$E$3:$AF$167,116,0)</f>
        <v>0</v>
      </c>
    </row>
    <row r="123" spans="2:5" x14ac:dyDescent="0.25">
      <c r="C123">
        <v>451</v>
      </c>
      <c r="D123" t="s">
        <v>173</v>
      </c>
      <c r="E123" s="4">
        <f>HLOOKUP($D$5,'9.1 Syndicats comptes 2021'!$E$3:$AF$167,117,0)</f>
        <v>0</v>
      </c>
    </row>
    <row r="124" spans="2:5" x14ac:dyDescent="0.25">
      <c r="E124" s="4"/>
    </row>
    <row r="125" spans="2:5" x14ac:dyDescent="0.25">
      <c r="B125" s="96">
        <v>46</v>
      </c>
      <c r="C125" s="96"/>
      <c r="D125" s="96" t="s">
        <v>175</v>
      </c>
      <c r="E125" s="91">
        <f>HLOOKUP($D$5,'9.1 Syndicats comptes 2021'!$E$3:$AF$167,119,0)</f>
        <v>24817.05</v>
      </c>
    </row>
    <row r="126" spans="2:5" x14ac:dyDescent="0.25">
      <c r="C126">
        <v>460</v>
      </c>
      <c r="D126" t="s">
        <v>176</v>
      </c>
      <c r="E126" s="4">
        <f>HLOOKUP($D$5,'9.1 Syndicats comptes 2021'!$E$3:$AF$167,120,0)</f>
        <v>0</v>
      </c>
    </row>
    <row r="127" spans="2:5" x14ac:dyDescent="0.25">
      <c r="C127">
        <v>461</v>
      </c>
      <c r="D127" t="s">
        <v>177</v>
      </c>
      <c r="E127" s="4">
        <f>HLOOKUP($D$5,'9.1 Syndicats comptes 2021'!$E$3:$AF$167,121,0)</f>
        <v>24817.05</v>
      </c>
    </row>
    <row r="128" spans="2:5" x14ac:dyDescent="0.25">
      <c r="C128">
        <v>462</v>
      </c>
      <c r="D128" t="s">
        <v>113</v>
      </c>
      <c r="E128" s="4">
        <f>HLOOKUP($D$5,'9.1 Syndicats comptes 2021'!$E$3:$AF$167,122,0)</f>
        <v>0</v>
      </c>
    </row>
    <row r="129" spans="2:5" x14ac:dyDescent="0.25">
      <c r="C129">
        <v>463</v>
      </c>
      <c r="D129" t="s">
        <v>178</v>
      </c>
      <c r="E129" s="4">
        <f>HLOOKUP($D$5,'9.1 Syndicats comptes 2021'!$E$3:$AF$167,123,0)</f>
        <v>0</v>
      </c>
    </row>
    <row r="130" spans="2:5" x14ac:dyDescent="0.25">
      <c r="C130">
        <v>469</v>
      </c>
      <c r="D130" t="s">
        <v>179</v>
      </c>
      <c r="E130" s="4">
        <f>HLOOKUP($D$5,'9.1 Syndicats comptes 2021'!$E$3:$AF$167,124,0)</f>
        <v>0</v>
      </c>
    </row>
    <row r="131" spans="2:5" x14ac:dyDescent="0.25">
      <c r="E131" s="4"/>
    </row>
    <row r="132" spans="2:5" x14ac:dyDescent="0.25">
      <c r="B132" s="96">
        <v>47</v>
      </c>
      <c r="C132" s="96"/>
      <c r="D132" s="96" t="s">
        <v>119</v>
      </c>
      <c r="E132" s="91">
        <f>HLOOKUP($D$5,'9.1 Syndicats comptes 2021'!$E$3:$AF$167,126,0)</f>
        <v>0</v>
      </c>
    </row>
    <row r="133" spans="2:5" x14ac:dyDescent="0.25">
      <c r="C133">
        <v>470</v>
      </c>
      <c r="D133" t="s">
        <v>180</v>
      </c>
      <c r="E133" s="4">
        <f>HLOOKUP($D$5,'9.1 Syndicats comptes 2021'!$E$3:$AF$167,127,0)</f>
        <v>0</v>
      </c>
    </row>
    <row r="134" spans="2:5" x14ac:dyDescent="0.25">
      <c r="E134" s="4"/>
    </row>
    <row r="135" spans="2:5" x14ac:dyDescent="0.25">
      <c r="B135" s="96">
        <v>48</v>
      </c>
      <c r="C135" s="96"/>
      <c r="D135" s="96" t="s">
        <v>181</v>
      </c>
      <c r="E135" s="91">
        <f>HLOOKUP($D$5,'9.1 Syndicats comptes 2021'!$E$3:$AF$167,129,0)</f>
        <v>0</v>
      </c>
    </row>
    <row r="136" spans="2:5" x14ac:dyDescent="0.25">
      <c r="C136">
        <v>481</v>
      </c>
      <c r="D136" t="s">
        <v>182</v>
      </c>
      <c r="E136" s="4">
        <f>HLOOKUP($D$5,'9.1 Syndicats comptes 2021'!$E$3:$AF$167,130,0)</f>
        <v>0</v>
      </c>
    </row>
    <row r="137" spans="2:5" x14ac:dyDescent="0.25">
      <c r="C137">
        <v>482</v>
      </c>
      <c r="D137" t="s">
        <v>183</v>
      </c>
      <c r="E137" s="4">
        <f>HLOOKUP($D$5,'9.1 Syndicats comptes 2021'!$E$3:$AF$167,131,0)</f>
        <v>0</v>
      </c>
    </row>
    <row r="138" spans="2:5" x14ac:dyDescent="0.25">
      <c r="C138">
        <v>483</v>
      </c>
      <c r="D138" t="s">
        <v>184</v>
      </c>
      <c r="E138" s="4">
        <f>HLOOKUP($D$5,'9.1 Syndicats comptes 2021'!$E$3:$AF$167,132,0)</f>
        <v>0</v>
      </c>
    </row>
    <row r="139" spans="2:5" x14ac:dyDescent="0.25">
      <c r="C139">
        <v>484</v>
      </c>
      <c r="D139" t="s">
        <v>185</v>
      </c>
      <c r="E139" s="4">
        <f>HLOOKUP($D$5,'9.1 Syndicats comptes 2021'!$E$3:$AF$167,133,0)</f>
        <v>0</v>
      </c>
    </row>
    <row r="140" spans="2:5" x14ac:dyDescent="0.25">
      <c r="C140">
        <v>485</v>
      </c>
      <c r="D140" t="s">
        <v>186</v>
      </c>
      <c r="E140" s="4">
        <f>HLOOKUP($D$5,'9.1 Syndicats comptes 2021'!$E$3:$AF$167,134,0)</f>
        <v>0</v>
      </c>
    </row>
    <row r="141" spans="2:5" x14ac:dyDescent="0.25">
      <c r="C141">
        <v>486</v>
      </c>
      <c r="D141" t="s">
        <v>187</v>
      </c>
      <c r="E141" s="4">
        <f>HLOOKUP($D$5,'9.1 Syndicats comptes 2021'!$E$3:$AF$167,135,0)</f>
        <v>0</v>
      </c>
    </row>
    <row r="142" spans="2:5" x14ac:dyDescent="0.25">
      <c r="C142">
        <v>489</v>
      </c>
      <c r="D142" t="s">
        <v>188</v>
      </c>
      <c r="E142" s="4">
        <f>HLOOKUP($D$5,'9.1 Syndicats comptes 2021'!$E$3:$AF$167,136,0)</f>
        <v>0</v>
      </c>
    </row>
    <row r="143" spans="2:5" x14ac:dyDescent="0.25">
      <c r="E143" s="4"/>
    </row>
    <row r="144" spans="2:5" x14ac:dyDescent="0.25">
      <c r="B144" s="96">
        <v>49</v>
      </c>
      <c r="C144" s="96"/>
      <c r="D144" s="96" t="s">
        <v>128</v>
      </c>
      <c r="E144" s="91">
        <f>HLOOKUP($D$5,'9.1 Syndicats comptes 2021'!$E$3:$AF$167,138,0)</f>
        <v>0</v>
      </c>
    </row>
    <row r="145" spans="1:5" x14ac:dyDescent="0.25">
      <c r="C145">
        <v>490</v>
      </c>
      <c r="D145" t="s">
        <v>129</v>
      </c>
      <c r="E145" s="4">
        <f>HLOOKUP($D$5,'9.1 Syndicats comptes 2021'!$E$3:$AF$167,139,0)</f>
        <v>0</v>
      </c>
    </row>
    <row r="146" spans="1:5" x14ac:dyDescent="0.25">
      <c r="C146">
        <v>491</v>
      </c>
      <c r="D146" t="s">
        <v>130</v>
      </c>
      <c r="E146" s="4">
        <f>HLOOKUP($D$5,'9.1 Syndicats comptes 2021'!$E$3:$AF$167,140,0)</f>
        <v>0</v>
      </c>
    </row>
    <row r="147" spans="1:5" x14ac:dyDescent="0.25">
      <c r="C147">
        <v>492</v>
      </c>
      <c r="D147" t="s">
        <v>189</v>
      </c>
      <c r="E147" s="4">
        <f>HLOOKUP($D$5,'9.1 Syndicats comptes 2021'!$E$3:$AF$167,141,0)</f>
        <v>0</v>
      </c>
    </row>
    <row r="148" spans="1:5" x14ac:dyDescent="0.25">
      <c r="C148">
        <v>493</v>
      </c>
      <c r="D148" t="s">
        <v>190</v>
      </c>
      <c r="E148" s="4">
        <f>HLOOKUP($D$5,'9.1 Syndicats comptes 2021'!$E$3:$AF$167,142,0)</f>
        <v>0</v>
      </c>
    </row>
    <row r="149" spans="1:5" x14ac:dyDescent="0.25">
      <c r="C149">
        <v>494</v>
      </c>
      <c r="D149" t="s">
        <v>133</v>
      </c>
      <c r="E149" s="4">
        <f>HLOOKUP($D$5,'9.1 Syndicats comptes 2021'!$E$3:$AF$167,143,0)</f>
        <v>0</v>
      </c>
    </row>
    <row r="150" spans="1:5" x14ac:dyDescent="0.25">
      <c r="C150">
        <v>495</v>
      </c>
      <c r="D150" t="s">
        <v>191</v>
      </c>
      <c r="E150" s="4">
        <f>HLOOKUP($D$5,'9.1 Syndicats comptes 2021'!$E$3:$AF$167,144,0)</f>
        <v>0</v>
      </c>
    </row>
    <row r="151" spans="1:5" x14ac:dyDescent="0.25">
      <c r="C151">
        <v>498</v>
      </c>
      <c r="D151" t="s">
        <v>192</v>
      </c>
      <c r="E151" s="4">
        <f>HLOOKUP($D$5,'9.1 Syndicats comptes 2021'!$E$3:$AF$167,145,0)</f>
        <v>0</v>
      </c>
    </row>
    <row r="152" spans="1:5" x14ac:dyDescent="0.25">
      <c r="C152">
        <v>499</v>
      </c>
      <c r="D152" t="s">
        <v>136</v>
      </c>
      <c r="E152" s="4">
        <f>HLOOKUP($D$5,'9.1 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HLOOKUP($D$5,'9.1 Syndicats comptes 2021'!$E$3:$AF$167,151,0)</f>
        <v>0</v>
      </c>
    </row>
    <row r="158" spans="1:5" x14ac:dyDescent="0.25">
      <c r="C158">
        <v>900</v>
      </c>
      <c r="D158" t="s">
        <v>196</v>
      </c>
      <c r="E158" s="4">
        <f>HLOOKUP($D$5,'9.1 Syndicats comptes 2021'!$E$3:$AF$167,152,0)</f>
        <v>0</v>
      </c>
    </row>
    <row r="159" spans="1:5" x14ac:dyDescent="0.25">
      <c r="C159">
        <v>901</v>
      </c>
      <c r="D159" t="s">
        <v>197</v>
      </c>
      <c r="E159" s="4">
        <f>HLOOKUP($D$5,'9.1 Syndicats comptes 2021'!$E$3:$AF$167,153,0)</f>
        <v>0</v>
      </c>
    </row>
    <row r="160" spans="1:5" x14ac:dyDescent="0.25">
      <c r="E160" s="4"/>
    </row>
    <row r="161" spans="4:5" x14ac:dyDescent="0.25">
      <c r="D161" s="7" t="s">
        <v>198</v>
      </c>
      <c r="E161" s="4">
        <f>HLOOKUP($D$5,'9.1 Syndicats comptes 2021'!$E$3:$AF$167,155,0)</f>
        <v>0</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'9.1 Syndicats comptes 2021'!AF153</f>
        <v>254779.16999999995</v>
      </c>
    </row>
    <row r="7" spans="1:3" x14ac:dyDescent="0.25">
      <c r="A7" s="52">
        <v>900</v>
      </c>
      <c r="B7" s="53" t="s">
        <v>219</v>
      </c>
      <c r="C7" s="56">
        <f>'9.1 Syndicats comptes 2021'!AF154</f>
        <v>171133.39999999997</v>
      </c>
    </row>
    <row r="8" spans="1:3" x14ac:dyDescent="0.25">
      <c r="A8" s="52">
        <v>901</v>
      </c>
      <c r="B8" s="53" t="s">
        <v>220</v>
      </c>
      <c r="C8" s="56">
        <f>'9.1 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C18" sqref="C18"/>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s="215" t="s">
        <v>828</v>
      </c>
    </row>
    <row r="5" spans="1:3" ht="15.75" thickBot="1" x14ac:dyDescent="0.3">
      <c r="B5" s="174" t="s">
        <v>811</v>
      </c>
    </row>
    <row r="8" spans="1:3" x14ac:dyDescent="0.25">
      <c r="A8" s="51" t="s">
        <v>216</v>
      </c>
      <c r="B8" s="51" t="s">
        <v>201</v>
      </c>
      <c r="C8" s="51" t="s">
        <v>840</v>
      </c>
    </row>
    <row r="9" spans="1:3" x14ac:dyDescent="0.25">
      <c r="A9" s="52">
        <v>90</v>
      </c>
      <c r="B9" s="53" t="s">
        <v>218</v>
      </c>
      <c r="C9" s="56">
        <f>HLOOKUP($B$5,'9.1 Syndicats comptes 2021'!$E$3:$AF$168,151,0)</f>
        <v>0</v>
      </c>
    </row>
    <row r="10" spans="1:3" x14ac:dyDescent="0.25">
      <c r="A10" s="52">
        <v>900</v>
      </c>
      <c r="B10" s="53" t="s">
        <v>219</v>
      </c>
      <c r="C10" s="56">
        <f>HLOOKUP($B$5,'9.1 Syndicats comptes 2021'!$E$3:$AF$168,152,0)</f>
        <v>0</v>
      </c>
    </row>
    <row r="11" spans="1:3" x14ac:dyDescent="0.25">
      <c r="A11" s="52">
        <v>901</v>
      </c>
      <c r="B11" s="53" t="s">
        <v>220</v>
      </c>
      <c r="C11" s="56">
        <f>HLOOKUP($B$5,'9.1 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'9.1 Syndicats comptes 2021'!AF5+'9.1 Syndicats comptes 2021'!AF15+'9.1 Syndicats comptes 2021'!AF27+'9.1 Syndicats comptes 2021'!AF39+'9.1 Syndicats comptes 2021'!AF43+'9.1 Syndicats comptes 2021'!AF53</f>
        <v>30217769.619999994</v>
      </c>
    </row>
    <row r="9" spans="1:3" x14ac:dyDescent="0.25">
      <c r="A9" s="52" t="s">
        <v>210</v>
      </c>
      <c r="B9" s="53" t="s">
        <v>204</v>
      </c>
      <c r="C9" s="56">
        <f>'9.1 Syndicats comptes 2021'!AF76+'9.1 Syndicats comptes 2021'!AF82+'9.1 Syndicats comptes 2021'!AF88+'9.1 Syndicats comptes 2021'!AF99+'9.1 Syndicats comptes 2021'!AF117+'9.1 Syndicats comptes 2021'!AF121+'9.1 Syndicats comptes 2021'!AF128</f>
        <v>31740413.02</v>
      </c>
    </row>
    <row r="10" spans="1:3" x14ac:dyDescent="0.25">
      <c r="A10" s="53"/>
      <c r="B10" s="55" t="s">
        <v>205</v>
      </c>
      <c r="C10" s="62">
        <f>C9-C8</f>
        <v>1522643.400000006</v>
      </c>
    </row>
    <row r="11" spans="1:3" x14ac:dyDescent="0.25">
      <c r="A11" s="53"/>
      <c r="B11" s="53"/>
      <c r="C11" s="53"/>
    </row>
    <row r="12" spans="1:3" x14ac:dyDescent="0.25">
      <c r="A12" s="53">
        <v>34</v>
      </c>
      <c r="B12" s="53" t="s">
        <v>101</v>
      </c>
      <c r="C12" s="56">
        <f>'9.1 Syndicats comptes 2021'!AF31</f>
        <v>791164.11999999988</v>
      </c>
    </row>
    <row r="13" spans="1:3" x14ac:dyDescent="0.25">
      <c r="A13" s="53">
        <v>44</v>
      </c>
      <c r="B13" s="53" t="s">
        <v>162</v>
      </c>
      <c r="C13" s="56">
        <f>'9.1 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1385423.7800000061</v>
      </c>
    </row>
    <row r="17" spans="1:3" x14ac:dyDescent="0.25">
      <c r="A17" s="53"/>
      <c r="B17" s="53"/>
      <c r="C17" s="53"/>
    </row>
    <row r="18" spans="1:3" x14ac:dyDescent="0.25">
      <c r="A18" s="53">
        <v>38</v>
      </c>
      <c r="B18" s="53" t="s">
        <v>121</v>
      </c>
      <c r="C18" s="56">
        <f>'9.1 Syndicats comptes 2021'!AF56</f>
        <v>1134052.9100000001</v>
      </c>
    </row>
    <row r="19" spans="1:3" x14ac:dyDescent="0.25">
      <c r="A19" s="53">
        <v>48</v>
      </c>
      <c r="B19" s="53" t="s">
        <v>181</v>
      </c>
      <c r="C19" s="56">
        <f>'9.1 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254779.17000000598</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C4" sqref="C4"/>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s="215" t="s">
        <v>828</v>
      </c>
    </row>
    <row r="5" spans="1:3" ht="15.75" thickBot="1" x14ac:dyDescent="0.3">
      <c r="B5" s="174" t="s">
        <v>811</v>
      </c>
    </row>
    <row r="7" spans="1:3" x14ac:dyDescent="0.25">
      <c r="A7" s="51" t="s">
        <v>200</v>
      </c>
      <c r="B7" s="51" t="s">
        <v>201</v>
      </c>
      <c r="C7" s="51" t="s">
        <v>202</v>
      </c>
    </row>
    <row r="8" spans="1:3" x14ac:dyDescent="0.25">
      <c r="A8" s="52" t="s">
        <v>209</v>
      </c>
      <c r="B8" s="53" t="s">
        <v>203</v>
      </c>
      <c r="C8" s="56">
        <f>HLOOKUP($B$5,'9.1 Syndicats comptes 2021'!$E$3:$AF$167,164,0)</f>
        <v>35267.050000000003</v>
      </c>
    </row>
    <row r="9" spans="1:3" x14ac:dyDescent="0.25">
      <c r="A9" s="52" t="s">
        <v>210</v>
      </c>
      <c r="B9" s="53" t="s">
        <v>204</v>
      </c>
      <c r="C9" s="56">
        <f>HLOOKUP($B$5,'9.1 Syndicats comptes 2021'!$E$3:$AF$167,165,0)</f>
        <v>35267.050000000003</v>
      </c>
    </row>
    <row r="10" spans="1:3" x14ac:dyDescent="0.25">
      <c r="A10" s="53"/>
      <c r="B10" s="55" t="s">
        <v>205</v>
      </c>
      <c r="C10" s="62">
        <f>C9-C8</f>
        <v>0</v>
      </c>
    </row>
    <row r="11" spans="1:3" x14ac:dyDescent="0.25">
      <c r="A11" s="53"/>
      <c r="B11" s="53"/>
      <c r="C11" s="53"/>
    </row>
    <row r="12" spans="1:3" x14ac:dyDescent="0.25">
      <c r="A12" s="53">
        <v>34</v>
      </c>
      <c r="B12" s="53" t="s">
        <v>101</v>
      </c>
      <c r="C12" s="56">
        <f>HLOOKUP($B$5,'9.1 Syndicats comptes 2021'!$E$3:$AF$167,29,0)</f>
        <v>0</v>
      </c>
    </row>
    <row r="13" spans="1:3" x14ac:dyDescent="0.25">
      <c r="A13" s="53">
        <v>44</v>
      </c>
      <c r="B13" s="53" t="s">
        <v>162</v>
      </c>
      <c r="C13" s="56">
        <f>HLOOKUP($B$5,'9.1 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0</v>
      </c>
    </row>
    <row r="17" spans="1:3" x14ac:dyDescent="0.25">
      <c r="A17" s="53"/>
      <c r="B17" s="53"/>
      <c r="C17" s="53"/>
    </row>
    <row r="18" spans="1:3" x14ac:dyDescent="0.25">
      <c r="A18" s="53">
        <v>38</v>
      </c>
      <c r="B18" s="53" t="s">
        <v>121</v>
      </c>
      <c r="C18" s="56">
        <f>HLOOKUP($B$5,'9.1 Syndicats comptes 2021'!$E$3:$AF$167,54,0)</f>
        <v>0</v>
      </c>
    </row>
    <row r="19" spans="1:3" x14ac:dyDescent="0.25">
      <c r="A19" s="53">
        <v>48</v>
      </c>
      <c r="B19" s="53" t="s">
        <v>181</v>
      </c>
      <c r="C19" s="56">
        <f>HLOOKUP($B$5,'9.1 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0</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'9.1 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tabSelected="1" zoomScale="90" zoomScaleNormal="90" workbookViewId="0">
      <pane xSplit="5" ySplit="3" topLeftCell="Q4" activePane="bottomRight" state="frozen"/>
      <selection pane="topRight" activeCell="F1" sqref="F1"/>
      <selection pane="bottomLeft" activeCell="A4" sqref="A4"/>
      <selection pane="bottomRight" activeCell="E230" sqref="E230"/>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81750.53</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153492882.36000001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40453.33</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33576352.059999987</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15636.279999999999</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19461544.199999996</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v>20</v>
      </c>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15382.610000000002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v>11452.55</v>
      </c>
      <c r="R8" s="4">
        <v>0</v>
      </c>
      <c r="S8" s="4">
        <v>32415.5</v>
      </c>
      <c r="T8" s="4">
        <v>0</v>
      </c>
      <c r="U8" s="4"/>
      <c r="V8" s="4">
        <v>0</v>
      </c>
      <c r="W8" s="4">
        <v>0</v>
      </c>
      <c r="X8" s="4">
        <v>0</v>
      </c>
      <c r="Y8" s="4">
        <v>266771.14</v>
      </c>
      <c r="Z8" s="4">
        <v>43700</v>
      </c>
      <c r="AA8" s="4">
        <v>0</v>
      </c>
      <c r="AB8" s="4">
        <v>0</v>
      </c>
      <c r="AC8" s="4"/>
      <c r="AD8" s="4">
        <v>0</v>
      </c>
      <c r="AE8" s="4">
        <v>124857.26</v>
      </c>
      <c r="AF8" s="4">
        <v>0</v>
      </c>
      <c r="AG8" s="80">
        <f t="shared" si="1"/>
        <v>1285390.58</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v>4163.7299999999996</v>
      </c>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15797710.65</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v>0</v>
      </c>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24817.05</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3095164.08</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v>24817.05</v>
      </c>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2647337.0699999998</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v>0</v>
      </c>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v>0</v>
      </c>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v>0</v>
      </c>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v>0</v>
      </c>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v>0</v>
      </c>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v>0</v>
      </c>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v>0</v>
      </c>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v>0</v>
      </c>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v>0</v>
      </c>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v>0</v>
      </c>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v>0</v>
      </c>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v>0</v>
      </c>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v>0</v>
      </c>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v>0</v>
      </c>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v>0</v>
      </c>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v>0</v>
      </c>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v>0</v>
      </c>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v>0</v>
      </c>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v>0</v>
      </c>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41297.199999999997</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119916530.30000001</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41297.199999999997</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119440773.80000001</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v>0</v>
      </c>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v>0</v>
      </c>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v>0</v>
      </c>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v>0</v>
      </c>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v>41297.199999999997</v>
      </c>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44042892.360000007</v>
      </c>
      <c r="AH73">
        <v>71</v>
      </c>
    </row>
    <row r="74" spans="2:34" x14ac:dyDescent="0.25">
      <c r="D74">
        <v>1405</v>
      </c>
      <c r="E74" t="s">
        <v>362</v>
      </c>
      <c r="F74" s="4">
        <v>0</v>
      </c>
      <c r="G74" s="4">
        <v>0</v>
      </c>
      <c r="H74" s="4">
        <v>0</v>
      </c>
      <c r="I74" s="4">
        <v>0</v>
      </c>
      <c r="J74" s="4">
        <v>0</v>
      </c>
      <c r="K74" s="4">
        <v>0</v>
      </c>
      <c r="L74" s="4">
        <v>0</v>
      </c>
      <c r="M74" s="4">
        <v>0</v>
      </c>
      <c r="N74" s="4">
        <v>0</v>
      </c>
      <c r="O74" s="4">
        <v>0</v>
      </c>
      <c r="P74" s="4">
        <v>0</v>
      </c>
      <c r="Q74" s="4">
        <v>0</v>
      </c>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v>0</v>
      </c>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v>0</v>
      </c>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v>0</v>
      </c>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v>0</v>
      </c>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v>0</v>
      </c>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v>0</v>
      </c>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v>0</v>
      </c>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v>0</v>
      </c>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v>0</v>
      </c>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v>0</v>
      </c>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v>0</v>
      </c>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v>0</v>
      </c>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v>0</v>
      </c>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v>0</v>
      </c>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81750.53</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153492882.36000001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112.5</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52576870.600000001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112.5</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5358805.6000000015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v>112.5</v>
      </c>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4225818.67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v>0</v>
      </c>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v>0</v>
      </c>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v>0</v>
      </c>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v>0</v>
      </c>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v>0</v>
      </c>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v>0</v>
      </c>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v>0</v>
      </c>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v>0</v>
      </c>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v>0</v>
      </c>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v>0</v>
      </c>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v>0</v>
      </c>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v>0</v>
      </c>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v>0</v>
      </c>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v>0</v>
      </c>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v>0</v>
      </c>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v>0</v>
      </c>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v>0</v>
      </c>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v>0</v>
      </c>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v>0</v>
      </c>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v>0</v>
      </c>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v>0</v>
      </c>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v>0</v>
      </c>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v>0</v>
      </c>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v>0</v>
      </c>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v>0</v>
      </c>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v>0</v>
      </c>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v>0</v>
      </c>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v>0</v>
      </c>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v>0</v>
      </c>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v>0</v>
      </c>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81638.03</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100916011.76000001</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v>0</v>
      </c>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v>0</v>
      </c>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v>0</v>
      </c>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v>0</v>
      </c>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11638.03</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520837.37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v>11638.03</v>
      </c>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520837.37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v>0</v>
      </c>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v>0</v>
      </c>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70000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6854292.2300000004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v>0</v>
      </c>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v>70000</v>
      </c>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6626817.4100000001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'9.1 Syndicats comptes 2021'!E155</f>
        <v>0</v>
      </c>
      <c r="G220" s="4">
        <f>'9.1 Syndicats comptes 2021'!F155</f>
        <v>0</v>
      </c>
      <c r="H220" s="4">
        <f>'9.1 Syndicats comptes 2021'!G155</f>
        <v>0</v>
      </c>
      <c r="I220" s="4">
        <f>'9.1 Syndicats comptes 2021'!H155</f>
        <v>0</v>
      </c>
      <c r="J220" s="4">
        <f>'9.1 Syndicats comptes 2021'!I155</f>
        <v>0</v>
      </c>
      <c r="K220" s="4">
        <f>'9.1 Syndicats comptes 2021'!J155</f>
        <v>0</v>
      </c>
      <c r="L220" s="4">
        <f>'9.1 Syndicats comptes 2021'!K155</f>
        <v>0</v>
      </c>
      <c r="M220" s="4">
        <f>'9.1 Syndicats comptes 2021'!L155</f>
        <v>0</v>
      </c>
      <c r="N220" s="4">
        <f>'9.1 Syndicats comptes 2021'!M155</f>
        <v>0</v>
      </c>
      <c r="O220" s="4">
        <f>'9.1 Syndicats comptes 2021'!N155</f>
        <v>0</v>
      </c>
      <c r="P220" s="4">
        <f>'9.1 Syndicats comptes 2021'!O155</f>
        <v>144824.95999999999</v>
      </c>
      <c r="Q220" s="4">
        <f>'9.1 Syndicats comptes 2021'!P155</f>
        <v>0</v>
      </c>
      <c r="R220" s="4">
        <f>'9.1 Syndicats comptes 2021'!Q155</f>
        <v>0</v>
      </c>
      <c r="S220" s="4">
        <f>'9.1 Syndicats comptes 2021'!R155</f>
        <v>0</v>
      </c>
      <c r="T220" s="4">
        <f>'9.1 Syndicats comptes 2021'!S155</f>
        <v>0</v>
      </c>
      <c r="U220" s="4">
        <f>'9.1 Syndicats comptes 2021'!T155</f>
        <v>0</v>
      </c>
      <c r="V220" s="4">
        <f>'9.1 Syndicats comptes 2021'!U155</f>
        <v>0</v>
      </c>
      <c r="W220" s="4">
        <f>'9.1 Syndicats comptes 2021'!V155</f>
        <v>0</v>
      </c>
      <c r="X220" s="4">
        <f>'9.1 Syndicats comptes 2021'!W155</f>
        <v>0</v>
      </c>
      <c r="Y220" s="4">
        <f>'9.1 Syndicats comptes 2021'!X155</f>
        <v>0</v>
      </c>
      <c r="Z220" s="4">
        <f>'9.1 Syndicats comptes 2021'!Y155</f>
        <v>-61179.19</v>
      </c>
      <c r="AA220" s="4">
        <f>'9.1 Syndicats comptes 2021'!Z155</f>
        <v>0</v>
      </c>
      <c r="AB220" s="4">
        <f>'9.1 Syndicats comptes 2021'!AA155</f>
        <v>0</v>
      </c>
      <c r="AC220" s="4">
        <f>'9.1 Syndicats comptes 2021'!AB155</f>
        <v>0</v>
      </c>
      <c r="AD220" s="4">
        <f>'9.1 Syndicats comptes 2021'!AC155</f>
        <v>0</v>
      </c>
      <c r="AE220" s="4">
        <f>'9.1 Syndicats comptes 2021'!AD155</f>
        <v>0</v>
      </c>
      <c r="AF220" s="4">
        <f>'9.1 Syndicats comptes 2021'!AE155</f>
        <v>0</v>
      </c>
      <c r="AG220" s="4">
        <f>'9.1 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HLOOKUP($E$4,'9.7 Syndicats Bilan'!$F$3:$AG$226,2,0)</f>
        <v>14283261.68</v>
      </c>
    </row>
    <row r="8" spans="1:6" x14ac:dyDescent="0.25">
      <c r="A8" s="78"/>
      <c r="B8" s="74">
        <v>10</v>
      </c>
      <c r="C8" s="74"/>
      <c r="D8" s="74"/>
      <c r="E8" s="74" t="s">
        <v>240</v>
      </c>
      <c r="F8" s="75">
        <f>HLOOKUP($E$4,'9.7 Syndicats Bilan'!$F$3:$AG$226,3,0)</f>
        <v>8995733.7799999993</v>
      </c>
    </row>
    <row r="9" spans="1:6" x14ac:dyDescent="0.25">
      <c r="A9" s="79"/>
      <c r="B9" s="79"/>
      <c r="C9" s="69">
        <v>100</v>
      </c>
      <c r="D9" s="69"/>
      <c r="E9" s="69" t="s">
        <v>241</v>
      </c>
      <c r="F9" s="70">
        <f>HLOOKUP($E$4,'9.7 Syndicats Bilan'!$F$3:$AG$226,4,0)</f>
        <v>2627525.2799999998</v>
      </c>
    </row>
    <row r="10" spans="1:6" x14ac:dyDescent="0.25">
      <c r="D10">
        <v>1000</v>
      </c>
      <c r="E10" t="s">
        <v>313</v>
      </c>
      <c r="F10" s="4">
        <f>HLOOKUP($E$4,'9.7 Syndicats Bilan'!$F$3:$AG$226,5,0)</f>
        <v>1056.6500000000001</v>
      </c>
    </row>
    <row r="11" spans="1:6" x14ac:dyDescent="0.25">
      <c r="D11">
        <v>1001</v>
      </c>
      <c r="E11" t="s">
        <v>314</v>
      </c>
      <c r="F11" s="4">
        <f>HLOOKUP($E$4,'9.7 Syndicats Bilan'!$F$3:$AG$226,6,0)</f>
        <v>291455.71999999997</v>
      </c>
    </row>
    <row r="12" spans="1:6" x14ac:dyDescent="0.25">
      <c r="D12">
        <v>1002</v>
      </c>
      <c r="E12" t="s">
        <v>322</v>
      </c>
      <c r="F12" s="4">
        <f>HLOOKUP($E$4,'9.7 Syndicats Bilan'!$F$3:$AG$226,7,0)</f>
        <v>238.65</v>
      </c>
    </row>
    <row r="13" spans="1:6" x14ac:dyDescent="0.25">
      <c r="D13">
        <v>1003</v>
      </c>
      <c r="E13" t="s">
        <v>315</v>
      </c>
      <c r="F13" s="4">
        <f>HLOOKUP($E$4,'9.7 Syndicats Bilan'!$F$3:$AG$226,8,0)</f>
        <v>2334774.2599999998</v>
      </c>
    </row>
    <row r="14" spans="1:6" x14ac:dyDescent="0.25">
      <c r="D14">
        <v>1004</v>
      </c>
      <c r="E14" t="s">
        <v>316</v>
      </c>
      <c r="F14" s="4">
        <f>HLOOKUP($E$4,'9.7 Syndicats Bilan'!$F$3:$AG$226,9,0)</f>
        <v>0</v>
      </c>
    </row>
    <row r="15" spans="1:6" x14ac:dyDescent="0.25">
      <c r="D15">
        <v>1009</v>
      </c>
      <c r="E15" t="s">
        <v>317</v>
      </c>
      <c r="F15" s="4">
        <f>HLOOKUP($E$4,'9.7 Syndicats Bilan'!$F$3:$AG$226,10,0)</f>
        <v>0</v>
      </c>
    </row>
    <row r="16" spans="1:6" x14ac:dyDescent="0.25">
      <c r="F16" s="4"/>
    </row>
    <row r="17" spans="1:6" x14ac:dyDescent="0.25">
      <c r="A17" s="79"/>
      <c r="B17" s="79"/>
      <c r="C17" s="69">
        <v>101</v>
      </c>
      <c r="D17" s="69"/>
      <c r="E17" s="69" t="s">
        <v>242</v>
      </c>
      <c r="F17" s="70">
        <f>HLOOKUP($E$4,'9.7 Syndicats Bilan'!$F$3:$AG$226,12,0)</f>
        <v>326842.75</v>
      </c>
    </row>
    <row r="18" spans="1:6" x14ac:dyDescent="0.25">
      <c r="D18">
        <v>1010</v>
      </c>
      <c r="E18" t="s">
        <v>318</v>
      </c>
      <c r="F18" s="4">
        <f>HLOOKUP($E$4,'9.7 Syndicats Bilan'!$F$3:$AG$226,13,0)</f>
        <v>316963.7</v>
      </c>
    </row>
    <row r="19" spans="1:6" x14ac:dyDescent="0.25">
      <c r="D19">
        <v>1011</v>
      </c>
      <c r="E19" t="s">
        <v>399</v>
      </c>
      <c r="F19" s="4">
        <f>HLOOKUP($E$4,'9.7 Syndicats Bilan'!$F$3:$AG$226,14,0)</f>
        <v>0</v>
      </c>
    </row>
    <row r="20" spans="1:6" x14ac:dyDescent="0.25">
      <c r="D20">
        <v>1012</v>
      </c>
      <c r="E20" t="s">
        <v>319</v>
      </c>
      <c r="F20" s="4">
        <f>HLOOKUP($E$4,'9.7 Syndicats Bilan'!$F$3:$AG$226,15,0)</f>
        <v>0</v>
      </c>
    </row>
    <row r="21" spans="1:6" x14ac:dyDescent="0.25">
      <c r="D21">
        <v>1013</v>
      </c>
      <c r="E21" t="s">
        <v>320</v>
      </c>
      <c r="F21" s="4">
        <f>HLOOKUP($E$4,'9.7 Syndicats Bilan'!$F$3:$AG$226,16,0)</f>
        <v>0</v>
      </c>
    </row>
    <row r="22" spans="1:6" x14ac:dyDescent="0.25">
      <c r="D22">
        <v>1014</v>
      </c>
      <c r="E22" t="s">
        <v>321</v>
      </c>
      <c r="F22" s="4">
        <f>HLOOKUP($E$4,'9.7 Syndicats Bilan'!$F$3:$AG$226,17,0)</f>
        <v>0</v>
      </c>
    </row>
    <row r="23" spans="1:6" x14ac:dyDescent="0.25">
      <c r="D23">
        <v>1015</v>
      </c>
      <c r="E23" t="s">
        <v>323</v>
      </c>
      <c r="F23" s="4">
        <f>HLOOKUP($E$4,'9.7 Syndicats Bilan'!$F$3:$AG$226,18,0)</f>
        <v>0</v>
      </c>
    </row>
    <row r="24" spans="1:6" x14ac:dyDescent="0.25">
      <c r="D24">
        <v>1016</v>
      </c>
      <c r="E24" t="s">
        <v>324</v>
      </c>
      <c r="F24" s="4">
        <f>HLOOKUP($E$4,'9.7 Syndicats Bilan'!$F$3:$AG$226,19,0)</f>
        <v>0</v>
      </c>
    </row>
    <row r="25" spans="1:6" x14ac:dyDescent="0.25">
      <c r="D25">
        <v>1019</v>
      </c>
      <c r="E25" t="s">
        <v>325</v>
      </c>
      <c r="F25" s="4">
        <f>HLOOKUP($E$4,'9.7 Syndicats Bilan'!$F$3:$AG$226,20,0)</f>
        <v>9879.0499999999993</v>
      </c>
    </row>
    <row r="26" spans="1:6" x14ac:dyDescent="0.25">
      <c r="F26" s="4"/>
    </row>
    <row r="27" spans="1:6" x14ac:dyDescent="0.25">
      <c r="C27" s="69">
        <v>102</v>
      </c>
      <c r="D27" s="69"/>
      <c r="E27" s="69" t="s">
        <v>243</v>
      </c>
      <c r="F27" s="70">
        <f>HLOOKUP($E$4,'9.7 Syndicats Bilan'!$F$3:$AG$226,22,0)</f>
        <v>0</v>
      </c>
    </row>
    <row r="28" spans="1:6" x14ac:dyDescent="0.25">
      <c r="D28">
        <v>1020</v>
      </c>
      <c r="E28" t="s">
        <v>326</v>
      </c>
      <c r="F28" s="4">
        <f>HLOOKUP($E$4,'9.7 Syndicats Bilan'!$F$3:$AG$226,23,0)</f>
        <v>0</v>
      </c>
    </row>
    <row r="29" spans="1:6" x14ac:dyDescent="0.25">
      <c r="D29">
        <v>1022</v>
      </c>
      <c r="E29" t="s">
        <v>327</v>
      </c>
      <c r="F29" s="4">
        <f>HLOOKUP($E$4,'9.7 Syndicats Bilan'!$F$3:$AG$226,24,0)</f>
        <v>0</v>
      </c>
    </row>
    <row r="30" spans="1:6" x14ac:dyDescent="0.25">
      <c r="D30">
        <v>1023</v>
      </c>
      <c r="E30" t="s">
        <v>328</v>
      </c>
      <c r="F30" s="4">
        <f>HLOOKUP($E$4,'9.7 Syndicats Bilan'!$F$3:$AG$226,25,0)</f>
        <v>0</v>
      </c>
    </row>
    <row r="31" spans="1:6" x14ac:dyDescent="0.25">
      <c r="D31">
        <v>1029</v>
      </c>
      <c r="E31" t="s">
        <v>329</v>
      </c>
      <c r="F31" s="4">
        <f>HLOOKUP($E$4,'9.7 Syndicats Bilan'!$F$3:$AG$226,26,0)</f>
        <v>0</v>
      </c>
    </row>
    <row r="32" spans="1:6" x14ac:dyDescent="0.25">
      <c r="F32" s="4"/>
    </row>
    <row r="33" spans="3:6" x14ac:dyDescent="0.25">
      <c r="C33" s="69">
        <v>104</v>
      </c>
      <c r="D33" s="69"/>
      <c r="E33" s="69" t="s">
        <v>244</v>
      </c>
      <c r="F33" s="70">
        <f>HLOOKUP($E$4,'9.7 Syndicats Bilan'!$F$3:$AG$226,28,0)</f>
        <v>41103.25</v>
      </c>
    </row>
    <row r="34" spans="3:6" x14ac:dyDescent="0.25">
      <c r="D34">
        <v>1040</v>
      </c>
      <c r="E34" t="s">
        <v>61</v>
      </c>
      <c r="F34" s="4">
        <f>HLOOKUP($E$4,'9.7 Syndicats Bilan'!$F$3:$AG$226,29,0)</f>
        <v>21103.25</v>
      </c>
    </row>
    <row r="35" spans="3:6" x14ac:dyDescent="0.25">
      <c r="D35">
        <v>1041</v>
      </c>
      <c r="E35" t="s">
        <v>330</v>
      </c>
      <c r="F35" s="4">
        <f>HLOOKUP($E$4,'9.7 Syndicats Bilan'!$F$3:$AG$226,30,0)</f>
        <v>20000</v>
      </c>
    </row>
    <row r="36" spans="3:6" x14ac:dyDescent="0.25">
      <c r="D36">
        <v>1042</v>
      </c>
      <c r="E36" t="s">
        <v>331</v>
      </c>
      <c r="F36" s="4">
        <f>HLOOKUP($E$4,'9.7 Syndicats Bilan'!$F$3:$AG$226,31,0)</f>
        <v>0</v>
      </c>
    </row>
    <row r="37" spans="3:6" x14ac:dyDescent="0.25">
      <c r="D37">
        <v>1043</v>
      </c>
      <c r="E37" t="s">
        <v>332</v>
      </c>
      <c r="F37" s="4">
        <f>HLOOKUP($E$4,'9.7 Syndicats Bilan'!$F$3:$AG$226,32,0)</f>
        <v>0</v>
      </c>
    </row>
    <row r="38" spans="3:6" x14ac:dyDescent="0.25">
      <c r="D38">
        <v>1044</v>
      </c>
      <c r="E38" t="s">
        <v>333</v>
      </c>
      <c r="F38" s="4">
        <f>HLOOKUP($E$4,'9.7 Syndicats Bilan'!$F$3:$AG$226,33,0)</f>
        <v>0</v>
      </c>
    </row>
    <row r="39" spans="3:6" x14ac:dyDescent="0.25">
      <c r="D39">
        <v>1045</v>
      </c>
      <c r="E39" t="s">
        <v>334</v>
      </c>
      <c r="F39" s="4">
        <f>HLOOKUP($E$4,'9.7 Syndicats Bilan'!$F$3:$AG$226,34,0)</f>
        <v>0</v>
      </c>
    </row>
    <row r="40" spans="3:6" x14ac:dyDescent="0.25">
      <c r="D40">
        <v>1046</v>
      </c>
      <c r="E40" t="s">
        <v>335</v>
      </c>
      <c r="F40" s="4">
        <f>HLOOKUP($E$4,'9.7 Syndicats Bilan'!$F$3:$AG$226,35,0)</f>
        <v>0</v>
      </c>
    </row>
    <row r="41" spans="3:6" x14ac:dyDescent="0.25">
      <c r="D41">
        <v>1049</v>
      </c>
      <c r="E41" t="s">
        <v>336</v>
      </c>
      <c r="F41" s="4">
        <f>HLOOKUP($E$4,'9.7 Syndicats Bilan'!$F$3:$AG$226,36,0)</f>
        <v>0</v>
      </c>
    </row>
    <row r="42" spans="3:6" x14ac:dyDescent="0.25">
      <c r="F42" s="4"/>
    </row>
    <row r="43" spans="3:6" x14ac:dyDescent="0.25">
      <c r="C43" s="69">
        <v>106</v>
      </c>
      <c r="D43" s="69"/>
      <c r="E43" s="69" t="s">
        <v>245</v>
      </c>
      <c r="F43" s="70">
        <f>HLOOKUP($E$4,'9.7 Syndicats Bilan'!$F$3:$AG$226,38,0)</f>
        <v>0</v>
      </c>
    </row>
    <row r="44" spans="3:6" x14ac:dyDescent="0.25">
      <c r="D44">
        <v>1060</v>
      </c>
      <c r="E44" t="s">
        <v>337</v>
      </c>
      <c r="F44" s="4">
        <f>HLOOKUP($E$4,'9.7 Syndicats Bilan'!$F$3:$AG$226,39,0)</f>
        <v>0</v>
      </c>
    </row>
    <row r="45" spans="3:6" x14ac:dyDescent="0.25">
      <c r="D45">
        <v>1061</v>
      </c>
      <c r="E45" t="s">
        <v>338</v>
      </c>
      <c r="F45" s="4">
        <f>HLOOKUP($E$4,'9.7 Syndicats Bilan'!$F$3:$AG$226,40,0)</f>
        <v>0</v>
      </c>
    </row>
    <row r="46" spans="3:6" x14ac:dyDescent="0.25">
      <c r="D46">
        <v>1062</v>
      </c>
      <c r="E46" t="s">
        <v>339</v>
      </c>
      <c r="F46" s="4">
        <f>HLOOKUP($E$4,'9.7 Syndicats Bilan'!$F$3:$AG$226,41,0)</f>
        <v>0</v>
      </c>
    </row>
    <row r="47" spans="3:6" x14ac:dyDescent="0.25">
      <c r="D47">
        <v>1063</v>
      </c>
      <c r="E47" t="s">
        <v>340</v>
      </c>
      <c r="F47" s="4">
        <f>HLOOKUP($E$4,'9.7 Syndicats Bilan'!$F$3:$AG$226,42,0)</f>
        <v>0</v>
      </c>
    </row>
    <row r="48" spans="3:6" x14ac:dyDescent="0.25">
      <c r="D48">
        <v>1068</v>
      </c>
      <c r="E48" t="s">
        <v>341</v>
      </c>
      <c r="F48" s="4">
        <f>HLOOKUP($E$4,'9.7 Syndicats Bilan'!$F$3:$AG$226,43,0)</f>
        <v>0</v>
      </c>
    </row>
    <row r="49" spans="3:6" x14ac:dyDescent="0.25">
      <c r="F49" s="4"/>
    </row>
    <row r="50" spans="3:6" x14ac:dyDescent="0.25">
      <c r="C50" s="69">
        <v>107</v>
      </c>
      <c r="D50" s="69"/>
      <c r="E50" s="69" t="s">
        <v>346</v>
      </c>
      <c r="F50" s="70">
        <f>HLOOKUP($E$4,'9.7 Syndicats Bilan'!$F$3:$AG$226,45,0)</f>
        <v>6000262.5</v>
      </c>
    </row>
    <row r="51" spans="3:6" x14ac:dyDescent="0.25">
      <c r="D51">
        <v>1070</v>
      </c>
      <c r="E51" t="s">
        <v>342</v>
      </c>
      <c r="F51" s="4">
        <f>HLOOKUP($E$4,'9.7 Syndicats Bilan'!$F$3:$AG$226,46,0)</f>
        <v>262.5</v>
      </c>
    </row>
    <row r="52" spans="3:6" x14ac:dyDescent="0.25">
      <c r="D52">
        <v>1071</v>
      </c>
      <c r="E52" t="s">
        <v>343</v>
      </c>
      <c r="F52" s="4">
        <f>HLOOKUP($E$4,'9.7 Syndicats Bilan'!$F$3:$AG$226,47,0)</f>
        <v>6000000</v>
      </c>
    </row>
    <row r="53" spans="3:6" x14ac:dyDescent="0.25">
      <c r="D53">
        <v>1072</v>
      </c>
      <c r="E53" t="s">
        <v>344</v>
      </c>
      <c r="F53" s="4">
        <f>HLOOKUP($E$4,'9.7 Syndicats Bilan'!$F$3:$AG$226,48,0)</f>
        <v>0</v>
      </c>
    </row>
    <row r="54" spans="3:6" x14ac:dyDescent="0.25">
      <c r="D54">
        <v>1079</v>
      </c>
      <c r="E54" t="s">
        <v>345</v>
      </c>
      <c r="F54" s="4">
        <f>HLOOKUP($E$4,'9.7 Syndicats Bilan'!$F$3:$AG$226,49,0)</f>
        <v>0</v>
      </c>
    </row>
    <row r="55" spans="3:6" x14ac:dyDescent="0.25">
      <c r="F55" s="4"/>
    </row>
    <row r="56" spans="3:6" x14ac:dyDescent="0.25">
      <c r="C56" s="69">
        <v>108</v>
      </c>
      <c r="D56" s="69"/>
      <c r="E56" s="69" t="s">
        <v>246</v>
      </c>
      <c r="F56" s="70">
        <f>HLOOKUP($E$4,'9.7 Syndicats Bilan'!$F$3:$AG$226,51,0)</f>
        <v>0</v>
      </c>
    </row>
    <row r="57" spans="3:6" x14ac:dyDescent="0.25">
      <c r="D57">
        <v>1080</v>
      </c>
      <c r="E57" t="s">
        <v>347</v>
      </c>
      <c r="F57" s="4">
        <f>HLOOKUP($E$4,'9.7 Syndicats Bilan'!$F$3:$AG$226,52,0)</f>
        <v>0</v>
      </c>
    </row>
    <row r="58" spans="3:6" x14ac:dyDescent="0.25">
      <c r="D58">
        <v>1084</v>
      </c>
      <c r="E58" t="s">
        <v>348</v>
      </c>
      <c r="F58" s="4">
        <f>HLOOKUP($E$4,'9.7 Syndicats Bilan'!$F$3:$AG$226,53,0)</f>
        <v>0</v>
      </c>
    </row>
    <row r="59" spans="3:6" x14ac:dyDescent="0.25">
      <c r="D59">
        <v>1086</v>
      </c>
      <c r="E59" t="s">
        <v>349</v>
      </c>
      <c r="F59" s="4">
        <f>HLOOKUP($E$4,'9.7 Syndicats Bilan'!$F$3:$AG$226,54,0)</f>
        <v>0</v>
      </c>
    </row>
    <row r="60" spans="3:6" x14ac:dyDescent="0.25">
      <c r="D60">
        <v>1087</v>
      </c>
      <c r="E60" t="s">
        <v>350</v>
      </c>
      <c r="F60" s="4">
        <f>HLOOKUP($E$4,'9.7 Syndicats Bilan'!$F$3:$AG$226,55,0)</f>
        <v>0</v>
      </c>
    </row>
    <row r="61" spans="3:6" x14ac:dyDescent="0.25">
      <c r="D61">
        <v>1088</v>
      </c>
      <c r="E61" t="s">
        <v>351</v>
      </c>
      <c r="F61" s="4">
        <f>HLOOKUP($E$4,'9.7 Syndicats Bilan'!$F$3:$AG$226,6,0)</f>
        <v>291455.71999999997</v>
      </c>
    </row>
    <row r="62" spans="3:6" x14ac:dyDescent="0.25">
      <c r="D62">
        <v>1089</v>
      </c>
      <c r="E62" t="s">
        <v>352</v>
      </c>
      <c r="F62" s="4">
        <f>HLOOKUP($E$4,'9.7 Syndicats Bilan'!$F$3:$AG$226,57,0)</f>
        <v>0</v>
      </c>
    </row>
    <row r="63" spans="3:6" x14ac:dyDescent="0.25">
      <c r="F63" s="4"/>
    </row>
    <row r="64" spans="3:6" x14ac:dyDescent="0.25">
      <c r="C64" s="69">
        <v>109</v>
      </c>
      <c r="D64" s="69"/>
      <c r="E64" s="69" t="s">
        <v>353</v>
      </c>
      <c r="F64" s="70">
        <f>HLOOKUP($E$4,'9.7 Syndicats Bilan'!$F$3:$AG$226,59,0)</f>
        <v>0</v>
      </c>
    </row>
    <row r="65" spans="2:6" x14ac:dyDescent="0.25">
      <c r="D65">
        <v>1090</v>
      </c>
      <c r="E65" t="s">
        <v>353</v>
      </c>
      <c r="F65" s="4">
        <f>HLOOKUP($E$4,'9.7 Syndicats Bilan'!$F$3:$AG$226,60,0)</f>
        <v>0</v>
      </c>
    </row>
    <row r="66" spans="2:6" x14ac:dyDescent="0.25">
      <c r="D66">
        <v>1091</v>
      </c>
      <c r="E66" t="s">
        <v>354</v>
      </c>
      <c r="F66" s="4">
        <f>HLOOKUP($E$4,'9.7 Syndicats Bilan'!$F$3:$AG$226,61,0)</f>
        <v>0</v>
      </c>
    </row>
    <row r="67" spans="2:6" x14ac:dyDescent="0.25">
      <c r="D67">
        <v>1092</v>
      </c>
      <c r="E67" t="s">
        <v>355</v>
      </c>
      <c r="F67" s="4">
        <f>HLOOKUP($E$4,'9.7 Syndicats Bilan'!$F$3:$AG$226,62,0)</f>
        <v>0</v>
      </c>
    </row>
    <row r="68" spans="2:6" x14ac:dyDescent="0.25">
      <c r="D68">
        <v>1093</v>
      </c>
      <c r="E68" t="s">
        <v>356</v>
      </c>
      <c r="F68" s="4">
        <f>HLOOKUP($E$4,'9.7 Syndicats Bilan'!$F$3:$AG$226,63,0)</f>
        <v>0</v>
      </c>
    </row>
    <row r="69" spans="2:6" x14ac:dyDescent="0.25">
      <c r="F69" s="4"/>
    </row>
    <row r="70" spans="2:6" x14ac:dyDescent="0.25">
      <c r="B70" s="76">
        <v>14</v>
      </c>
      <c r="C70" s="76"/>
      <c r="D70" s="76"/>
      <c r="E70" s="76" t="s">
        <v>247</v>
      </c>
      <c r="F70" s="77">
        <f>HLOOKUP($E$4,'9.7 Syndicats Bilan'!$F$3:$AG$226,65,0)</f>
        <v>5287527.9000000004</v>
      </c>
    </row>
    <row r="71" spans="2:6" x14ac:dyDescent="0.25">
      <c r="C71" s="69">
        <v>140</v>
      </c>
      <c r="D71" s="69"/>
      <c r="E71" s="69" t="s">
        <v>249</v>
      </c>
      <c r="F71" s="70">
        <f>HLOOKUP($E$4,'9.7 Syndicats Bilan'!$F$3:$AG$226,66,0)</f>
        <v>4937902.5</v>
      </c>
    </row>
    <row r="72" spans="2:6" x14ac:dyDescent="0.25">
      <c r="D72">
        <v>1400</v>
      </c>
      <c r="E72" t="s">
        <v>357</v>
      </c>
      <c r="F72" s="4">
        <f>HLOOKUP($E$4,'9.7 Syndicats Bilan'!$F$3:$AG$226,67,0)</f>
        <v>0</v>
      </c>
    </row>
    <row r="73" spans="2:6" x14ac:dyDescent="0.25">
      <c r="D73">
        <v>1401</v>
      </c>
      <c r="E73" t="s">
        <v>358</v>
      </c>
      <c r="F73" s="4">
        <f>HLOOKUP($E$4,'9.7 Syndicats Bilan'!$F$3:$AG$226,68,0)</f>
        <v>0</v>
      </c>
    </row>
    <row r="74" spans="2:6" x14ac:dyDescent="0.25">
      <c r="D74">
        <v>1402</v>
      </c>
      <c r="E74" t="s">
        <v>359</v>
      </c>
      <c r="F74" s="4">
        <f>HLOOKUP($E$4,'9.7 Syndicats Bilan'!$F$3:$AG$226,69,0)</f>
        <v>0</v>
      </c>
    </row>
    <row r="75" spans="2:6" x14ac:dyDescent="0.25">
      <c r="D75">
        <v>1403</v>
      </c>
      <c r="E75" t="s">
        <v>360</v>
      </c>
      <c r="F75" s="4">
        <f>HLOOKUP($E$4,'9.7 Syndicats Bilan'!$F$3:$AG$226,70,0)</f>
        <v>0</v>
      </c>
    </row>
    <row r="76" spans="2:6" x14ac:dyDescent="0.25">
      <c r="D76">
        <v>1404</v>
      </c>
      <c r="E76" t="s">
        <v>361</v>
      </c>
      <c r="F76" s="4">
        <f>HLOOKUP($E$4,'9.7 Syndicats Bilan'!$F$3:$AG$226,71,0)</f>
        <v>50490</v>
      </c>
    </row>
    <row r="77" spans="2:6" x14ac:dyDescent="0.25">
      <c r="D77">
        <v>1405</v>
      </c>
      <c r="E77" t="s">
        <v>362</v>
      </c>
      <c r="F77" s="4">
        <f>HLOOKUP($E$4,'9.7 Syndicats Bilan'!$F$3:$AG$226,72,0)</f>
        <v>0</v>
      </c>
    </row>
    <row r="78" spans="2:6" x14ac:dyDescent="0.25">
      <c r="D78">
        <v>1406</v>
      </c>
      <c r="E78" t="s">
        <v>363</v>
      </c>
      <c r="F78" s="4">
        <f>HLOOKUP($E$4,'9.7 Syndicats Bilan'!$F$3:$AG$226,73,0)</f>
        <v>0</v>
      </c>
    </row>
    <row r="79" spans="2:6" x14ac:dyDescent="0.25">
      <c r="D79">
        <v>1407</v>
      </c>
      <c r="E79" t="s">
        <v>364</v>
      </c>
      <c r="F79" s="4">
        <f>HLOOKUP($E$4,'9.7 Syndicats Bilan'!$F$3:$AG$226,74,0)</f>
        <v>4887412.5</v>
      </c>
    </row>
    <row r="80" spans="2:6" x14ac:dyDescent="0.25">
      <c r="D80">
        <v>1409</v>
      </c>
      <c r="E80" t="s">
        <v>365</v>
      </c>
      <c r="F80" s="4">
        <f>HLOOKUP($E$4,'9.7 Syndicats Bilan'!$F$3:$AG$226,75,0)</f>
        <v>0</v>
      </c>
    </row>
    <row r="81" spans="3:6" x14ac:dyDescent="0.25">
      <c r="F81" s="4"/>
    </row>
    <row r="82" spans="3:6" x14ac:dyDescent="0.25">
      <c r="C82" s="69">
        <v>142</v>
      </c>
      <c r="D82" s="69"/>
      <c r="E82" s="69" t="s">
        <v>581</v>
      </c>
      <c r="F82" s="70">
        <f>HLOOKUP($E$4,'9.7 Syndicats Bilan'!$F$3:$AG$226,77,0)</f>
        <v>349625.4</v>
      </c>
    </row>
    <row r="83" spans="3:6" x14ac:dyDescent="0.25">
      <c r="D83" s="79">
        <v>1420</v>
      </c>
      <c r="E83" s="79" t="s">
        <v>366</v>
      </c>
      <c r="F83" s="4">
        <f>HLOOKUP($E$4,'9.7 Syndicats Bilan'!$F$3:$AG$226,78,0)</f>
        <v>12150</v>
      </c>
    </row>
    <row r="84" spans="3:6" x14ac:dyDescent="0.25">
      <c r="D84" s="79">
        <v>1421</v>
      </c>
      <c r="E84" s="79" t="s">
        <v>367</v>
      </c>
      <c r="F84" s="4">
        <f>HLOOKUP($E$4,'9.7 Syndicats Bilan'!$F$3:$AG$226,79,0)</f>
        <v>0</v>
      </c>
    </row>
    <row r="85" spans="3:6" x14ac:dyDescent="0.25">
      <c r="D85" s="79">
        <v>1427</v>
      </c>
      <c r="E85" s="79" t="s">
        <v>580</v>
      </c>
      <c r="F85" s="4">
        <f>HLOOKUP($E$4,'9.7 Syndicats Bilan'!$F$3:$AG$226,80,0)</f>
        <v>337475.4</v>
      </c>
    </row>
    <row r="86" spans="3:6" x14ac:dyDescent="0.25">
      <c r="D86" s="79">
        <v>1429</v>
      </c>
      <c r="E86" s="79" t="s">
        <v>465</v>
      </c>
      <c r="F86" s="4">
        <f>HLOOKUP($E$4,'9.7 Syndicats Bilan'!$F$3:$AG$226,81,0)</f>
        <v>0</v>
      </c>
    </row>
    <row r="87" spans="3:6" x14ac:dyDescent="0.25">
      <c r="F87" s="4"/>
    </row>
    <row r="88" spans="3:6" x14ac:dyDescent="0.25">
      <c r="C88" s="69">
        <v>144</v>
      </c>
      <c r="D88" s="69"/>
      <c r="E88" s="69" t="s">
        <v>250</v>
      </c>
      <c r="F88" s="70">
        <f>HLOOKUP($E$4,'9.7 Syndicats Bilan'!$F$3:$AG$226,83,0)</f>
        <v>0</v>
      </c>
    </row>
    <row r="89" spans="3:6" x14ac:dyDescent="0.25">
      <c r="D89">
        <v>1440</v>
      </c>
      <c r="E89" t="s">
        <v>368</v>
      </c>
      <c r="F89" s="4">
        <f>HLOOKUP($E$4,'9.7 Syndicats Bilan'!$F$3:$AG$226,84,0)</f>
        <v>0</v>
      </c>
    </row>
    <row r="90" spans="3:6" x14ac:dyDescent="0.25">
      <c r="D90">
        <v>1441</v>
      </c>
      <c r="E90" t="s">
        <v>370</v>
      </c>
      <c r="F90" s="4">
        <f>HLOOKUP($E$4,'9.7 Syndicats Bilan'!$F$3:$AG$226,85,0)</f>
        <v>0</v>
      </c>
    </row>
    <row r="91" spans="3:6" x14ac:dyDescent="0.25">
      <c r="D91">
        <v>1442</v>
      </c>
      <c r="E91" t="s">
        <v>369</v>
      </c>
      <c r="F91" s="4">
        <f>HLOOKUP($E$4,'9.7 Syndicats Bilan'!$F$3:$AG$226,86,0)</f>
        <v>0</v>
      </c>
    </row>
    <row r="92" spans="3:6" x14ac:dyDescent="0.25">
      <c r="D92">
        <v>1443</v>
      </c>
      <c r="E92" t="s">
        <v>371</v>
      </c>
      <c r="F92" s="4">
        <f>HLOOKUP($E$4,'9.7 Syndicats Bilan'!$F$3:$AG$226,87,0)</f>
        <v>0</v>
      </c>
    </row>
    <row r="93" spans="3:6" x14ac:dyDescent="0.25">
      <c r="D93">
        <v>1444</v>
      </c>
      <c r="E93" t="s">
        <v>372</v>
      </c>
      <c r="F93" s="4">
        <f>HLOOKUP($E$4,'9.7 Syndicats Bilan'!$F$3:$AG$226,88,0)</f>
        <v>0</v>
      </c>
    </row>
    <row r="94" spans="3:6" x14ac:dyDescent="0.25">
      <c r="D94">
        <v>1445</v>
      </c>
      <c r="E94" t="s">
        <v>373</v>
      </c>
      <c r="F94" s="4">
        <f>HLOOKUP($E$4,'9.7 Syndicats Bilan'!$F$3:$AG$226,89,0)</f>
        <v>0</v>
      </c>
    </row>
    <row r="95" spans="3:6" x14ac:dyDescent="0.25">
      <c r="D95">
        <v>1446</v>
      </c>
      <c r="E95" t="s">
        <v>374</v>
      </c>
      <c r="F95" s="4">
        <f>HLOOKUP($E$4,'9.7 Syndicats Bilan'!$F$3:$AG$226,90,0)</f>
        <v>0</v>
      </c>
    </row>
    <row r="96" spans="3:6" x14ac:dyDescent="0.25">
      <c r="D96">
        <v>1447</v>
      </c>
      <c r="E96" t="s">
        <v>375</v>
      </c>
      <c r="F96" s="4">
        <f>HLOOKUP($E$4,'9.7 Syndicats Bilan'!$F$3:$AG$226,91,0)</f>
        <v>0</v>
      </c>
    </row>
    <row r="97" spans="3:6" x14ac:dyDescent="0.25">
      <c r="D97">
        <v>1448</v>
      </c>
      <c r="E97" t="s">
        <v>376</v>
      </c>
      <c r="F97" s="4">
        <f>HLOOKUP($E$4,'9.7 Syndicats Bilan'!$F$3:$AG$226,92,0)</f>
        <v>0</v>
      </c>
    </row>
    <row r="98" spans="3:6" x14ac:dyDescent="0.25">
      <c r="F98" s="4"/>
    </row>
    <row r="99" spans="3:6" x14ac:dyDescent="0.25">
      <c r="C99" s="69">
        <v>145</v>
      </c>
      <c r="D99" s="69"/>
      <c r="E99" s="69" t="s">
        <v>379</v>
      </c>
      <c r="F99" s="70">
        <f>HLOOKUP($E$4,'9.7 Syndicats Bilan'!$F$3:$AG$226,94,0)</f>
        <v>0</v>
      </c>
    </row>
    <row r="100" spans="3:6" x14ac:dyDescent="0.25">
      <c r="D100">
        <v>1450</v>
      </c>
      <c r="E100" t="s">
        <v>378</v>
      </c>
      <c r="F100" s="4">
        <f>HLOOKUP($E$4,'9.7 Syndicats Bilan'!$F$3:$AG$226,95,0)</f>
        <v>0</v>
      </c>
    </row>
    <row r="101" spans="3:6" x14ac:dyDescent="0.25">
      <c r="D101">
        <v>1451</v>
      </c>
      <c r="E101" t="s">
        <v>377</v>
      </c>
      <c r="F101" s="4">
        <f>HLOOKUP($E$4,'9.7 Syndicats Bilan'!$F$3:$AG$226,96,0)</f>
        <v>0</v>
      </c>
    </row>
    <row r="102" spans="3:6" x14ac:dyDescent="0.25">
      <c r="D102">
        <v>1452</v>
      </c>
      <c r="E102" t="s">
        <v>380</v>
      </c>
      <c r="F102" s="4">
        <f>HLOOKUP($E$4,'9.7 Syndicats Bilan'!$F$3:$AG$226,97,0)</f>
        <v>0</v>
      </c>
    </row>
    <row r="103" spans="3:6" x14ac:dyDescent="0.25">
      <c r="D103">
        <v>1453</v>
      </c>
      <c r="E103" t="s">
        <v>381</v>
      </c>
      <c r="F103" s="4">
        <f>HLOOKUP($E$4,'9.7 Syndicats Bilan'!$F$3:$AG$226,98,0)</f>
        <v>0</v>
      </c>
    </row>
    <row r="104" spans="3:6" x14ac:dyDescent="0.25">
      <c r="D104">
        <v>1454</v>
      </c>
      <c r="E104" t="s">
        <v>382</v>
      </c>
      <c r="F104" s="4">
        <f>HLOOKUP($E$4,'9.7 Syndicats Bilan'!$F$3:$AG$226,99,0)</f>
        <v>0</v>
      </c>
    </row>
    <row r="105" spans="3:6" x14ac:dyDescent="0.25">
      <c r="D105">
        <v>1455</v>
      </c>
      <c r="E105" t="s">
        <v>383</v>
      </c>
      <c r="F105" s="4">
        <f>HLOOKUP($E$4,'9.7 Syndicats Bilan'!$F$3:$AG$226,100,0)</f>
        <v>0</v>
      </c>
    </row>
    <row r="106" spans="3:6" x14ac:dyDescent="0.25">
      <c r="D106">
        <v>1456</v>
      </c>
      <c r="E106" t="s">
        <v>384</v>
      </c>
      <c r="F106" s="4">
        <f>HLOOKUP($E$4,'9.7 Syndicats Bilan'!$F$3:$AG$226,101,0)</f>
        <v>0</v>
      </c>
    </row>
    <row r="107" spans="3:6" x14ac:dyDescent="0.25">
      <c r="D107">
        <v>1457</v>
      </c>
      <c r="E107" t="s">
        <v>385</v>
      </c>
      <c r="F107" s="4">
        <f>HLOOKUP($E$4,'9.7 Syndicats Bilan'!$F$3:$AG$226,102,0)</f>
        <v>0</v>
      </c>
    </row>
    <row r="108" spans="3:6" x14ac:dyDescent="0.25">
      <c r="D108">
        <v>1458</v>
      </c>
      <c r="E108" t="s">
        <v>386</v>
      </c>
      <c r="F108" s="4">
        <f>HLOOKUP($E$4,'9.7 Syndicats Bilan'!$F$3:$AG$226,103,0)</f>
        <v>0</v>
      </c>
    </row>
    <row r="109" spans="3:6" x14ac:dyDescent="0.25">
      <c r="F109" s="4"/>
    </row>
    <row r="110" spans="3:6" x14ac:dyDescent="0.25">
      <c r="C110" s="69">
        <v>146</v>
      </c>
      <c r="D110" s="69"/>
      <c r="E110" s="69" t="s">
        <v>397</v>
      </c>
      <c r="F110" s="70">
        <f>HLOOKUP($E$4,'9.7 Syndicats Bilan'!$F$3:$AG$226,105,0)</f>
        <v>0</v>
      </c>
    </row>
    <row r="111" spans="3:6" x14ac:dyDescent="0.25">
      <c r="D111">
        <v>1460</v>
      </c>
      <c r="E111" t="s">
        <v>394</v>
      </c>
      <c r="F111" s="4">
        <f>HLOOKUP($E$4,'9.7 Syndicats Bilan'!$F$3:$AG$226,106,0)</f>
        <v>0</v>
      </c>
    </row>
    <row r="112" spans="3:6" x14ac:dyDescent="0.25">
      <c r="D112">
        <v>1461</v>
      </c>
      <c r="E112" t="s">
        <v>395</v>
      </c>
      <c r="F112" s="4">
        <f>HLOOKUP($E$4,'9.7 Syndicats Bilan'!$F$3:$AG$226,107,0)</f>
        <v>0</v>
      </c>
    </row>
    <row r="113" spans="1:6" x14ac:dyDescent="0.25">
      <c r="D113">
        <v>1462</v>
      </c>
      <c r="E113" t="s">
        <v>387</v>
      </c>
      <c r="F113" s="4">
        <f>HLOOKUP($E$4,'9.7 Syndicats Bilan'!$F$3:$AG$226,108,0)</f>
        <v>0</v>
      </c>
    </row>
    <row r="114" spans="1:6" x14ac:dyDescent="0.25">
      <c r="D114">
        <v>1463</v>
      </c>
      <c r="E114" t="s">
        <v>388</v>
      </c>
      <c r="F114" s="4">
        <f>HLOOKUP($E$4,'9.7 Syndicats Bilan'!$F$3:$AG$226,109,0)</f>
        <v>0</v>
      </c>
    </row>
    <row r="115" spans="1:6" x14ac:dyDescent="0.25">
      <c r="D115">
        <v>1464</v>
      </c>
      <c r="E115" t="s">
        <v>389</v>
      </c>
      <c r="F115" s="4">
        <f>HLOOKUP($E$4,'9.7 Syndicats Bilan'!$F$3:$AG$226,110,0)</f>
        <v>0</v>
      </c>
    </row>
    <row r="116" spans="1:6" x14ac:dyDescent="0.25">
      <c r="D116">
        <v>1465</v>
      </c>
      <c r="E116" t="s">
        <v>390</v>
      </c>
      <c r="F116" s="4">
        <f>HLOOKUP($E$4,'9.7 Syndicats Bilan'!$F$3:$AG$226,111,0)</f>
        <v>0</v>
      </c>
    </row>
    <row r="117" spans="1:6" x14ac:dyDescent="0.25">
      <c r="D117">
        <v>1466</v>
      </c>
      <c r="E117" t="s">
        <v>396</v>
      </c>
      <c r="F117" s="4">
        <f>HLOOKUP($E$4,'9.7 Syndicats Bilan'!$F$3:$AG$226,112,0)</f>
        <v>0</v>
      </c>
    </row>
    <row r="118" spans="1:6" x14ac:dyDescent="0.25">
      <c r="D118">
        <v>1467</v>
      </c>
      <c r="E118" t="s">
        <v>391</v>
      </c>
      <c r="F118" s="4">
        <f>HLOOKUP($E$4,'9.7 Syndicats Bilan'!$F$3:$AG$226,113,0)</f>
        <v>0</v>
      </c>
    </row>
    <row r="119" spans="1:6" x14ac:dyDescent="0.25">
      <c r="D119">
        <v>1468</v>
      </c>
      <c r="E119" t="s">
        <v>392</v>
      </c>
      <c r="F119" s="4">
        <f>HLOOKUP($E$4,'9.7 Syndicats Bilan'!$F$3:$AG$226,114,0)</f>
        <v>0</v>
      </c>
    </row>
    <row r="120" spans="1:6" x14ac:dyDescent="0.25">
      <c r="D120">
        <v>1469</v>
      </c>
      <c r="E120" t="s">
        <v>393</v>
      </c>
      <c r="F120" s="4">
        <f>HLOOKUP($E$4,'9.7 Syndicats Bilan'!$F$3:$AG$226,115,0)</f>
        <v>0</v>
      </c>
    </row>
    <row r="121" spans="1:6" x14ac:dyDescent="0.25">
      <c r="F121" s="4"/>
    </row>
    <row r="122" spans="1:6" x14ac:dyDescent="0.25">
      <c r="F122" s="4"/>
    </row>
    <row r="123" spans="1:6" ht="21" x14ac:dyDescent="0.35">
      <c r="A123" s="81">
        <v>2</v>
      </c>
      <c r="B123" s="81"/>
      <c r="C123" s="81"/>
      <c r="D123" s="81"/>
      <c r="E123" s="81" t="s">
        <v>251</v>
      </c>
      <c r="F123" s="177">
        <f>HLOOKUP($E$4,'9.7 Syndicats Bilan'!$F$3:$AG$226,118,0)</f>
        <v>14283261.68</v>
      </c>
    </row>
    <row r="124" spans="1:6" x14ac:dyDescent="0.25">
      <c r="A124" s="7"/>
      <c r="B124" s="85">
        <v>20</v>
      </c>
      <c r="C124" s="85"/>
      <c r="D124" s="85"/>
      <c r="E124" s="85" t="s">
        <v>252</v>
      </c>
      <c r="F124" s="86">
        <f>HLOOKUP($E$4,'9.7 Syndicats Bilan'!$F$3:$AG$226,119,0)</f>
        <v>243896.25</v>
      </c>
    </row>
    <row r="125" spans="1:6" x14ac:dyDescent="0.25">
      <c r="C125" s="83">
        <v>200</v>
      </c>
      <c r="D125" s="83"/>
      <c r="E125" s="83" t="s">
        <v>253</v>
      </c>
      <c r="F125" s="84">
        <f>HLOOKUP($E$4,'9.7 Syndicats Bilan'!$F$3:$AG$226,120,0)</f>
        <v>240460.95</v>
      </c>
    </row>
    <row r="126" spans="1:6" x14ac:dyDescent="0.25">
      <c r="D126">
        <v>2000</v>
      </c>
      <c r="E126" t="s">
        <v>398</v>
      </c>
      <c r="F126" s="4">
        <f>HLOOKUP($E$4,'9.7 Syndicats Bilan'!$F$3:$AG$226,121,0)</f>
        <v>240460.95</v>
      </c>
    </row>
    <row r="127" spans="1:6" x14ac:dyDescent="0.25">
      <c r="D127">
        <v>2001</v>
      </c>
      <c r="E127" t="s">
        <v>399</v>
      </c>
      <c r="F127" s="4">
        <f>HLOOKUP($E$4,'9.7 Syndicats Bilan'!$F$3:$AG$226,122,0)</f>
        <v>0</v>
      </c>
    </row>
    <row r="128" spans="1:6" x14ac:dyDescent="0.25">
      <c r="D128">
        <v>2002</v>
      </c>
      <c r="E128" t="s">
        <v>400</v>
      </c>
      <c r="F128" s="4">
        <f>HLOOKUP($E$4,'9.7 Syndicats Bilan'!$F$3:$AG$226,123,0)</f>
        <v>0</v>
      </c>
    </row>
    <row r="129" spans="3:6" x14ac:dyDescent="0.25">
      <c r="D129">
        <v>2003</v>
      </c>
      <c r="E129" t="s">
        <v>401</v>
      </c>
      <c r="F129" s="4">
        <f>HLOOKUP($E$4,'9.7 Syndicats Bilan'!$F$3:$AG$226,124,0)</f>
        <v>0</v>
      </c>
    </row>
    <row r="130" spans="3:6" x14ac:dyDescent="0.25">
      <c r="D130">
        <v>2004</v>
      </c>
      <c r="E130" t="s">
        <v>402</v>
      </c>
      <c r="F130" s="4">
        <f>HLOOKUP($E$4,'9.7 Syndicats Bilan'!$F$3:$AG$226,125,0)</f>
        <v>0</v>
      </c>
    </row>
    <row r="131" spans="3:6" x14ac:dyDescent="0.25">
      <c r="D131">
        <v>2005</v>
      </c>
      <c r="E131" t="s">
        <v>323</v>
      </c>
      <c r="F131" s="4">
        <f>HLOOKUP($E$4,'9.7 Syndicats Bilan'!$F$3:$AG$226,126,0)</f>
        <v>0</v>
      </c>
    </row>
    <row r="132" spans="3:6" x14ac:dyDescent="0.25">
      <c r="D132">
        <v>2006</v>
      </c>
      <c r="E132" t="s">
        <v>447</v>
      </c>
      <c r="F132" s="4">
        <f>HLOOKUP($E$4,'9.7 Syndicats Bilan'!$F$3:$AG$226,127,0)</f>
        <v>0</v>
      </c>
    </row>
    <row r="133" spans="3:6" x14ac:dyDescent="0.25">
      <c r="D133">
        <v>2009</v>
      </c>
      <c r="E133" t="s">
        <v>404</v>
      </c>
      <c r="F133" s="4">
        <f>HLOOKUP($E$4,'9.7 Syndicats Bilan'!$F$3:$AG$226,128,0)</f>
        <v>0</v>
      </c>
    </row>
    <row r="134" spans="3:6" x14ac:dyDescent="0.25">
      <c r="F134" s="4"/>
    </row>
    <row r="135" spans="3:6" x14ac:dyDescent="0.25">
      <c r="C135" s="83">
        <v>201</v>
      </c>
      <c r="D135" s="83"/>
      <c r="E135" s="83" t="s">
        <v>254</v>
      </c>
      <c r="F135" s="84">
        <f>HLOOKUP($E$4,'9.7 Syndicats Bilan'!$F$3:$AG$226,130,0)</f>
        <v>0</v>
      </c>
    </row>
    <row r="136" spans="3:6" x14ac:dyDescent="0.25">
      <c r="D136">
        <v>2010</v>
      </c>
      <c r="E136" t="s">
        <v>405</v>
      </c>
      <c r="F136" s="4">
        <f>HLOOKUP($E$4,'9.7 Syndicats Bilan'!$F$3:$AG$226,131,0)</f>
        <v>0</v>
      </c>
    </row>
    <row r="137" spans="3:6" x14ac:dyDescent="0.25">
      <c r="D137">
        <v>2011</v>
      </c>
      <c r="E137" t="s">
        <v>406</v>
      </c>
      <c r="F137" s="4">
        <f>HLOOKUP($E$4,'9.7 Syndicats Bilan'!$F$3:$AG$226,132,0)</f>
        <v>0</v>
      </c>
    </row>
    <row r="138" spans="3:6" x14ac:dyDescent="0.25">
      <c r="D138">
        <v>2012</v>
      </c>
      <c r="E138" t="s">
        <v>407</v>
      </c>
      <c r="F138" s="4">
        <f>HLOOKUP($E$4,'9.7 Syndicats Bilan'!$F$3:$AG$226,133,0)</f>
        <v>0</v>
      </c>
    </row>
    <row r="139" spans="3:6" x14ac:dyDescent="0.25">
      <c r="D139">
        <v>2013</v>
      </c>
      <c r="E139" t="s">
        <v>408</v>
      </c>
      <c r="F139" s="4">
        <f>HLOOKUP($E$4,'9.7 Syndicats Bilan'!$F$3:$AG$226,134,0)</f>
        <v>0</v>
      </c>
    </row>
    <row r="140" spans="3:6" x14ac:dyDescent="0.25">
      <c r="D140">
        <v>2014</v>
      </c>
      <c r="E140" t="s">
        <v>410</v>
      </c>
      <c r="F140" s="4">
        <f>HLOOKUP($E$4,'9.7 Syndicats Bilan'!$F$3:$AG$226,135,0)</f>
        <v>0</v>
      </c>
    </row>
    <row r="141" spans="3:6" x14ac:dyDescent="0.25">
      <c r="D141">
        <v>2015</v>
      </c>
      <c r="E141" t="s">
        <v>409</v>
      </c>
      <c r="F141" s="4">
        <f>HLOOKUP($E$4,'9.7 Syndicats Bilan'!$F$3:$AG$226,136,0)</f>
        <v>0</v>
      </c>
    </row>
    <row r="142" spans="3:6" x14ac:dyDescent="0.25">
      <c r="D142">
        <v>2016</v>
      </c>
      <c r="E142" t="s">
        <v>269</v>
      </c>
      <c r="F142" s="4">
        <f>HLOOKUP($E$4,'9.7 Syndicats Bilan'!$F$3:$AG$226,137,0)</f>
        <v>0</v>
      </c>
    </row>
    <row r="143" spans="3:6" x14ac:dyDescent="0.25">
      <c r="D143">
        <v>2019</v>
      </c>
      <c r="E143" t="s">
        <v>411</v>
      </c>
      <c r="F143" s="4">
        <f>HLOOKUP($E$4,'9.7 Syndicats Bilan'!$F$3:$AG$226,138,0)</f>
        <v>0</v>
      </c>
    </row>
    <row r="144" spans="3:6" x14ac:dyDescent="0.25">
      <c r="F144" s="4"/>
    </row>
    <row r="145" spans="3:6" x14ac:dyDescent="0.25">
      <c r="C145" s="83">
        <v>204</v>
      </c>
      <c r="D145" s="83"/>
      <c r="E145" s="83" t="s">
        <v>255</v>
      </c>
      <c r="F145" s="84">
        <f>HLOOKUP($E$4,'9.7 Syndicats Bilan'!$F$3:$AG$226,140,0)</f>
        <v>3435.3</v>
      </c>
    </row>
    <row r="146" spans="3:6" x14ac:dyDescent="0.25">
      <c r="D146">
        <v>2040</v>
      </c>
      <c r="E146" t="s">
        <v>61</v>
      </c>
      <c r="F146" s="4">
        <f>HLOOKUP($E$4,'9.7 Syndicats Bilan'!$F$3:$AG$226,141,0)</f>
        <v>0</v>
      </c>
    </row>
    <row r="147" spans="3:6" x14ac:dyDescent="0.25">
      <c r="D147">
        <v>2041</v>
      </c>
      <c r="E147" t="s">
        <v>277</v>
      </c>
      <c r="F147" s="4">
        <f>HLOOKUP($E$4,'9.7 Syndicats Bilan'!$F$3:$AG$226,142,0)</f>
        <v>0</v>
      </c>
    </row>
    <row r="148" spans="3:6" x14ac:dyDescent="0.25">
      <c r="D148">
        <v>2042</v>
      </c>
      <c r="E148" t="s">
        <v>331</v>
      </c>
      <c r="F148" s="4">
        <f>HLOOKUP($E$4,'9.7 Syndicats Bilan'!$F$3:$AG$226,143,0)</f>
        <v>0</v>
      </c>
    </row>
    <row r="149" spans="3:6" x14ac:dyDescent="0.25">
      <c r="D149">
        <v>2043</v>
      </c>
      <c r="E149" t="s">
        <v>332</v>
      </c>
      <c r="F149" s="4">
        <f>HLOOKUP($E$4,'9.7 Syndicats Bilan'!$F$3:$AG$226,144,0)</f>
        <v>0</v>
      </c>
    </row>
    <row r="150" spans="3:6" x14ac:dyDescent="0.25">
      <c r="D150">
        <v>2044</v>
      </c>
      <c r="E150" t="s">
        <v>412</v>
      </c>
      <c r="F150" s="4">
        <f>HLOOKUP($E$4,'9.7 Syndicats Bilan'!$F$3:$AG$226,145,0)</f>
        <v>0</v>
      </c>
    </row>
    <row r="151" spans="3:6" x14ac:dyDescent="0.25">
      <c r="D151">
        <v>2045</v>
      </c>
      <c r="E151" t="s">
        <v>334</v>
      </c>
      <c r="F151" s="4">
        <f>HLOOKUP($E$4,'9.7 Syndicats Bilan'!$F$3:$AG$226,146,0)</f>
        <v>3435.3</v>
      </c>
    </row>
    <row r="152" spans="3:6" x14ac:dyDescent="0.25">
      <c r="D152">
        <v>2046</v>
      </c>
      <c r="E152" t="s">
        <v>413</v>
      </c>
      <c r="F152" s="4">
        <f>HLOOKUP($E$4,'9.7 Syndicats Bilan'!$F$3:$AG$226,147,0)</f>
        <v>0</v>
      </c>
    </row>
    <row r="153" spans="3:6" x14ac:dyDescent="0.25">
      <c r="D153">
        <v>2049</v>
      </c>
      <c r="E153" t="s">
        <v>414</v>
      </c>
      <c r="F153" s="4">
        <f>HLOOKUP($E$4,'9.7 Syndicats Bilan'!$F$3:$AG$226,148,0)</f>
        <v>0</v>
      </c>
    </row>
    <row r="154" spans="3:6" x14ac:dyDescent="0.25">
      <c r="F154" s="4"/>
    </row>
    <row r="155" spans="3:6" x14ac:dyDescent="0.25">
      <c r="C155" s="83">
        <v>205</v>
      </c>
      <c r="D155" s="83"/>
      <c r="E155" s="83" t="s">
        <v>256</v>
      </c>
      <c r="F155" s="84">
        <f>HLOOKUP($E$4,'9.7 Syndicats Bilan'!$F$3:$AG$226,150,0)</f>
        <v>0</v>
      </c>
    </row>
    <row r="156" spans="3:6" x14ac:dyDescent="0.25">
      <c r="D156">
        <v>2050</v>
      </c>
      <c r="E156" t="s">
        <v>415</v>
      </c>
      <c r="F156" s="4">
        <f>HLOOKUP($E$4,'9.7 Syndicats Bilan'!$F$3:$AG$226,151,0)</f>
        <v>0</v>
      </c>
    </row>
    <row r="157" spans="3:6" x14ac:dyDescent="0.25">
      <c r="D157">
        <v>2051</v>
      </c>
      <c r="E157" t="s">
        <v>416</v>
      </c>
      <c r="F157" s="4">
        <f>HLOOKUP($E$4,'9.7 Syndicats Bilan'!$F$3:$AG$226,152,0)</f>
        <v>0</v>
      </c>
    </row>
    <row r="158" spans="3:6" x14ac:dyDescent="0.25">
      <c r="D158">
        <v>2052</v>
      </c>
      <c r="E158" t="s">
        <v>417</v>
      </c>
      <c r="F158" s="4">
        <f>HLOOKUP($E$4,'9.7 Syndicats Bilan'!$F$3:$AG$226,153,0)</f>
        <v>0</v>
      </c>
    </row>
    <row r="159" spans="3:6" x14ac:dyDescent="0.25">
      <c r="D159">
        <v>2053</v>
      </c>
      <c r="E159" t="s">
        <v>421</v>
      </c>
      <c r="F159" s="4">
        <f>HLOOKUP($E$4,'9.7 Syndicats Bilan'!$F$3:$AG$226,154,0)</f>
        <v>0</v>
      </c>
    </row>
    <row r="160" spans="3:6" x14ac:dyDescent="0.25">
      <c r="D160">
        <v>2054</v>
      </c>
      <c r="E160" t="s">
        <v>419</v>
      </c>
      <c r="F160" s="4">
        <f>HLOOKUP($E$4,'9.7 Syndicats Bilan'!$F$3:$AG$226,155,0)</f>
        <v>0</v>
      </c>
    </row>
    <row r="161" spans="3:6" x14ac:dyDescent="0.25">
      <c r="D161">
        <v>2055</v>
      </c>
      <c r="E161" t="s">
        <v>418</v>
      </c>
      <c r="F161" s="4">
        <f>HLOOKUP($E$4,'9.7 Syndicats Bilan'!$F$3:$AG$226,156,0)</f>
        <v>0</v>
      </c>
    </row>
    <row r="162" spans="3:6" x14ac:dyDescent="0.25">
      <c r="D162">
        <v>2056</v>
      </c>
      <c r="E162" t="s">
        <v>420</v>
      </c>
      <c r="F162" s="4">
        <f>HLOOKUP($E$4,'9.7 Syndicats Bilan'!$F$3:$AG$226,157,0)</f>
        <v>0</v>
      </c>
    </row>
    <row r="163" spans="3:6" x14ac:dyDescent="0.25">
      <c r="D163">
        <v>2057</v>
      </c>
      <c r="E163" t="s">
        <v>422</v>
      </c>
      <c r="F163" s="4">
        <f>HLOOKUP($E$4,'9.7 Syndicats Bilan'!$F$3:$AG$226,158,0)</f>
        <v>0</v>
      </c>
    </row>
    <row r="164" spans="3:6" x14ac:dyDescent="0.25">
      <c r="D164">
        <v>2058</v>
      </c>
      <c r="E164" t="s">
        <v>423</v>
      </c>
      <c r="F164" s="4">
        <f>HLOOKUP($E$4,'9.7 Syndicats Bilan'!$F$3:$AG$226,159,0)</f>
        <v>0</v>
      </c>
    </row>
    <row r="165" spans="3:6" x14ac:dyDescent="0.25">
      <c r="D165">
        <v>2059</v>
      </c>
      <c r="E165" t="s">
        <v>424</v>
      </c>
      <c r="F165" s="4">
        <f>HLOOKUP($E$4,'9.7 Syndicats Bilan'!$F$3:$AG$226,160,0)</f>
        <v>0</v>
      </c>
    </row>
    <row r="166" spans="3:6" x14ac:dyDescent="0.25">
      <c r="F166" s="4"/>
    </row>
    <row r="167" spans="3:6" x14ac:dyDescent="0.25">
      <c r="C167" s="83">
        <v>206</v>
      </c>
      <c r="D167" s="83"/>
      <c r="E167" s="83" t="s">
        <v>257</v>
      </c>
      <c r="F167" s="84">
        <f>HLOOKUP($E$4,'9.7 Syndicats Bilan'!$F$3:$AG$226,162,0)</f>
        <v>0</v>
      </c>
    </row>
    <row r="168" spans="3:6" x14ac:dyDescent="0.25">
      <c r="D168">
        <v>2060</v>
      </c>
      <c r="E168" t="s">
        <v>425</v>
      </c>
      <c r="F168" s="4">
        <f>HLOOKUP($E$4,'9.7 Syndicats Bilan'!$F$3:$AG$226,163,0)</f>
        <v>0</v>
      </c>
    </row>
    <row r="169" spans="3:6" x14ac:dyDescent="0.25">
      <c r="D169">
        <v>2062</v>
      </c>
      <c r="E169" t="s">
        <v>426</v>
      </c>
      <c r="F169" s="4">
        <f>HLOOKUP($E$4,'9.7 Syndicats Bilan'!$F$3:$AG$226,164,0)</f>
        <v>0</v>
      </c>
    </row>
    <row r="170" spans="3:6" x14ac:dyDescent="0.25">
      <c r="D170">
        <v>2063</v>
      </c>
      <c r="E170" t="s">
        <v>427</v>
      </c>
      <c r="F170" s="4">
        <f>HLOOKUP($E$4,'9.7 Syndicats Bilan'!$F$3:$AG$226,165,0)</f>
        <v>0</v>
      </c>
    </row>
    <row r="171" spans="3:6" x14ac:dyDescent="0.25">
      <c r="D171">
        <v>2064</v>
      </c>
      <c r="E171" t="s">
        <v>448</v>
      </c>
      <c r="F171" s="4">
        <f>HLOOKUP($E$4,'9.7 Syndicats Bilan'!$F$3:$AG$226,166,0)</f>
        <v>0</v>
      </c>
    </row>
    <row r="172" spans="3:6" x14ac:dyDescent="0.25">
      <c r="D172">
        <v>2067</v>
      </c>
      <c r="E172" t="s">
        <v>429</v>
      </c>
      <c r="F172" s="4">
        <f>HLOOKUP($E$4,'9.7 Syndicats Bilan'!$F$3:$AG$226,167,0)</f>
        <v>0</v>
      </c>
    </row>
    <row r="173" spans="3:6" x14ac:dyDescent="0.25">
      <c r="D173">
        <v>2069</v>
      </c>
      <c r="E173" t="s">
        <v>430</v>
      </c>
      <c r="F173" s="4">
        <f>HLOOKUP($E$4,'9.7 Syndicats Bilan'!$F$3:$AG$226,168,0)</f>
        <v>0</v>
      </c>
    </row>
    <row r="174" spans="3:6" x14ac:dyDescent="0.25">
      <c r="F174" s="4"/>
    </row>
    <row r="175" spans="3:6" x14ac:dyDescent="0.25">
      <c r="C175" s="83">
        <v>208</v>
      </c>
      <c r="D175" s="83"/>
      <c r="E175" s="83" t="s">
        <v>258</v>
      </c>
      <c r="F175" s="84">
        <f>HLOOKUP($E$4,'9.7 Syndicats Bilan'!$F$3:$AG$226,170,0)</f>
        <v>0</v>
      </c>
    </row>
    <row r="176" spans="3:6" x14ac:dyDescent="0.25">
      <c r="D176">
        <v>2081</v>
      </c>
      <c r="E176" t="s">
        <v>431</v>
      </c>
      <c r="F176" s="4">
        <f>HLOOKUP($E$4,'9.7 Syndicats Bilan'!$F$3:$AG$226,171,0)</f>
        <v>0</v>
      </c>
    </row>
    <row r="177" spans="2:6" x14ac:dyDescent="0.25">
      <c r="D177">
        <v>2082</v>
      </c>
      <c r="E177" t="s">
        <v>432</v>
      </c>
      <c r="F177" s="4">
        <f>HLOOKUP($E$4,'9.7 Syndicats Bilan'!$F$3:$AG$226,172,0)</f>
        <v>0</v>
      </c>
    </row>
    <row r="178" spans="2:6" x14ac:dyDescent="0.25">
      <c r="D178">
        <v>2083</v>
      </c>
      <c r="E178" t="s">
        <v>433</v>
      </c>
      <c r="F178" s="4">
        <f>HLOOKUP($E$4,'9.7 Syndicats Bilan'!$F$3:$AG$226,173,0)</f>
        <v>0</v>
      </c>
    </row>
    <row r="179" spans="2:6" x14ac:dyDescent="0.25">
      <c r="D179">
        <v>2084</v>
      </c>
      <c r="E179" t="s">
        <v>434</v>
      </c>
      <c r="F179" s="4">
        <f>HLOOKUP($E$4,'9.7 Syndicats Bilan'!$F$3:$AG$226,174,0)</f>
        <v>0</v>
      </c>
    </row>
    <row r="180" spans="2:6" x14ac:dyDescent="0.25">
      <c r="D180">
        <v>2085</v>
      </c>
      <c r="E180" t="s">
        <v>436</v>
      </c>
      <c r="F180" s="4">
        <f>HLOOKUP($E$4,'9.7 Syndicats Bilan'!$F$3:$AG$226,175,0)</f>
        <v>0</v>
      </c>
    </row>
    <row r="181" spans="2:6" x14ac:dyDescent="0.25">
      <c r="D181">
        <v>2086</v>
      </c>
      <c r="E181" t="s">
        <v>435</v>
      </c>
      <c r="F181" s="4">
        <f>HLOOKUP($E$4,'9.7 Syndicats Bilan'!$F$3:$AG$226,176,0)</f>
        <v>0</v>
      </c>
    </row>
    <row r="182" spans="2:6" x14ac:dyDescent="0.25">
      <c r="D182">
        <v>2087</v>
      </c>
      <c r="E182" t="s">
        <v>437</v>
      </c>
      <c r="F182" s="4">
        <f>HLOOKUP($E$4,'9.7 Syndicats Bilan'!$F$3:$AG$226,177,0)</f>
        <v>0</v>
      </c>
    </row>
    <row r="183" spans="2:6" x14ac:dyDescent="0.25">
      <c r="D183">
        <v>2088</v>
      </c>
      <c r="E183" t="s">
        <v>438</v>
      </c>
      <c r="F183" s="4">
        <f>HLOOKUP($E$4,'9.7 Syndicats Bilan'!$F$3:$AG$226,178,0)</f>
        <v>0</v>
      </c>
    </row>
    <row r="184" spans="2:6" x14ac:dyDescent="0.25">
      <c r="D184">
        <v>2089</v>
      </c>
      <c r="E184" t="s">
        <v>439</v>
      </c>
      <c r="F184" s="4">
        <f>HLOOKUP($E$4,'9.7 Syndicats Bilan'!$F$3:$AG$226,179,0)</f>
        <v>0</v>
      </c>
    </row>
    <row r="185" spans="2:6" x14ac:dyDescent="0.25">
      <c r="F185" s="4"/>
    </row>
    <row r="186" spans="2:6" x14ac:dyDescent="0.25">
      <c r="C186" s="83">
        <v>209</v>
      </c>
      <c r="D186" s="83"/>
      <c r="E186" s="83" t="s">
        <v>259</v>
      </c>
      <c r="F186" s="84">
        <f>HLOOKUP($E$4,'9.7 Syndicats Bilan'!$F$3:$AG$226,181,0)</f>
        <v>0</v>
      </c>
    </row>
    <row r="187" spans="2:6" x14ac:dyDescent="0.25">
      <c r="D187">
        <v>2090</v>
      </c>
      <c r="E187" t="s">
        <v>259</v>
      </c>
      <c r="F187" s="4">
        <f>HLOOKUP($E$4,'9.7 Syndicats Bilan'!$F$3:$AG$226,182,0)</f>
        <v>0</v>
      </c>
    </row>
    <row r="188" spans="2:6" x14ac:dyDescent="0.25">
      <c r="D188">
        <v>2091</v>
      </c>
      <c r="E188" t="s">
        <v>440</v>
      </c>
      <c r="F188" s="4">
        <f>HLOOKUP($E$4,'9.7 Syndicats Bilan'!$F$3:$AG$226,183,0)</f>
        <v>0</v>
      </c>
    </row>
    <row r="189" spans="2:6" x14ac:dyDescent="0.25">
      <c r="D189">
        <v>2092</v>
      </c>
      <c r="E189" t="s">
        <v>441</v>
      </c>
      <c r="F189" s="4">
        <f>HLOOKUP($E$4,'9.7 Syndicats Bilan'!$F$3:$AG$226,184,0)</f>
        <v>0</v>
      </c>
    </row>
    <row r="190" spans="2:6" x14ac:dyDescent="0.25">
      <c r="D190">
        <v>2093</v>
      </c>
      <c r="E190" t="s">
        <v>442</v>
      </c>
      <c r="F190" s="4">
        <f>HLOOKUP($E$4,'9.7 Syndicats Bilan'!$F$3:$AG$226,185,0)</f>
        <v>0</v>
      </c>
    </row>
    <row r="191" spans="2:6" x14ac:dyDescent="0.25">
      <c r="F191" s="4"/>
    </row>
    <row r="192" spans="2:6" x14ac:dyDescent="0.25">
      <c r="B192" s="85">
        <v>29</v>
      </c>
      <c r="C192" s="85"/>
      <c r="D192" s="85"/>
      <c r="E192" s="85" t="s">
        <v>260</v>
      </c>
      <c r="F192" s="86">
        <f>HLOOKUP($E$4,'9.7 Syndicats Bilan'!$F$3:$AG$226,187,0)</f>
        <v>14039365.43</v>
      </c>
    </row>
    <row r="193" spans="3:6" x14ac:dyDescent="0.25">
      <c r="C193" s="83">
        <v>290</v>
      </c>
      <c r="D193" s="83"/>
      <c r="E193" s="83" t="s">
        <v>261</v>
      </c>
      <c r="F193" s="84">
        <f>HLOOKUP($E$4,'9.7 Syndicats Bilan'!$F$3:$AG$226,188,0)</f>
        <v>0</v>
      </c>
    </row>
    <row r="194" spans="3:6" x14ac:dyDescent="0.25">
      <c r="D194">
        <v>2900</v>
      </c>
      <c r="E194" t="s">
        <v>261</v>
      </c>
      <c r="F194" s="4">
        <f>HLOOKUP($E$4,'9.7 Syndicats Bilan'!$F$3:$AG$226,189,0)</f>
        <v>0</v>
      </c>
    </row>
    <row r="195" spans="3:6" x14ac:dyDescent="0.25">
      <c r="F195" s="4"/>
    </row>
    <row r="196" spans="3:6" x14ac:dyDescent="0.25">
      <c r="C196" s="83">
        <v>291</v>
      </c>
      <c r="D196" s="83"/>
      <c r="E196" s="83" t="s">
        <v>262</v>
      </c>
      <c r="F196" s="84">
        <f>HLOOKUP($E$4,'9.7 Syndicats Bilan'!$F$3:$AG$226,191,0)</f>
        <v>0</v>
      </c>
    </row>
    <row r="197" spans="3:6" x14ac:dyDescent="0.25">
      <c r="D197">
        <v>2910</v>
      </c>
      <c r="E197" t="s">
        <v>262</v>
      </c>
      <c r="F197" s="4">
        <f>HLOOKUP($E$4,'9.7 Syndicats Bilan'!$F$3:$AG$226,192,0)</f>
        <v>0</v>
      </c>
    </row>
    <row r="198" spans="3:6" x14ac:dyDescent="0.25">
      <c r="D198">
        <v>2911</v>
      </c>
      <c r="E198" t="s">
        <v>443</v>
      </c>
      <c r="F198" s="4">
        <f>HLOOKUP($E$4,'9.7 Syndicats Bilan'!$F$3:$AG$226,193,0)</f>
        <v>0</v>
      </c>
    </row>
    <row r="199" spans="3:6" x14ac:dyDescent="0.25">
      <c r="F199" s="4"/>
    </row>
    <row r="200" spans="3:6" x14ac:dyDescent="0.25">
      <c r="C200" s="83">
        <v>292</v>
      </c>
      <c r="D200" s="83"/>
      <c r="E200" s="83" t="s">
        <v>263</v>
      </c>
      <c r="F200" s="84">
        <f>HLOOKUP($E$4,'9.7 Syndicats Bilan'!$F$3:$AG$226,195,0)</f>
        <v>0</v>
      </c>
    </row>
    <row r="201" spans="3:6" x14ac:dyDescent="0.25">
      <c r="D201">
        <v>2920</v>
      </c>
      <c r="E201" t="s">
        <v>263</v>
      </c>
      <c r="F201" s="4">
        <f>HLOOKUP($E$4,'9.7 Syndicats Bilan'!$F$3:$AG$226,196,0)</f>
        <v>0</v>
      </c>
    </row>
    <row r="202" spans="3:6" x14ac:dyDescent="0.25">
      <c r="F202" s="4"/>
    </row>
    <row r="203" spans="3:6" x14ac:dyDescent="0.25">
      <c r="C203" s="83">
        <v>293</v>
      </c>
      <c r="D203" s="83"/>
      <c r="E203" s="83" t="s">
        <v>264</v>
      </c>
      <c r="F203" s="84">
        <f>HLOOKUP($E$4,'9.7 Syndicats Bilan'!$F$3:$AG$226,198,0)</f>
        <v>13048948.65</v>
      </c>
    </row>
    <row r="204" spans="3:6" x14ac:dyDescent="0.25">
      <c r="D204">
        <v>2930</v>
      </c>
      <c r="E204" t="s">
        <v>264</v>
      </c>
      <c r="F204" s="4">
        <f>HLOOKUP($E$4,'9.7 Syndicats Bilan'!$F$3:$AG$226,199,0)</f>
        <v>13048948.65</v>
      </c>
    </row>
    <row r="205" spans="3:6" x14ac:dyDescent="0.25">
      <c r="F205" s="4"/>
    </row>
    <row r="206" spans="3:6" x14ac:dyDescent="0.25">
      <c r="C206" s="83">
        <v>294</v>
      </c>
      <c r="D206" s="83"/>
      <c r="E206" s="83" t="s">
        <v>265</v>
      </c>
      <c r="F206" s="84">
        <f>HLOOKUP($E$4,'9.7 Syndicats Bilan'!$F$3:$AG$226,201,0)</f>
        <v>141113.85999999999</v>
      </c>
    </row>
    <row r="207" spans="3:6" x14ac:dyDescent="0.25">
      <c r="D207">
        <v>2940</v>
      </c>
      <c r="E207" t="s">
        <v>265</v>
      </c>
      <c r="F207" s="4">
        <f>HLOOKUP($E$4,'9.7 Syndicats Bilan'!$F$3:$AG$226,202,0)</f>
        <v>141113.85999999999</v>
      </c>
    </row>
    <row r="208" spans="3:6" x14ac:dyDescent="0.25">
      <c r="F208" s="4"/>
    </row>
    <row r="209" spans="3:6" x14ac:dyDescent="0.25">
      <c r="C209" s="83">
        <v>295</v>
      </c>
      <c r="D209" s="83"/>
      <c r="E209" s="83" t="s">
        <v>266</v>
      </c>
      <c r="F209" s="84">
        <f>HLOOKUP($E$4,'9.7 Syndicats Bilan'!$F$3:$AG$226,204,0)</f>
        <v>0</v>
      </c>
    </row>
    <row r="210" spans="3:6" x14ac:dyDescent="0.25">
      <c r="D210">
        <v>2950</v>
      </c>
      <c r="E210" t="s">
        <v>266</v>
      </c>
      <c r="F210" s="4">
        <f>HLOOKUP($E$4,'9.7 Syndicats Bilan'!$F$3:$AG$226,205,0)</f>
        <v>0</v>
      </c>
    </row>
    <row r="211" spans="3:6" x14ac:dyDescent="0.25">
      <c r="F211" s="4"/>
    </row>
    <row r="212" spans="3:6" x14ac:dyDescent="0.25">
      <c r="C212" s="83">
        <v>296</v>
      </c>
      <c r="D212" s="83"/>
      <c r="E212" s="83" t="s">
        <v>267</v>
      </c>
      <c r="F212" s="84">
        <f>HLOOKUP($E$4,'9.7 Syndicats Bilan'!$F$3:$AG$226,207,0)</f>
        <v>0</v>
      </c>
    </row>
    <row r="213" spans="3:6" x14ac:dyDescent="0.25">
      <c r="D213">
        <v>2960</v>
      </c>
      <c r="E213" t="s">
        <v>267</v>
      </c>
      <c r="F213" s="4">
        <f>HLOOKUP($E$4,'9.7 Syndicats Bilan'!$F$3:$AG$226,208,0)</f>
        <v>0</v>
      </c>
    </row>
    <row r="214" spans="3:6" x14ac:dyDescent="0.25">
      <c r="F214" s="4"/>
    </row>
    <row r="215" spans="3:6" x14ac:dyDescent="0.25">
      <c r="C215" s="83">
        <v>298</v>
      </c>
      <c r="D215" s="83"/>
      <c r="E215" s="83" t="s">
        <v>268</v>
      </c>
      <c r="F215" s="84">
        <f>HLOOKUP($E$4,'9.7 Syndicats Bilan'!$F$3:$AG$226,210,0)</f>
        <v>0</v>
      </c>
    </row>
    <row r="216" spans="3:6" x14ac:dyDescent="0.25">
      <c r="D216">
        <v>2980</v>
      </c>
      <c r="E216" t="s">
        <v>268</v>
      </c>
      <c r="F216" s="4">
        <f>HLOOKUP($E$4,'9.7 Syndicats Bilan'!$F$3:$AG$226,211,0)</f>
        <v>0</v>
      </c>
    </row>
    <row r="217" spans="3:6" x14ac:dyDescent="0.25">
      <c r="F217" s="4"/>
    </row>
    <row r="218" spans="3:6" x14ac:dyDescent="0.25">
      <c r="C218" s="83">
        <v>299</v>
      </c>
      <c r="D218" s="83"/>
      <c r="E218" s="83" t="s">
        <v>444</v>
      </c>
      <c r="F218" s="84">
        <f>HLOOKUP($E$4,'9.7 Syndicats Bilan'!$F$3:$AG$226,213,0)</f>
        <v>849302.91999999993</v>
      </c>
    </row>
    <row r="219" spans="3:6" x14ac:dyDescent="0.25">
      <c r="D219">
        <v>2990</v>
      </c>
      <c r="E219" t="s">
        <v>444</v>
      </c>
      <c r="F219" s="4">
        <f>HLOOKUP($E$4,'9.7 Syndicats Bilan'!$F$3:$AG$226,214,0)</f>
        <v>144824.95999999999</v>
      </c>
    </row>
    <row r="220" spans="3:6" x14ac:dyDescent="0.25">
      <c r="D220">
        <v>2999</v>
      </c>
      <c r="E220" t="s">
        <v>582</v>
      </c>
      <c r="F220" s="4">
        <f>HLOOKUP($E$4,'9.7 Syndicats Bilan'!$F$3:$AG$226,215,0)</f>
        <v>704477.96</v>
      </c>
    </row>
    <row r="221" spans="3:6" x14ac:dyDescent="0.25">
      <c r="F221" s="4"/>
    </row>
    <row r="222" spans="3:6" x14ac:dyDescent="0.25">
      <c r="C222" s="160"/>
      <c r="D222" s="160"/>
      <c r="E222" s="160" t="s">
        <v>587</v>
      </c>
      <c r="F222" s="178">
        <f>HLOOKUP($E$4,'9.7 Syndicats Bilan'!$F$3:$AG$226,217,0)</f>
        <v>0</v>
      </c>
    </row>
    <row r="223" spans="3:6" x14ac:dyDescent="0.25">
      <c r="D223">
        <v>290</v>
      </c>
      <c r="E223" t="s">
        <v>586</v>
      </c>
      <c r="F223" s="4">
        <f>HLOOKUP($E$4,'9.7 Syndicats Bilan'!$F$3:$AG$226,218,0)</f>
        <v>144824.95999999999</v>
      </c>
    </row>
    <row r="224" spans="3:6" x14ac:dyDescent="0.25">
      <c r="D224">
        <v>2990</v>
      </c>
      <c r="E224" t="s">
        <v>590</v>
      </c>
      <c r="F224" s="4">
        <f>HLOOKUP($E$4,'9.7 Syndicats Bilan'!$F$3:$AG$226,219,0)</f>
        <v>144824.95999999999</v>
      </c>
    </row>
    <row r="225" spans="5:6" x14ac:dyDescent="0.25">
      <c r="F225" s="4"/>
    </row>
    <row r="226" spans="5:6" x14ac:dyDescent="0.25">
      <c r="E226" s="7" t="s">
        <v>589</v>
      </c>
      <c r="F226" s="4">
        <f>HLOOKUP($E$4,'9.7 Syndicats Bilan'!$F$3:$AG$226,221,0)</f>
        <v>289649.91999999998</v>
      </c>
    </row>
    <row r="227" spans="5:6" x14ac:dyDescent="0.25">
      <c r="F227" s="4"/>
    </row>
    <row r="228" spans="5:6" x14ac:dyDescent="0.25">
      <c r="E228" s="60" t="s">
        <v>588</v>
      </c>
      <c r="F228" s="4">
        <f>HLOOKUP($E$4,'9.7 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'9.7 Syndicats Bilan'!F5</f>
        <v>198502.62000000002</v>
      </c>
      <c r="D7" s="101">
        <f>'9.7 Syndicats Bilan'!G5</f>
        <v>3568204.0599999996</v>
      </c>
      <c r="E7" s="101">
        <f>'9.7 Syndicats Bilan'!H5</f>
        <v>218365.75</v>
      </c>
      <c r="F7" s="101">
        <f>'9.7 Syndicats Bilan'!I5</f>
        <v>7706245.8399999999</v>
      </c>
      <c r="G7" s="101">
        <f>'9.7 Syndicats Bilan'!J5</f>
        <v>933919.45000000007</v>
      </c>
      <c r="H7" s="101">
        <f>'9.7 Syndicats Bilan'!K5</f>
        <v>286341.36</v>
      </c>
      <c r="I7" s="101">
        <f>'9.7 Syndicats Bilan'!L5</f>
        <v>429594.01</v>
      </c>
      <c r="J7" s="101">
        <f>'9.7 Syndicats Bilan'!M5</f>
        <v>1390414.1199999999</v>
      </c>
      <c r="K7" s="101">
        <f>'9.7 Syndicats Bilan'!N5</f>
        <v>98110.300000000017</v>
      </c>
      <c r="L7" s="101">
        <f>'9.7 Syndicats Bilan'!O5</f>
        <v>149290.84</v>
      </c>
      <c r="M7" s="101">
        <f>'9.7 Syndicats Bilan'!P5</f>
        <v>8995733.7799999993</v>
      </c>
      <c r="N7" s="101">
        <f>'9.7 Syndicats Bilan'!Q5</f>
        <v>40453.33</v>
      </c>
      <c r="O7" s="101">
        <f>'9.7 Syndicats Bilan'!R5</f>
        <v>6637.19</v>
      </c>
      <c r="P7" s="101">
        <f>'9.7 Syndicats Bilan'!S5</f>
        <v>43617.55</v>
      </c>
      <c r="Q7" s="101">
        <f>'9.7 Syndicats Bilan'!T5</f>
        <v>5669.75</v>
      </c>
      <c r="R7" s="101">
        <f>'9.7 Syndicats Bilan'!U5</f>
        <v>0</v>
      </c>
      <c r="S7" s="101">
        <f>'9.7 Syndicats Bilan'!V5</f>
        <v>264343.56</v>
      </c>
      <c r="T7" s="101">
        <f>'9.7 Syndicats Bilan'!W5</f>
        <v>16672.11</v>
      </c>
      <c r="U7" s="101">
        <f>'9.7 Syndicats Bilan'!X5</f>
        <v>33899.65</v>
      </c>
      <c r="V7" s="101">
        <f>'9.7 Syndicats Bilan'!Y5</f>
        <v>2858861.27</v>
      </c>
      <c r="W7" s="101">
        <f>'9.7 Syndicats Bilan'!Z5</f>
        <v>2710551.7699999996</v>
      </c>
      <c r="X7" s="101">
        <f>'9.7 Syndicats Bilan'!AA5</f>
        <v>336129.13</v>
      </c>
      <c r="Y7" s="101">
        <f>'9.7 Syndicats Bilan'!AB5</f>
        <v>1791515.2</v>
      </c>
      <c r="Z7" s="101">
        <f>'9.7 Syndicats Bilan'!AC5</f>
        <v>0</v>
      </c>
      <c r="AA7" s="101">
        <f>'9.7 Syndicats Bilan'!AD5</f>
        <v>150475.90000000002</v>
      </c>
      <c r="AB7" s="101">
        <f>'9.7 Syndicats Bilan'!AE5</f>
        <v>590901.02</v>
      </c>
      <c r="AC7" s="101">
        <f>'9.7 Syndicats Bilan'!AF5</f>
        <v>751902.5</v>
      </c>
      <c r="AD7" s="101">
        <f>SUM(C7:AC7)</f>
        <v>33576352.059999987</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'9.7 Syndicats Bilan'!F121</f>
        <v>1462265.3599999999</v>
      </c>
      <c r="D9" s="101">
        <f>'9.7 Syndicats Bilan'!G121</f>
        <v>741238.91999999993</v>
      </c>
      <c r="E9" s="101">
        <f>'9.7 Syndicats Bilan'!H121</f>
        <v>23955.599999999999</v>
      </c>
      <c r="F9" s="101">
        <f>'9.7 Syndicats Bilan'!I121</f>
        <v>2167339.5</v>
      </c>
      <c r="G9" s="101">
        <f>'9.7 Syndicats Bilan'!J121</f>
        <v>933919.45</v>
      </c>
      <c r="H9" s="101">
        <f>'9.7 Syndicats Bilan'!K121</f>
        <v>2645497.8600000003</v>
      </c>
      <c r="I9" s="101">
        <f>'9.7 Syndicats Bilan'!L121</f>
        <v>925444.01</v>
      </c>
      <c r="J9" s="101">
        <f>'9.7 Syndicats Bilan'!M121</f>
        <v>4636516.55</v>
      </c>
      <c r="K9" s="101">
        <f>'9.7 Syndicats Bilan'!N121</f>
        <v>98110.3</v>
      </c>
      <c r="L9" s="101">
        <f>'9.7 Syndicats Bilan'!O121</f>
        <v>21949.600000000002</v>
      </c>
      <c r="M9" s="101">
        <f>'9.7 Syndicats Bilan'!P121</f>
        <v>243896.25</v>
      </c>
      <c r="N9" s="101">
        <f>'9.7 Syndicats Bilan'!Q121</f>
        <v>112.5</v>
      </c>
      <c r="O9" s="101">
        <f>'9.7 Syndicats Bilan'!R121</f>
        <v>28866.6</v>
      </c>
      <c r="P9" s="101">
        <f>'9.7 Syndicats Bilan'!S121</f>
        <v>-527.45000000000005</v>
      </c>
      <c r="Q9" s="101">
        <f>'9.7 Syndicats Bilan'!T121</f>
        <v>0</v>
      </c>
      <c r="R9" s="101">
        <f>'9.7 Syndicats Bilan'!U121</f>
        <v>0</v>
      </c>
      <c r="S9" s="101">
        <f>'9.7 Syndicats Bilan'!V121</f>
        <v>1741610.74</v>
      </c>
      <c r="T9" s="101">
        <f>'9.7 Syndicats Bilan'!W121</f>
        <v>1389527.95</v>
      </c>
      <c r="U9" s="101">
        <f>'9.7 Syndicats Bilan'!X121</f>
        <v>7234.75</v>
      </c>
      <c r="V9" s="101">
        <f>'9.7 Syndicats Bilan'!Y121</f>
        <v>456154.74</v>
      </c>
      <c r="W9" s="101">
        <f>'9.7 Syndicats Bilan'!Z121</f>
        <v>23135009.859999999</v>
      </c>
      <c r="X9" s="101">
        <f>'9.7 Syndicats Bilan'!AA121</f>
        <v>1535460.6</v>
      </c>
      <c r="Y9" s="101">
        <f>'9.7 Syndicats Bilan'!AB121</f>
        <v>1660293.72</v>
      </c>
      <c r="Z9" s="101">
        <f>'9.7 Syndicats Bilan'!AC121</f>
        <v>0</v>
      </c>
      <c r="AA9" s="101">
        <f>'9.7 Syndicats Bilan'!AD121</f>
        <v>150475.9</v>
      </c>
      <c r="AB9" s="101">
        <f>'9.7 Syndicats Bilan'!AE121</f>
        <v>8282724.4900000002</v>
      </c>
      <c r="AC9" s="101">
        <f>'9.7 Syndicats Bilan'!AF121</f>
        <v>289792.8</v>
      </c>
      <c r="AD9" s="101">
        <f>SUM(C9:AC9)</f>
        <v>52576870.600000001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'9.7 Syndicats Bilan'!F122</f>
        <v>81088.509999999995</v>
      </c>
      <c r="D11" s="101">
        <f>'9.7 Syndicats Bilan'!G122</f>
        <v>643656.85</v>
      </c>
      <c r="E11" s="101">
        <f>'9.7 Syndicats Bilan'!H122</f>
        <v>0</v>
      </c>
      <c r="F11" s="101">
        <f>'9.7 Syndicats Bilan'!I122</f>
        <v>2167339.5</v>
      </c>
      <c r="G11" s="101">
        <f>'9.7 Syndicats Bilan'!J122</f>
        <v>11119.45</v>
      </c>
      <c r="H11" s="101">
        <f>'9.7 Syndicats Bilan'!K122</f>
        <v>128850.46</v>
      </c>
      <c r="I11" s="101">
        <f>'9.7 Syndicats Bilan'!L122</f>
        <v>409825.01</v>
      </c>
      <c r="J11" s="101">
        <f>'9.7 Syndicats Bilan'!M122</f>
        <v>78717.89</v>
      </c>
      <c r="K11" s="101">
        <f>'9.7 Syndicats Bilan'!N122</f>
        <v>13878.95</v>
      </c>
      <c r="L11" s="101">
        <f>'9.7 Syndicats Bilan'!O122</f>
        <v>0</v>
      </c>
      <c r="M11" s="101">
        <f>'9.7 Syndicats Bilan'!P122</f>
        <v>240460.95</v>
      </c>
      <c r="N11" s="101">
        <f>'9.7 Syndicats Bilan'!Q122</f>
        <v>112.5</v>
      </c>
      <c r="O11" s="101">
        <f>'9.7 Syndicats Bilan'!R122</f>
        <v>0</v>
      </c>
      <c r="P11" s="101">
        <f>'9.7 Syndicats Bilan'!S122</f>
        <v>0</v>
      </c>
      <c r="Q11" s="101">
        <f>'9.7 Syndicats Bilan'!T122</f>
        <v>0</v>
      </c>
      <c r="R11" s="101">
        <f>'9.7 Syndicats Bilan'!U122</f>
        <v>0</v>
      </c>
      <c r="S11" s="101">
        <f>'9.7 Syndicats Bilan'!V122</f>
        <v>15810.74</v>
      </c>
      <c r="T11" s="101">
        <f>'9.7 Syndicats Bilan'!W122</f>
        <v>0</v>
      </c>
      <c r="U11" s="101">
        <f>'9.7 Syndicats Bilan'!X122</f>
        <v>7234.75</v>
      </c>
      <c r="V11" s="101">
        <f>'9.7 Syndicats Bilan'!Y122</f>
        <v>51842.19</v>
      </c>
      <c r="W11" s="101">
        <f>'9.7 Syndicats Bilan'!Z122</f>
        <v>1160284.69</v>
      </c>
      <c r="X11" s="101">
        <f>'9.7 Syndicats Bilan'!AA122</f>
        <v>0</v>
      </c>
      <c r="Y11" s="101">
        <f>'9.7 Syndicats Bilan'!AB122</f>
        <v>118497.67</v>
      </c>
      <c r="Z11" s="101">
        <f>'9.7 Syndicats Bilan'!AC122</f>
        <v>0</v>
      </c>
      <c r="AA11" s="101">
        <f>'9.7 Syndicats Bilan'!AD122</f>
        <v>0</v>
      </c>
      <c r="AB11" s="101">
        <f>'9.7 Syndicats Bilan'!AE122</f>
        <v>230085.49</v>
      </c>
      <c r="AC11" s="101">
        <f>'9.7 Syndicats Bilan'!AF122</f>
        <v>0</v>
      </c>
      <c r="AD11" s="101">
        <f>SUM(C11:AC11)</f>
        <v>5358805.6000000015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'9.7 Syndicats Bilan'!F132</f>
        <v>0</v>
      </c>
      <c r="D13" s="101">
        <f>'9.7 Syndicats Bilan'!G132</f>
        <v>0</v>
      </c>
      <c r="E13" s="101">
        <f>'9.7 Syndicats Bilan'!H132</f>
        <v>0</v>
      </c>
      <c r="F13" s="101">
        <f>'9.7 Syndicats Bilan'!I132</f>
        <v>0</v>
      </c>
      <c r="G13" s="101">
        <f>'9.7 Syndicats Bilan'!J132</f>
        <v>0</v>
      </c>
      <c r="H13" s="101">
        <f>'9.7 Syndicats Bilan'!K132</f>
        <v>317920</v>
      </c>
      <c r="I13" s="101">
        <f>'9.7 Syndicats Bilan'!L132</f>
        <v>0</v>
      </c>
      <c r="J13" s="101">
        <f>'9.7 Syndicats Bilan'!M132</f>
        <v>923798.66</v>
      </c>
      <c r="K13" s="101">
        <f>'9.7 Syndicats Bilan'!N132</f>
        <v>0</v>
      </c>
      <c r="L13" s="101">
        <f>'9.7 Syndicats Bilan'!O132</f>
        <v>0</v>
      </c>
      <c r="M13" s="101">
        <f>'9.7 Syndicats Bilan'!P132</f>
        <v>0</v>
      </c>
      <c r="N13" s="101">
        <f>'9.7 Syndicats Bilan'!Q132</f>
        <v>0</v>
      </c>
      <c r="O13" s="101">
        <f>'9.7 Syndicats Bilan'!R132</f>
        <v>0</v>
      </c>
      <c r="P13" s="101">
        <f>'9.7 Syndicats Bilan'!S132</f>
        <v>0</v>
      </c>
      <c r="Q13" s="101">
        <f>'9.7 Syndicats Bilan'!T132</f>
        <v>0</v>
      </c>
      <c r="R13" s="101">
        <f>'9.7 Syndicats Bilan'!U132</f>
        <v>0</v>
      </c>
      <c r="S13" s="101">
        <f>'9.7 Syndicats Bilan'!V132</f>
        <v>0</v>
      </c>
      <c r="T13" s="101">
        <f>'9.7 Syndicats Bilan'!W132</f>
        <v>889527.95</v>
      </c>
      <c r="U13" s="101">
        <f>'9.7 Syndicats Bilan'!X132</f>
        <v>0</v>
      </c>
      <c r="V13" s="101">
        <f>'9.7 Syndicats Bilan'!Y132</f>
        <v>105040</v>
      </c>
      <c r="W13" s="101">
        <f>'9.7 Syndicats Bilan'!Z132</f>
        <v>8113844.4199999999</v>
      </c>
      <c r="X13" s="101">
        <f>'9.7 Syndicats Bilan'!AA132</f>
        <v>0</v>
      </c>
      <c r="Y13" s="101">
        <f>'9.7 Syndicats Bilan'!AB132</f>
        <v>132500</v>
      </c>
      <c r="Z13" s="101">
        <f>'9.7 Syndicats Bilan'!AC132</f>
        <v>0</v>
      </c>
      <c r="AA13" s="101">
        <f>'9.7 Syndicats Bilan'!AD132</f>
        <v>0</v>
      </c>
      <c r="AB13" s="101">
        <f>'9.7 Syndicats Bilan'!AE132</f>
        <v>450000</v>
      </c>
      <c r="AC13" s="101">
        <f>'9.7 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'9.7 Syndicats Bilan'!F164</f>
        <v>1306100</v>
      </c>
      <c r="D15" s="101">
        <f>'9.7 Syndicats Bilan'!G164</f>
        <v>0</v>
      </c>
      <c r="E15" s="101">
        <f>'9.7 Syndicats Bilan'!H164</f>
        <v>20300</v>
      </c>
      <c r="F15" s="101">
        <f>'9.7 Syndicats Bilan'!I164</f>
        <v>0</v>
      </c>
      <c r="G15" s="101">
        <f>'9.7 Syndicats Bilan'!J164</f>
        <v>922800</v>
      </c>
      <c r="H15" s="101">
        <f>'9.7 Syndicats Bilan'!K164</f>
        <v>2171450.2000000002</v>
      </c>
      <c r="I15" s="101">
        <f>'9.7 Syndicats Bilan'!L164</f>
        <v>500000</v>
      </c>
      <c r="J15" s="101">
        <f>'9.7 Syndicats Bilan'!M164</f>
        <v>3634000</v>
      </c>
      <c r="K15" s="101">
        <f>'9.7 Syndicats Bilan'!N164</f>
        <v>0</v>
      </c>
      <c r="L15" s="101">
        <f>'9.7 Syndicats Bilan'!O164</f>
        <v>0</v>
      </c>
      <c r="M15" s="101">
        <f>'9.7 Syndicats Bilan'!P164</f>
        <v>0</v>
      </c>
      <c r="N15" s="101">
        <f>'9.7 Syndicats Bilan'!Q164</f>
        <v>0</v>
      </c>
      <c r="O15" s="101">
        <f>'9.7 Syndicats Bilan'!R164</f>
        <v>24800</v>
      </c>
      <c r="P15" s="101">
        <f>'9.7 Syndicats Bilan'!S164</f>
        <v>0</v>
      </c>
      <c r="Q15" s="101">
        <f>'9.7 Syndicats Bilan'!T164</f>
        <v>0</v>
      </c>
      <c r="R15" s="101">
        <f>'9.7 Syndicats Bilan'!U164</f>
        <v>0</v>
      </c>
      <c r="S15" s="101">
        <f>'9.7 Syndicats Bilan'!V164</f>
        <v>1725000</v>
      </c>
      <c r="T15" s="101">
        <f>'9.7 Syndicats Bilan'!W164</f>
        <v>500000</v>
      </c>
      <c r="U15" s="101">
        <f>'9.7 Syndicats Bilan'!X164</f>
        <v>0</v>
      </c>
      <c r="V15" s="101">
        <f>'9.7 Syndicats Bilan'!Y164</f>
        <v>275799.32</v>
      </c>
      <c r="W15" s="101">
        <f>'9.7 Syndicats Bilan'!Z164</f>
        <v>13618600</v>
      </c>
      <c r="X15" s="101">
        <f>'9.7 Syndicats Bilan'!AA164</f>
        <v>1390300</v>
      </c>
      <c r="Y15" s="101">
        <f>'9.7 Syndicats Bilan'!AB164</f>
        <v>1378500</v>
      </c>
      <c r="Z15" s="101">
        <f>'9.7 Syndicats Bilan'!AC164</f>
        <v>0</v>
      </c>
      <c r="AA15" s="101">
        <f>'9.7 Syndicats Bilan'!AD164</f>
        <v>0</v>
      </c>
      <c r="AB15" s="101">
        <f>'9.7 Syndicats Bilan'!AE164</f>
        <v>7600000</v>
      </c>
      <c r="AC15" s="101">
        <f>'9.7 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'9.7 Syndicats Bilan'!F139</f>
        <v>0</v>
      </c>
      <c r="D17" s="101">
        <f>'9.7 Syndicats Bilan'!G139</f>
        <v>0</v>
      </c>
      <c r="E17" s="101">
        <f>'9.7 Syndicats Bilan'!H139</f>
        <v>0</v>
      </c>
      <c r="F17" s="101">
        <f>'9.7 Syndicats Bilan'!I139</f>
        <v>0</v>
      </c>
      <c r="G17" s="101">
        <f>'9.7 Syndicats Bilan'!J139</f>
        <v>0</v>
      </c>
      <c r="H17" s="101">
        <f>'9.7 Syndicats Bilan'!K139</f>
        <v>0</v>
      </c>
      <c r="I17" s="101">
        <f>'9.7 Syndicats Bilan'!L139</f>
        <v>0</v>
      </c>
      <c r="J17" s="101">
        <f>'9.7 Syndicats Bilan'!M139</f>
        <v>0</v>
      </c>
      <c r="K17" s="101">
        <f>'9.7 Syndicats Bilan'!N139</f>
        <v>0</v>
      </c>
      <c r="L17" s="101">
        <f>'9.7 Syndicats Bilan'!O139</f>
        <v>0</v>
      </c>
      <c r="M17" s="101">
        <f>'9.7 Syndicats Bilan'!P139</f>
        <v>0</v>
      </c>
      <c r="N17" s="101">
        <f>'9.7 Syndicats Bilan'!Q139</f>
        <v>0</v>
      </c>
      <c r="O17" s="101">
        <f>'9.7 Syndicats Bilan'!R139</f>
        <v>0</v>
      </c>
      <c r="P17" s="101">
        <f>'9.7 Syndicats Bilan'!S139</f>
        <v>0</v>
      </c>
      <c r="Q17" s="101">
        <f>'9.7 Syndicats Bilan'!T139</f>
        <v>0</v>
      </c>
      <c r="R17" s="101">
        <f>'9.7 Syndicats Bilan'!U139</f>
        <v>0</v>
      </c>
      <c r="S17" s="101">
        <f>'9.7 Syndicats Bilan'!V139</f>
        <v>0</v>
      </c>
      <c r="T17" s="101">
        <f>'9.7 Syndicats Bilan'!W139</f>
        <v>0</v>
      </c>
      <c r="U17" s="101">
        <f>'9.7 Syndicats Bilan'!X139</f>
        <v>0</v>
      </c>
      <c r="V17" s="101">
        <f>'9.7 Syndicats Bilan'!Y139</f>
        <v>0</v>
      </c>
      <c r="W17" s="101">
        <f>'9.7 Syndicats Bilan'!Z139</f>
        <v>0</v>
      </c>
      <c r="X17" s="101">
        <f>'9.7 Syndicats Bilan'!AA139</f>
        <v>0</v>
      </c>
      <c r="Y17" s="101">
        <f>'9.7 Syndicats Bilan'!AB139</f>
        <v>0</v>
      </c>
      <c r="Z17" s="101">
        <f>'9.7 Syndicats Bilan'!AC139</f>
        <v>0</v>
      </c>
      <c r="AA17" s="101">
        <f>'9.7 Syndicats Bilan'!AD139</f>
        <v>0</v>
      </c>
      <c r="AB17" s="101">
        <f>'9.7 Syndicats Bilan'!AE139</f>
        <v>0</v>
      </c>
      <c r="AC17" s="101">
        <f>'9.7 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112.5</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51359086.149999999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9" sqref="B9"/>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s="60" t="s">
        <v>828</v>
      </c>
    </row>
    <row r="4" spans="1:3" ht="15" customHeight="1" thickBot="1" x14ac:dyDescent="0.45">
      <c r="A4" s="42"/>
      <c r="B4" s="179" t="s">
        <v>811</v>
      </c>
    </row>
    <row r="5" spans="1:3" ht="15" customHeight="1" x14ac:dyDescent="0.25">
      <c r="C5" s="65"/>
    </row>
    <row r="6" spans="1:3" ht="15" customHeight="1" x14ac:dyDescent="0.25">
      <c r="C6" s="182" t="s">
        <v>202</v>
      </c>
    </row>
    <row r="7" spans="1:3" x14ac:dyDescent="0.25">
      <c r="A7" s="67">
        <v>10</v>
      </c>
      <c r="B7" s="67" t="s">
        <v>240</v>
      </c>
      <c r="C7" s="4">
        <f>HLOOKUP($B$4,'9.9 Syndicats endettement'!C6:AD23,2,0)</f>
        <v>40453.33</v>
      </c>
    </row>
    <row r="8" spans="1:3" x14ac:dyDescent="0.25">
      <c r="A8" s="67"/>
      <c r="B8" s="67"/>
      <c r="C8" s="4"/>
    </row>
    <row r="9" spans="1:3" x14ac:dyDescent="0.25">
      <c r="A9" s="67">
        <v>20</v>
      </c>
      <c r="B9" s="67" t="s">
        <v>252</v>
      </c>
      <c r="C9" s="4">
        <f>HLOOKUP($B$4,'9.9 Syndicats endettement'!$C$6:$AD$20,4,0)</f>
        <v>112.5</v>
      </c>
    </row>
    <row r="10" spans="1:3" x14ac:dyDescent="0.25">
      <c r="A10" s="67"/>
      <c r="B10" s="67"/>
      <c r="C10" s="4"/>
    </row>
    <row r="11" spans="1:3" x14ac:dyDescent="0.25">
      <c r="A11" s="67">
        <v>200</v>
      </c>
      <c r="B11" s="67" t="s">
        <v>451</v>
      </c>
      <c r="C11" s="4">
        <f>HLOOKUP($B$4,'9.9 Syndicats endettement'!$C$6:$AD$20,6,0)</f>
        <v>112.5</v>
      </c>
    </row>
    <row r="12" spans="1:3" x14ac:dyDescent="0.25">
      <c r="A12" s="67"/>
      <c r="B12" s="67"/>
      <c r="C12" s="4"/>
    </row>
    <row r="13" spans="1:3" x14ac:dyDescent="0.25">
      <c r="A13" s="67">
        <v>201</v>
      </c>
      <c r="B13" s="67" t="s">
        <v>254</v>
      </c>
      <c r="C13" s="4">
        <f>HLOOKUP($B$4,'9.9 Syndicats endettement'!$C$6:$AD$20,8,0)</f>
        <v>0</v>
      </c>
    </row>
    <row r="14" spans="1:3" x14ac:dyDescent="0.25">
      <c r="A14" s="67"/>
      <c r="B14" s="67"/>
      <c r="C14" s="4"/>
    </row>
    <row r="15" spans="1:3" x14ac:dyDescent="0.25">
      <c r="A15" s="67">
        <v>206</v>
      </c>
      <c r="B15" s="67" t="s">
        <v>257</v>
      </c>
      <c r="C15" s="4">
        <f>HLOOKUP($B$4,'9.9 Syndicats endettement'!$C$6:$AD$20,10,0)</f>
        <v>0</v>
      </c>
    </row>
    <row r="16" spans="1:3" x14ac:dyDescent="0.25">
      <c r="A16" s="67"/>
      <c r="B16" s="67"/>
      <c r="C16" s="4"/>
    </row>
    <row r="17" spans="1:3" x14ac:dyDescent="0.25">
      <c r="A17" s="67">
        <v>2016</v>
      </c>
      <c r="B17" s="67" t="s">
        <v>269</v>
      </c>
      <c r="C17" s="4">
        <f>HLOOKUP($B$4,'9.9 Syndicats endettement'!$C$6:$AD$20,12,0)</f>
        <v>0</v>
      </c>
    </row>
    <row r="18" spans="1:3" x14ac:dyDescent="0.25">
      <c r="A18" s="67"/>
      <c r="B18" s="67"/>
      <c r="C18" s="4"/>
    </row>
    <row r="19" spans="1:3" x14ac:dyDescent="0.25">
      <c r="A19" s="67"/>
      <c r="B19" s="67"/>
      <c r="C19" s="4"/>
    </row>
    <row r="20" spans="1:3" x14ac:dyDescent="0.25">
      <c r="A20" s="67"/>
      <c r="B20" s="99" t="s">
        <v>567</v>
      </c>
      <c r="C20" s="100">
        <f>HLOOKUP($B$4,'9.9 Syndicats endettement'!$C$6:$AD$20,15,0)</f>
        <v>112.5</v>
      </c>
    </row>
    <row r="21" spans="1:3" x14ac:dyDescent="0.25">
      <c r="B21" s="99" t="s">
        <v>498</v>
      </c>
      <c r="C21" s="100">
        <f>C20-C7</f>
        <v>-40340.83</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'9.7 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8"/>
  <sheetViews>
    <sheetView workbookViewId="0">
      <pane xSplit="4" ySplit="3" topLeftCell="Z4" activePane="bottomRight" state="frozen"/>
      <selection pane="topRight" activeCell="E1" sqref="E1"/>
      <selection pane="bottomLeft" activeCell="A4" sqref="A4"/>
      <selection pane="bottomRight" activeCell="H7" sqref="H7"/>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3" spans="3:61" x14ac:dyDescent="0.25">
      <c r="D163" s="7" t="s">
        <v>453</v>
      </c>
    </row>
    <row r="164" spans="3:6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x14ac:dyDescent="0.25">
      <c r="M177" s="4"/>
    </row>
    <row r="178" spans="4:6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8.1 Bourgeoisies Comptes 2021</vt:lpstr>
      <vt:lpstr>8.2 Comptes par Bourgeoisie</vt:lpstr>
      <vt:lpstr>8.5 Bourgeoisie vue d'ensemble</vt:lpstr>
      <vt:lpstr>8.6 Vue par Bourgeoisie</vt:lpstr>
      <vt:lpstr>8.3 Bourgeoisie 3 niveaux</vt:lpstr>
      <vt:lpstr>8.4 3 niveaux par bourgeoisie</vt:lpstr>
      <vt:lpstr>8.7 Autofinancement</vt:lpstr>
      <vt:lpstr>8.8 par Bourgeoisie</vt:lpstr>
      <vt:lpstr>8.9 Bourgeoisie bilan</vt:lpstr>
      <vt:lpstr>8.10 Bilan par bourgeoisie</vt:lpstr>
      <vt:lpstr>8.11 Bourgeoisie endettement</vt:lpstr>
      <vt:lpstr>8.12Endettement par bourgeoisie</vt:lpstr>
      <vt:lpstr>8.13 Bourgeoisie investissement</vt:lpstr>
      <vt:lpstr>8.14 par bourgeoisie</vt:lpstr>
      <vt:lpstr>9.1 Syndicats comptes 2021</vt:lpstr>
      <vt:lpstr>9.2 Comptes 2021 par Syndicats</vt:lpstr>
      <vt:lpstr>9.5 Syndicats vue d'ensemble</vt:lpstr>
      <vt:lpstr>9.6 Vue d'ensemble par syndicat</vt:lpstr>
      <vt:lpstr>9.3 Syndicats à 3 niveaux</vt:lpstr>
      <vt:lpstr>9.4 3 niveaux par syndicat</vt:lpstr>
      <vt:lpstr>9.7 Syndicats Bilan</vt:lpstr>
      <vt:lpstr>9.8 Bilan par Syndicats</vt:lpstr>
      <vt:lpstr>9.9 Syndicats endettement</vt:lpstr>
      <vt:lpstr>9.10 Endettement par syndicat</vt:lpstr>
      <vt:lpstr>'4.7 Autofinancement'!Zone_d_impression</vt:lpstr>
      <vt:lpstr>'8.8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2023-06-06T07:59:22Z</cp:lastPrinted>
  <dcterms:created xsi:type="dcterms:W3CDTF">2015-10-26T07:38:03Z</dcterms:created>
  <dcterms:modified xsi:type="dcterms:W3CDTF">2023-06-06T08:59:19Z</dcterms:modified>
</cp:coreProperties>
</file>