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8" activeTab="38"/>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<sst xmlns="http://schemas.openxmlformats.org/spreadsheetml/2006/main" count="5456" uniqueCount="864">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</sst>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tabSelected="1" workbookViewId="0">
      <selection activeCell="G13" sqref="G1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56</v>
      </c>
    </row>
    <row r="7" spans="1:5" x14ac:dyDescent="0.25">
      <c r="E7" s="65" t="s">
        <v>202</v>
      </c>
    </row>
    <row r="8" spans="1:5" ht="21" x14ac:dyDescent="0.35">
      <c r="A8" s="92">
        <v>3</v>
      </c>
      <c r="B8" s="92"/>
      <c r="C8" s="92"/>
      <c r="D8" s="92" t="s">
        <v>60</v>
      </c>
      <c r="E8" s="171">
        <f>HLOOKUP($D$5,'8.1 Bourgeoisies Comptes 2021'!$E$3:$R$165,2,0)</f>
        <v>864003.27</v>
      </c>
    </row>
    <row r="9" spans="1:5" x14ac:dyDescent="0.25">
      <c r="A9" s="94"/>
      <c r="B9" s="94">
        <v>30</v>
      </c>
      <c r="C9" s="94"/>
      <c r="D9" s="94" t="s">
        <v>61</v>
      </c>
      <c r="E9" s="95">
        <f>HLOOKUP($D$5,'8.1 Bourgeoisies Comptes 2021'!$E$3:$R$165,3,0)</f>
        <v>196954.45</v>
      </c>
    </row>
    <row r="10" spans="1:5" x14ac:dyDescent="0.25">
      <c r="C10">
        <v>300</v>
      </c>
      <c r="D10" t="s">
        <v>80</v>
      </c>
      <c r="E10" s="89">
        <f>HLOOKUP($D$5,'8.1 Bourgeoisies Comptes 2021'!$E$3:$R$165,4,0)</f>
        <v>27583.8</v>
      </c>
    </row>
    <row r="11" spans="1:5" x14ac:dyDescent="0.25">
      <c r="C11">
        <v>301</v>
      </c>
      <c r="D11" t="s">
        <v>81</v>
      </c>
      <c r="E11" s="89">
        <f>HLOOKUP($D$5,'8.1 Bourgeoisies Comptes 2021'!$E$3:$R$165,5,0)</f>
        <v>145332.95000000001</v>
      </c>
    </row>
    <row r="12" spans="1:5" x14ac:dyDescent="0.25">
      <c r="C12">
        <v>302</v>
      </c>
      <c r="D12" t="s">
        <v>82</v>
      </c>
      <c r="E12" s="89">
        <f>HLOOKUP($D$5,'8.1 Bourgeoisies Comptes 2021'!$E$3:$R$165,6,0)</f>
        <v>0</v>
      </c>
    </row>
    <row r="13" spans="1:5" x14ac:dyDescent="0.25">
      <c r="C13">
        <v>303</v>
      </c>
      <c r="D13" t="s">
        <v>83</v>
      </c>
      <c r="E13" s="89">
        <f>HLOOKUP($D$5,'8.1 Bourgeoisies Comptes 2021'!$E$3:$R$165,7,0)</f>
        <v>1281.25</v>
      </c>
    </row>
    <row r="14" spans="1:5" x14ac:dyDescent="0.25">
      <c r="C14">
        <v>304</v>
      </c>
      <c r="D14" t="s">
        <v>583</v>
      </c>
      <c r="E14" s="89">
        <f>HLOOKUP($D$5,'8.1 Bourgeoisies Comptes 2021'!$E$3:$R$165,8,0)</f>
        <v>0</v>
      </c>
    </row>
    <row r="15" spans="1:5" x14ac:dyDescent="0.25">
      <c r="C15">
        <v>305</v>
      </c>
      <c r="D15" t="s">
        <v>84</v>
      </c>
      <c r="E15" s="89">
        <f>HLOOKUP($D$5,'8.1 Bourgeoisies Comptes 2021'!$E$3:$R$165,9,0)</f>
        <v>16339.2</v>
      </c>
    </row>
    <row r="16" spans="1:5" x14ac:dyDescent="0.25">
      <c r="C16">
        <v>306</v>
      </c>
      <c r="D16" t="s">
        <v>85</v>
      </c>
      <c r="E16" s="89">
        <f>HLOOKUP($D$5,'8.1 Bourgeoisies Comptes 2021'!$E$3:$R$165,10,0)</f>
        <v>0</v>
      </c>
    </row>
    <row r="17" spans="2:5" x14ac:dyDescent="0.25">
      <c r="C17">
        <v>309</v>
      </c>
      <c r="D17" t="s">
        <v>86</v>
      </c>
      <c r="E17" s="89">
        <f>HLOOKUP($D$5,'8.1 Bourgeoisies Comptes 2021'!$E$3:$R$165,11,0)</f>
        <v>6417.25</v>
      </c>
    </row>
    <row r="18" spans="2:5" x14ac:dyDescent="0.25">
      <c r="E18" s="4"/>
    </row>
    <row r="19" spans="2:5" x14ac:dyDescent="0.25">
      <c r="B19" s="94">
        <v>31</v>
      </c>
      <c r="C19" s="94"/>
      <c r="D19" s="94" t="s">
        <v>87</v>
      </c>
      <c r="E19" s="95">
        <f>SUM(E20:E29)</f>
        <v>276396.94</v>
      </c>
    </row>
    <row r="20" spans="2:5" x14ac:dyDescent="0.25">
      <c r="C20">
        <v>310</v>
      </c>
      <c r="D20" t="s">
        <v>88</v>
      </c>
      <c r="E20" s="89">
        <f>HLOOKUP($D$5,'8.1 Bourgeoisies Comptes 2021'!$E$3:$R$165,14,0)</f>
        <v>37014.35</v>
      </c>
    </row>
    <row r="21" spans="2:5" x14ac:dyDescent="0.25">
      <c r="C21">
        <v>311</v>
      </c>
      <c r="D21" t="s">
        <v>452</v>
      </c>
      <c r="E21" s="89">
        <f>HLOOKUP($D$5,'8.1 Bourgeoisies Comptes 2021'!$E$3:$R$165,15,0)</f>
        <v>3423</v>
      </c>
    </row>
    <row r="22" spans="2:5" x14ac:dyDescent="0.25">
      <c r="C22">
        <v>312</v>
      </c>
      <c r="D22" t="s">
        <v>90</v>
      </c>
      <c r="E22" s="89">
        <f>HLOOKUP($D$5,'8.1 Bourgeoisies Comptes 2021'!$E$3:$R$165,16,0)</f>
        <v>13048.95</v>
      </c>
    </row>
    <row r="23" spans="2:5" x14ac:dyDescent="0.25">
      <c r="C23">
        <v>313</v>
      </c>
      <c r="D23" t="s">
        <v>91</v>
      </c>
      <c r="E23" s="89">
        <f>HLOOKUP($D$5,'8.1 Bourgeoisies Comptes 2021'!$E$3:$R$165,17,0)</f>
        <v>195902.24</v>
      </c>
    </row>
    <row r="24" spans="2:5" x14ac:dyDescent="0.25">
      <c r="C24">
        <v>314</v>
      </c>
      <c r="D24" t="s">
        <v>92</v>
      </c>
      <c r="E24" s="89">
        <f>HLOOKUP($D$5,'8.1 Bourgeoisies Comptes 2021'!$E$3:$R$165,18,0)</f>
        <v>4252</v>
      </c>
    </row>
    <row r="25" spans="2:5" x14ac:dyDescent="0.25">
      <c r="C25">
        <v>315</v>
      </c>
      <c r="D25" t="s">
        <v>93</v>
      </c>
      <c r="E25" s="89">
        <f>HLOOKUP($D$5,'8.1 Bourgeoisies Comptes 2021'!$E$3:$R$165,19,0)</f>
        <v>15557</v>
      </c>
    </row>
    <row r="26" spans="2:5" x14ac:dyDescent="0.25">
      <c r="C26">
        <v>316</v>
      </c>
      <c r="D26" t="s">
        <v>94</v>
      </c>
      <c r="E26" s="89">
        <f>HLOOKUP($D$5,'8.1 Bourgeoisies Comptes 2021'!$E$3:$R$165,20,0)</f>
        <v>2023.45</v>
      </c>
    </row>
    <row r="27" spans="2:5" x14ac:dyDescent="0.25">
      <c r="C27">
        <v>317</v>
      </c>
      <c r="D27" t="s">
        <v>95</v>
      </c>
      <c r="E27" s="89">
        <f>HLOOKUP($D$5,'8.1 Bourgeoisies Comptes 2021'!$E$3:$R$165,21,0)</f>
        <v>4935.95</v>
      </c>
    </row>
    <row r="28" spans="2:5" x14ac:dyDescent="0.25">
      <c r="C28">
        <v>318</v>
      </c>
      <c r="D28" t="s">
        <v>96</v>
      </c>
      <c r="E28" s="89">
        <f>HLOOKUP($D$5,'8.1 Bourgeoisies Comptes 2021'!$E$3:$R$165,22,0)</f>
        <v>240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65732.7</v>
      </c>
    </row>
    <row r="32" spans="2:5" x14ac:dyDescent="0.25">
      <c r="C32">
        <v>330</v>
      </c>
      <c r="D32" t="s">
        <v>100</v>
      </c>
      <c r="E32" s="89">
        <f>HLOOKUP($D$5,'8.1 Bourgeoisies Comptes 2021'!$E$3:$R$165,26,0)</f>
        <v>65732.7</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97326.98</v>
      </c>
    </row>
    <row r="36" spans="2:5" x14ac:dyDescent="0.25">
      <c r="C36">
        <v>340</v>
      </c>
      <c r="D36" t="s">
        <v>102</v>
      </c>
      <c r="E36" s="89">
        <f>HLOOKUP($D$5,'8.1 Bourgeoisies Comptes 2021'!$E$3:$R$165,30,0)</f>
        <v>28720.799999999999</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60159.45</v>
      </c>
    </row>
    <row r="40" spans="2:5" x14ac:dyDescent="0.25">
      <c r="C40">
        <v>344</v>
      </c>
      <c r="D40" t="s">
        <v>106</v>
      </c>
      <c r="E40" s="89">
        <f>HLOOKUP($D$5,'8.1 Bourgeoisies Comptes 2021'!$E$3:$R$165,34,0)</f>
        <v>3255.58</v>
      </c>
    </row>
    <row r="41" spans="2:5" x14ac:dyDescent="0.25">
      <c r="C41">
        <v>349</v>
      </c>
      <c r="D41" t="s">
        <v>107</v>
      </c>
      <c r="E41" s="89">
        <f>HLOOKUP($D$5,'8.1 Bourgeoisies Comptes 2021'!$E$3:$R$165,35,0)</f>
        <v>5191.1499999999996</v>
      </c>
    </row>
    <row r="42" spans="2:5" x14ac:dyDescent="0.25">
      <c r="E42" s="4"/>
    </row>
    <row r="43" spans="2:5" x14ac:dyDescent="0.25">
      <c r="B43" s="94">
        <v>35</v>
      </c>
      <c r="C43" s="94"/>
      <c r="D43" s="94" t="s">
        <v>109</v>
      </c>
      <c r="E43" s="95">
        <f>SUM(E44:E45)</f>
        <v>157</v>
      </c>
    </row>
    <row r="44" spans="2:5" x14ac:dyDescent="0.25">
      <c r="C44">
        <v>350</v>
      </c>
      <c r="D44" t="s">
        <v>109</v>
      </c>
      <c r="E44" s="89">
        <f>HLOOKUP($D$5,'8.1 Bourgeoisies Comptes 2021'!$E$3:$R$165,38,0)</f>
        <v>0</v>
      </c>
    </row>
    <row r="45" spans="2:5" x14ac:dyDescent="0.25">
      <c r="C45">
        <v>351</v>
      </c>
      <c r="D45" t="s">
        <v>108</v>
      </c>
      <c r="E45" s="89">
        <f>HLOOKUP($D$5,'8.1 Bourgeoisies Comptes 2021'!$E$3:$R$165,39,0)</f>
        <v>157</v>
      </c>
    </row>
    <row r="46" spans="2:5" x14ac:dyDescent="0.25">
      <c r="E46" s="4"/>
    </row>
    <row r="47" spans="2:5" x14ac:dyDescent="0.25">
      <c r="B47" s="94">
        <v>36</v>
      </c>
      <c r="C47" s="94"/>
      <c r="D47" s="94" t="s">
        <v>110</v>
      </c>
      <c r="E47" s="95">
        <f>SUM(E48:E55)</f>
        <v>53156.9</v>
      </c>
    </row>
    <row r="48" spans="2:5" x14ac:dyDescent="0.25">
      <c r="C48">
        <v>360</v>
      </c>
      <c r="D48" t="s">
        <v>111</v>
      </c>
      <c r="E48" s="89">
        <f>HLOOKUP($D$5,'8.1 Bourgeoisies Comptes 2021'!$E$3:$R$165,42,0)</f>
        <v>4177.1000000000004</v>
      </c>
    </row>
    <row r="49" spans="2:5" x14ac:dyDescent="0.25">
      <c r="C49">
        <v>361</v>
      </c>
      <c r="D49" t="s">
        <v>112</v>
      </c>
      <c r="E49" s="89">
        <f>HLOOKUP($D$5,'8.1 Bourgeoisies Comptes 2021'!$E$3:$R$165,43,0)</f>
        <v>2008.55</v>
      </c>
    </row>
    <row r="50" spans="2:5" x14ac:dyDescent="0.25">
      <c r="C50">
        <v>362</v>
      </c>
      <c r="D50" t="s">
        <v>113</v>
      </c>
      <c r="E50" s="89">
        <f>HLOOKUP($D$5,'8.1 Bourgeoisies Comptes 2021'!$E$3:$R$165,44,0)</f>
        <v>0</v>
      </c>
    </row>
    <row r="51" spans="2:5" x14ac:dyDescent="0.25">
      <c r="C51">
        <v>363</v>
      </c>
      <c r="D51" t="s">
        <v>114</v>
      </c>
      <c r="E51" s="89">
        <f>HLOOKUP($D$5,'8.1 Bourgeoisies Comptes 2021'!$E$3:$R$165,45,0)</f>
        <v>46971.25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71878</v>
      </c>
    </row>
    <row r="58" spans="2:5" x14ac:dyDescent="0.25">
      <c r="C58">
        <v>370</v>
      </c>
      <c r="D58" t="s">
        <v>120</v>
      </c>
      <c r="E58" s="89">
        <f>HLOOKUP($D$5,'8.1 Bourgeoisies Comptes 2021'!$E$3:$R$165,52,0)</f>
        <v>71878</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102400.29999999999</v>
      </c>
    </row>
    <row r="69" spans="1:5" x14ac:dyDescent="0.25">
      <c r="C69">
        <v>390</v>
      </c>
      <c r="D69" t="s">
        <v>129</v>
      </c>
      <c r="E69" s="89">
        <f>HLOOKUP($D$5,'8.1 Bourgeoisies Comptes 2021'!$E$3:$R$165,63,0)</f>
        <v>17765.150000000001</v>
      </c>
    </row>
    <row r="70" spans="1:5" x14ac:dyDescent="0.25">
      <c r="C70">
        <v>391</v>
      </c>
      <c r="D70" t="s">
        <v>130</v>
      </c>
      <c r="E70" s="89">
        <f>HLOOKUP($D$5,'8.1 Bourgeoisies Comptes 2021'!$E$3:$R$165,64,0)</f>
        <v>84547.15</v>
      </c>
    </row>
    <row r="71" spans="1:5" x14ac:dyDescent="0.25">
      <c r="C71">
        <v>392</v>
      </c>
      <c r="D71" t="s">
        <v>131</v>
      </c>
      <c r="E71" s="89">
        <f>HLOOKUP($D$5,'8.1 Bourgeoisies Comptes 2021'!$E$3:$R$165,65,0)</f>
        <v>0</v>
      </c>
    </row>
    <row r="72" spans="1:5" x14ac:dyDescent="0.25">
      <c r="C72">
        <v>393</v>
      </c>
      <c r="D72" t="s">
        <v>132</v>
      </c>
      <c r="E72" s="89">
        <f>HLOOKUP($D$5,'8.1 Bourgeoisies Comptes 2021'!$E$3:$R$165,66,0)</f>
        <v>88</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980426.82</v>
      </c>
    </row>
    <row r="80" spans="1:5" x14ac:dyDescent="0.25">
      <c r="A80" s="7"/>
      <c r="B80" s="96">
        <v>40</v>
      </c>
      <c r="C80" s="96"/>
      <c r="D80" s="96" t="s">
        <v>79</v>
      </c>
      <c r="E80" s="91">
        <f>SUM(E81:E84)</f>
        <v>2700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2700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6077</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6077</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288363.19</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30390</v>
      </c>
    </row>
    <row r="98" spans="2:5" x14ac:dyDescent="0.25">
      <c r="C98">
        <v>425</v>
      </c>
      <c r="D98" t="s">
        <v>153</v>
      </c>
      <c r="E98" s="89">
        <f>HLOOKUP($D$5,'8.1 Bourgeoisies Comptes 2021'!$E$3:$R$165,92,0)</f>
        <v>257523.19</v>
      </c>
    </row>
    <row r="99" spans="2:5" x14ac:dyDescent="0.25">
      <c r="C99">
        <v>426</v>
      </c>
      <c r="D99" t="s">
        <v>154</v>
      </c>
      <c r="E99" s="89">
        <f>HLOOKUP($D$5,'8.1 Bourgeoisies Comptes 2021'!$E$3:$R$165,93,0)</f>
        <v>450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7563</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7563</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294058.48</v>
      </c>
    </row>
    <row r="110" spans="2:5" x14ac:dyDescent="0.25">
      <c r="C110">
        <v>440</v>
      </c>
      <c r="D110" t="s">
        <v>163</v>
      </c>
      <c r="E110" s="89">
        <f>HLOOKUP($D$5,'8.1 Bourgeoisies Comptes 2021'!$E$3:$R$165,104,0)</f>
        <v>227.83</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248147.65</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45683</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0</v>
      </c>
    </row>
    <row r="120" spans="2:5" x14ac:dyDescent="0.25">
      <c r="E120" s="4"/>
    </row>
    <row r="121" spans="2:5" x14ac:dyDescent="0.25">
      <c r="B121" s="96">
        <v>45</v>
      </c>
      <c r="C121" s="96"/>
      <c r="D121" s="96" t="s">
        <v>174</v>
      </c>
      <c r="E121" s="91">
        <f>SUM(E122:E123)</f>
        <v>0</v>
      </c>
    </row>
    <row r="122" spans="2:5" x14ac:dyDescent="0.25">
      <c r="C122">
        <v>450</v>
      </c>
      <c r="D122" t="s">
        <v>172</v>
      </c>
      <c r="E122" s="89">
        <f>HLOOKUP($D$5,'8.1 Bourgeoisies Comptes 2021'!$E$3:$R$165,116,0)</f>
        <v>0</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142998.9</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700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140441.25</v>
      </c>
    </row>
    <row r="130" spans="2:5" x14ac:dyDescent="0.25">
      <c r="C130">
        <v>469</v>
      </c>
      <c r="D130" t="s">
        <v>179</v>
      </c>
      <c r="E130" s="89">
        <f>HLOOKUP($D$5,'8.1 Bourgeoisies Comptes 2021'!$E$3:$R$165,124,0)</f>
        <v>1857.65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115890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115890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122776.25</v>
      </c>
    </row>
    <row r="145" spans="1:5" x14ac:dyDescent="0.25">
      <c r="C145">
        <v>490</v>
      </c>
      <c r="D145" t="s">
        <v>129</v>
      </c>
      <c r="E145" s="89">
        <f>HLOOKUP($D$5,'8.1 Bourgeoisies Comptes 2021'!$E$3:$R$165,139,0)</f>
        <v>56740.5</v>
      </c>
    </row>
    <row r="146" spans="1:5" x14ac:dyDescent="0.25">
      <c r="C146">
        <v>491</v>
      </c>
      <c r="D146" t="s">
        <v>130</v>
      </c>
      <c r="E146" s="89">
        <f>HLOOKUP($D$5,'8.1 Bourgeoisies Comptes 2021'!$E$3:$R$165,140,0)</f>
        <v>65915.75</v>
      </c>
    </row>
    <row r="147" spans="1:5" x14ac:dyDescent="0.25">
      <c r="C147">
        <v>492</v>
      </c>
      <c r="D147" t="s">
        <v>189</v>
      </c>
      <c r="E147" s="89">
        <f>HLOOKUP($D$5,'8.1 Bourgeoisies Comptes 2021'!$E$3:$R$165,141,0)</f>
        <v>120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116423.55</v>
      </c>
    </row>
    <row r="158" spans="1:5" x14ac:dyDescent="0.25">
      <c r="C158">
        <v>900</v>
      </c>
      <c r="D158" t="s">
        <v>196</v>
      </c>
      <c r="E158" s="89">
        <f>HLOOKUP($D$5,'8.1 Bourgeoisies Comptes 2021'!$E$3:$R$165,152,0)</f>
        <v>116423.55</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116423.55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2023-06-06T08:22:40Z</dcterms:modified>
</cp:coreProperties>
</file>