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nances\2023\600 0300 Programmes d’économie\600 0360 Plan équilibre 22-26\Mesure 610\"/>
    </mc:Choice>
  </mc:AlternateContent>
  <workbookProtection workbookAlgorithmName="SHA-512" workbookHashValue="5I8lDAQH2tweyqGPXPsFQ+DUkK7W47c66wMJazmtbvnv1wLdzM8pyFvR89WkDrEsR/CSbql1HTFCoO9FSyXl0g==" workbookSaltValue="PQGdre8Q5IUpsoaJBn51+g==" workbookSpinCount="100000" lockStructure="1"/>
  <bookViews>
    <workbookView xWindow="0" yWindow="0" windowWidth="28800" windowHeight="11100" firstSheet="1" activeTab="1"/>
  </bookViews>
  <sheets>
    <sheet name="Communes" sheetId="4" state="hidden" r:id="rId1"/>
    <sheet name="Comptes" sheetId="1" r:id="rId2"/>
    <sheet name="Explications" sheetId="5" r:id="rId3"/>
  </sheets>
  <definedNames>
    <definedName name="Tabl_com">Communes!$A$8:$AZ$59</definedName>
    <definedName name="_xlnm.Print_Area" localSheetId="1">Comptes!$A$1:$F$48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4" l="1"/>
  <c r="Y7" i="4"/>
  <c r="AT42" i="4" l="1"/>
  <c r="AT7" i="4" s="1"/>
  <c r="AU42" i="4"/>
  <c r="AU7" i="4" s="1"/>
  <c r="AW42" i="4"/>
  <c r="AW7" i="4" s="1"/>
  <c r="AX7" i="4" s="1"/>
  <c r="D32" i="1" l="1"/>
  <c r="D31" i="1"/>
  <c r="D35" i="1" l="1"/>
  <c r="AR62" i="4" l="1"/>
  <c r="AQ62" i="4"/>
  <c r="AP62" i="4"/>
  <c r="AS61" i="4"/>
  <c r="X61" i="4"/>
  <c r="W61" i="4"/>
  <c r="V61" i="4"/>
  <c r="H59" i="4"/>
  <c r="H58" i="4"/>
  <c r="H57" i="4"/>
  <c r="H56" i="4"/>
  <c r="H55" i="4"/>
  <c r="H54" i="4"/>
  <c r="H53" i="4"/>
  <c r="H52" i="4"/>
  <c r="H51" i="4"/>
  <c r="H50" i="4"/>
  <c r="H49" i="4"/>
  <c r="H48" i="4"/>
  <c r="H47" i="4"/>
  <c r="H46" i="4"/>
  <c r="AW61" i="4"/>
  <c r="AT61" i="4"/>
  <c r="H45" i="4"/>
  <c r="H44" i="4"/>
  <c r="H43"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C7" i="4"/>
  <c r="D7" i="4"/>
  <c r="AC6" i="4"/>
  <c r="AB6" i="4"/>
  <c r="AA6" i="4"/>
  <c r="Y6" i="4"/>
  <c r="R6" i="4"/>
  <c r="Q6" i="4"/>
  <c r="P6" i="4"/>
  <c r="K6" i="4"/>
  <c r="Z6" i="4" s="1"/>
  <c r="O6" i="4" l="1"/>
  <c r="H42" i="4"/>
  <c r="D11" i="1"/>
  <c r="D13" i="1" s="1"/>
  <c r="D34" i="1"/>
  <c r="D36" i="1" s="1"/>
  <c r="N59" i="4"/>
  <c r="F59" i="4"/>
  <c r="E58" i="4"/>
  <c r="N57" i="4"/>
  <c r="E59" i="4"/>
  <c r="N58" i="4"/>
  <c r="F58" i="4"/>
  <c r="E57" i="4"/>
  <c r="N56" i="4"/>
  <c r="F56" i="4"/>
  <c r="E55" i="4"/>
  <c r="N54" i="4"/>
  <c r="F54" i="4"/>
  <c r="E53" i="4"/>
  <c r="N52" i="4"/>
  <c r="F52" i="4"/>
  <c r="E56" i="4"/>
  <c r="N55" i="4"/>
  <c r="F55" i="4"/>
  <c r="E52" i="4"/>
  <c r="G52" i="4" s="1"/>
  <c r="N51" i="4"/>
  <c r="E51" i="4"/>
  <c r="N50" i="4"/>
  <c r="F50" i="4"/>
  <c r="E49" i="4"/>
  <c r="N48" i="4"/>
  <c r="F48" i="4"/>
  <c r="E47" i="4"/>
  <c r="N46" i="4"/>
  <c r="F46" i="4"/>
  <c r="E45" i="4"/>
  <c r="N44" i="4"/>
  <c r="F44" i="4"/>
  <c r="E43" i="4"/>
  <c r="N41" i="4"/>
  <c r="F41" i="4"/>
  <c r="E40" i="4"/>
  <c r="N39" i="4"/>
  <c r="F39" i="4"/>
  <c r="N53" i="4"/>
  <c r="F53" i="4"/>
  <c r="F51" i="4"/>
  <c r="E48" i="4"/>
  <c r="G48" i="4" s="1"/>
  <c r="N47" i="4"/>
  <c r="F47" i="4"/>
  <c r="E44" i="4"/>
  <c r="N43" i="4"/>
  <c r="F43" i="4"/>
  <c r="E39" i="4"/>
  <c r="E38" i="4"/>
  <c r="N37" i="4"/>
  <c r="F37" i="4"/>
  <c r="E36" i="4"/>
  <c r="N35" i="4"/>
  <c r="F35" i="4"/>
  <c r="E34" i="4"/>
  <c r="N33" i="4"/>
  <c r="F33" i="4"/>
  <c r="E32" i="4"/>
  <c r="N31" i="4"/>
  <c r="F31" i="4"/>
  <c r="E30" i="4"/>
  <c r="N29" i="4"/>
  <c r="F29" i="4"/>
  <c r="E28" i="4"/>
  <c r="N27" i="4"/>
  <c r="F27" i="4"/>
  <c r="E26" i="4"/>
  <c r="N25" i="4"/>
  <c r="F25" i="4"/>
  <c r="E24" i="4"/>
  <c r="N23" i="4"/>
  <c r="F23" i="4"/>
  <c r="E22" i="4"/>
  <c r="N21" i="4"/>
  <c r="F21" i="4"/>
  <c r="E20" i="4"/>
  <c r="N19" i="4"/>
  <c r="F19" i="4"/>
  <c r="E18" i="4"/>
  <c r="N17" i="4"/>
  <c r="F17" i="4"/>
  <c r="E16" i="4"/>
  <c r="N49" i="4"/>
  <c r="F49" i="4"/>
  <c r="E46" i="4"/>
  <c r="G46" i="4" s="1"/>
  <c r="N40" i="4"/>
  <c r="F40" i="4"/>
  <c r="E37" i="4"/>
  <c r="N36" i="4"/>
  <c r="F36" i="4"/>
  <c r="E33" i="4"/>
  <c r="N32" i="4"/>
  <c r="F32" i="4"/>
  <c r="E29" i="4"/>
  <c r="N28" i="4"/>
  <c r="F28" i="4"/>
  <c r="E25" i="4"/>
  <c r="G25" i="4" s="1"/>
  <c r="N24" i="4"/>
  <c r="F24" i="4"/>
  <c r="E21" i="4"/>
  <c r="N20" i="4"/>
  <c r="F20" i="4"/>
  <c r="E17" i="4"/>
  <c r="N16" i="4"/>
  <c r="F16" i="4"/>
  <c r="E15" i="4"/>
  <c r="N14" i="4"/>
  <c r="F14" i="4"/>
  <c r="E13" i="4"/>
  <c r="N12" i="4"/>
  <c r="F12" i="4"/>
  <c r="E11" i="4"/>
  <c r="N10" i="4"/>
  <c r="F10" i="4"/>
  <c r="E9" i="4"/>
  <c r="N8" i="4"/>
  <c r="F8" i="4"/>
  <c r="P58" i="4"/>
  <c r="F57" i="4"/>
  <c r="P55" i="4"/>
  <c r="E54" i="4"/>
  <c r="AC53" i="4"/>
  <c r="E50" i="4"/>
  <c r="G50" i="4" s="1"/>
  <c r="AC49" i="4"/>
  <c r="N45" i="4"/>
  <c r="F45" i="4"/>
  <c r="P43" i="4"/>
  <c r="E41" i="4"/>
  <c r="AC40" i="4"/>
  <c r="AC38" i="4"/>
  <c r="N38" i="4"/>
  <c r="F38" i="4"/>
  <c r="P36" i="4"/>
  <c r="E35" i="4"/>
  <c r="G35" i="4" s="1"/>
  <c r="AC34" i="4"/>
  <c r="N34" i="4"/>
  <c r="F34" i="4"/>
  <c r="P32" i="4"/>
  <c r="E31" i="4"/>
  <c r="AC30" i="4"/>
  <c r="N30" i="4"/>
  <c r="F30" i="4"/>
  <c r="P28" i="4"/>
  <c r="E27" i="4"/>
  <c r="AC26" i="4"/>
  <c r="N26" i="4"/>
  <c r="F26" i="4"/>
  <c r="P24" i="4"/>
  <c r="E23" i="4"/>
  <c r="AC22" i="4"/>
  <c r="N22" i="4"/>
  <c r="F22" i="4"/>
  <c r="P20" i="4"/>
  <c r="E19" i="4"/>
  <c r="G19" i="4" s="1"/>
  <c r="AC18" i="4"/>
  <c r="N18" i="4"/>
  <c r="F18" i="4"/>
  <c r="P16" i="4"/>
  <c r="N15" i="4"/>
  <c r="F15" i="4"/>
  <c r="E14" i="4"/>
  <c r="AC13" i="4"/>
  <c r="P13" i="4"/>
  <c r="N13" i="4"/>
  <c r="F13" i="4"/>
  <c r="E12" i="4"/>
  <c r="AC11" i="4"/>
  <c r="P11" i="4"/>
  <c r="N11" i="4"/>
  <c r="F11" i="4"/>
  <c r="E10" i="4"/>
  <c r="AC9" i="4"/>
  <c r="P9" i="4"/>
  <c r="N9" i="4"/>
  <c r="F9" i="4"/>
  <c r="E8" i="4"/>
  <c r="O58" i="4"/>
  <c r="O57" i="4"/>
  <c r="O55" i="4"/>
  <c r="O53" i="4"/>
  <c r="O51" i="4"/>
  <c r="O59" i="4"/>
  <c r="O54" i="4"/>
  <c r="O49" i="4"/>
  <c r="O47" i="4"/>
  <c r="O45" i="4"/>
  <c r="O43" i="4"/>
  <c r="O40" i="4"/>
  <c r="O56" i="4"/>
  <c r="O50" i="4"/>
  <c r="O46" i="4"/>
  <c r="O41" i="4"/>
  <c r="O38" i="4"/>
  <c r="O36" i="4"/>
  <c r="O34" i="4"/>
  <c r="O32" i="4"/>
  <c r="O30" i="4"/>
  <c r="O28" i="4"/>
  <c r="O26" i="4"/>
  <c r="O24" i="4"/>
  <c r="O22" i="4"/>
  <c r="O20" i="4"/>
  <c r="O18" i="4"/>
  <c r="O16" i="4"/>
  <c r="Q58" i="4"/>
  <c r="Q59" i="4"/>
  <c r="Q55" i="4"/>
  <c r="Q53" i="4"/>
  <c r="Q51" i="4"/>
  <c r="Q57" i="4"/>
  <c r="Q56" i="4"/>
  <c r="Q52" i="4"/>
  <c r="Q49" i="4"/>
  <c r="Q47" i="4"/>
  <c r="Q45" i="4"/>
  <c r="Q43" i="4"/>
  <c r="Q40" i="4"/>
  <c r="Q54" i="4"/>
  <c r="Q48" i="4"/>
  <c r="Q44" i="4"/>
  <c r="Q39" i="4"/>
  <c r="Q38" i="4"/>
  <c r="Q36" i="4"/>
  <c r="Q34" i="4"/>
  <c r="Q32" i="4"/>
  <c r="Q30" i="4"/>
  <c r="Q28" i="4"/>
  <c r="Q26" i="4"/>
  <c r="Q24" i="4"/>
  <c r="Q22" i="4"/>
  <c r="Q20" i="4"/>
  <c r="Q18" i="4"/>
  <c r="Q16" i="4"/>
  <c r="S6" i="4"/>
  <c r="U6" i="4"/>
  <c r="Z58" i="4"/>
  <c r="Z57" i="4"/>
  <c r="Z55" i="4"/>
  <c r="Z53" i="4"/>
  <c r="Z51" i="4"/>
  <c r="Z59" i="4"/>
  <c r="Z54" i="4"/>
  <c r="Z49" i="4"/>
  <c r="Z47" i="4"/>
  <c r="Z45" i="4"/>
  <c r="Z43" i="4"/>
  <c r="Z40" i="4"/>
  <c r="Z56" i="4"/>
  <c r="Z50" i="4"/>
  <c r="Z46" i="4"/>
  <c r="Z41" i="4"/>
  <c r="Z38" i="4"/>
  <c r="Z36" i="4"/>
  <c r="Z34" i="4"/>
  <c r="Z32" i="4"/>
  <c r="Z30" i="4"/>
  <c r="Z28" i="4"/>
  <c r="Z26" i="4"/>
  <c r="Z24" i="4"/>
  <c r="Z22" i="4"/>
  <c r="Z20" i="4"/>
  <c r="Z18" i="4"/>
  <c r="Z16" i="4"/>
  <c r="AB58" i="4"/>
  <c r="AB59" i="4"/>
  <c r="AB55" i="4"/>
  <c r="AB53" i="4"/>
  <c r="AB51" i="4"/>
  <c r="AB57" i="4"/>
  <c r="AB56" i="4"/>
  <c r="AB52" i="4"/>
  <c r="AB49" i="4"/>
  <c r="AB47" i="4"/>
  <c r="AB45" i="4"/>
  <c r="AB43" i="4"/>
  <c r="AB40" i="4"/>
  <c r="AB54" i="4"/>
  <c r="AB48" i="4"/>
  <c r="AB44" i="4"/>
  <c r="AB39" i="4"/>
  <c r="AB38" i="4"/>
  <c r="AB36" i="4"/>
  <c r="AB34" i="4"/>
  <c r="AB32" i="4"/>
  <c r="AB30" i="4"/>
  <c r="AB28" i="4"/>
  <c r="AB26" i="4"/>
  <c r="AB24" i="4"/>
  <c r="AB22" i="4"/>
  <c r="AB20" i="4"/>
  <c r="AB18" i="4"/>
  <c r="AB16" i="4"/>
  <c r="AD6" i="4"/>
  <c r="AF6" i="4"/>
  <c r="L59" i="4"/>
  <c r="M58" i="4"/>
  <c r="L57" i="4"/>
  <c r="M59" i="4"/>
  <c r="U59" i="4" s="1"/>
  <c r="L56" i="4"/>
  <c r="M55" i="4"/>
  <c r="L54" i="4"/>
  <c r="M53" i="4"/>
  <c r="U53" i="4" s="1"/>
  <c r="L52" i="4"/>
  <c r="M51" i="4"/>
  <c r="L58" i="4"/>
  <c r="M56" i="4"/>
  <c r="L53" i="4"/>
  <c r="M52" i="4"/>
  <c r="U52" i="4" s="1"/>
  <c r="L50" i="4"/>
  <c r="M49" i="4"/>
  <c r="L48" i="4"/>
  <c r="M47" i="4"/>
  <c r="U47" i="4" s="1"/>
  <c r="L46" i="4"/>
  <c r="M45" i="4"/>
  <c r="L44" i="4"/>
  <c r="M43" i="4"/>
  <c r="L41" i="4"/>
  <c r="M40" i="4"/>
  <c r="L39" i="4"/>
  <c r="M57" i="4"/>
  <c r="U57" i="4" s="1"/>
  <c r="L55" i="4"/>
  <c r="L49" i="4"/>
  <c r="M48" i="4"/>
  <c r="U48" i="4" s="1"/>
  <c r="L45" i="4"/>
  <c r="M44" i="4"/>
  <c r="L40" i="4"/>
  <c r="M39" i="4"/>
  <c r="U39" i="4" s="1"/>
  <c r="M38" i="4"/>
  <c r="U38" i="4" s="1"/>
  <c r="L37" i="4"/>
  <c r="M36" i="4"/>
  <c r="L35" i="4"/>
  <c r="M34" i="4"/>
  <c r="U34" i="4" s="1"/>
  <c r="L33" i="4"/>
  <c r="M32" i="4"/>
  <c r="L31" i="4"/>
  <c r="M30" i="4"/>
  <c r="U30" i="4" s="1"/>
  <c r="L29" i="4"/>
  <c r="M28" i="4"/>
  <c r="L27" i="4"/>
  <c r="M26" i="4"/>
  <c r="L25" i="4"/>
  <c r="M24" i="4"/>
  <c r="L23" i="4"/>
  <c r="M22" i="4"/>
  <c r="U22" i="4" s="1"/>
  <c r="L21" i="4"/>
  <c r="M20" i="4"/>
  <c r="L19" i="4"/>
  <c r="M18" i="4"/>
  <c r="U18" i="4" s="1"/>
  <c r="L17" i="4"/>
  <c r="M16" i="4"/>
  <c r="H7" i="4"/>
  <c r="I51" i="4" s="1"/>
  <c r="J51" i="4" s="1"/>
  <c r="K8" i="4"/>
  <c r="M8" i="4"/>
  <c r="O8" i="4"/>
  <c r="Q8" i="4"/>
  <c r="Z8" i="4"/>
  <c r="AB8" i="4"/>
  <c r="L9" i="4"/>
  <c r="Y9" i="4"/>
  <c r="AA9" i="4"/>
  <c r="K10" i="4"/>
  <c r="M10" i="4"/>
  <c r="O10" i="4"/>
  <c r="Q10" i="4"/>
  <c r="Z10" i="4"/>
  <c r="AB10" i="4"/>
  <c r="L11" i="4"/>
  <c r="Y11" i="4"/>
  <c r="AA11" i="4"/>
  <c r="K12" i="4"/>
  <c r="M12" i="4"/>
  <c r="O12" i="4"/>
  <c r="Q12" i="4"/>
  <c r="Z12" i="4"/>
  <c r="AB12" i="4"/>
  <c r="L13" i="4"/>
  <c r="Y13" i="4"/>
  <c r="AA13" i="4"/>
  <c r="K14" i="4"/>
  <c r="M14" i="4"/>
  <c r="O14" i="4"/>
  <c r="Q14" i="4"/>
  <c r="Z14" i="4"/>
  <c r="AB14" i="4"/>
  <c r="L15" i="4"/>
  <c r="Q15" i="4"/>
  <c r="AB15" i="4"/>
  <c r="L16" i="4"/>
  <c r="AA16" i="4"/>
  <c r="K17" i="4"/>
  <c r="O17" i="4"/>
  <c r="Z17" i="4"/>
  <c r="Y18" i="4"/>
  <c r="M19" i="4"/>
  <c r="Q19" i="4"/>
  <c r="AB19" i="4"/>
  <c r="L20" i="4"/>
  <c r="AA20" i="4"/>
  <c r="K21" i="4"/>
  <c r="O21" i="4"/>
  <c r="Z21" i="4"/>
  <c r="Y22" i="4"/>
  <c r="M23" i="4"/>
  <c r="Q23" i="4"/>
  <c r="AB23" i="4"/>
  <c r="L24" i="4"/>
  <c r="AA24" i="4"/>
  <c r="K25" i="4"/>
  <c r="O25" i="4"/>
  <c r="Z25" i="4"/>
  <c r="Y26" i="4"/>
  <c r="M27" i="4"/>
  <c r="Q27" i="4"/>
  <c r="AB27" i="4"/>
  <c r="L28" i="4"/>
  <c r="AA28" i="4"/>
  <c r="K29" i="4"/>
  <c r="O29" i="4"/>
  <c r="Z29" i="4"/>
  <c r="Y30" i="4"/>
  <c r="M31" i="4"/>
  <c r="Q31" i="4"/>
  <c r="AB31" i="4"/>
  <c r="L32" i="4"/>
  <c r="AA32" i="4"/>
  <c r="K33" i="4"/>
  <c r="O33" i="4"/>
  <c r="Z33" i="4"/>
  <c r="Y34" i="4"/>
  <c r="M35" i="4"/>
  <c r="Q35" i="4"/>
  <c r="AB35" i="4"/>
  <c r="L36" i="4"/>
  <c r="AA36" i="4"/>
  <c r="K37" i="4"/>
  <c r="O37" i="4"/>
  <c r="Z37" i="4"/>
  <c r="Y38" i="4"/>
  <c r="O39" i="4"/>
  <c r="Z39" i="4"/>
  <c r="M41" i="4"/>
  <c r="AA43" i="4"/>
  <c r="K44" i="4"/>
  <c r="Y45" i="4"/>
  <c r="Q46" i="4"/>
  <c r="AB46" i="4"/>
  <c r="L47" i="4"/>
  <c r="O48" i="4"/>
  <c r="Z48" i="4"/>
  <c r="M50" i="4"/>
  <c r="O52" i="4"/>
  <c r="K56" i="4"/>
  <c r="K59" i="4"/>
  <c r="K58" i="4"/>
  <c r="K57" i="4"/>
  <c r="K55" i="4"/>
  <c r="K53" i="4"/>
  <c r="K54" i="4"/>
  <c r="K51" i="4"/>
  <c r="K49" i="4"/>
  <c r="K47" i="4"/>
  <c r="K45" i="4"/>
  <c r="K43" i="4"/>
  <c r="K40" i="4"/>
  <c r="K52" i="4"/>
  <c r="K50" i="4"/>
  <c r="K46" i="4"/>
  <c r="K41" i="4"/>
  <c r="K38" i="4"/>
  <c r="K36" i="4"/>
  <c r="K34" i="4"/>
  <c r="K32" i="4"/>
  <c r="K30" i="4"/>
  <c r="K28" i="4"/>
  <c r="K26" i="4"/>
  <c r="K24" i="4"/>
  <c r="K22" i="4"/>
  <c r="K20" i="4"/>
  <c r="K18" i="4"/>
  <c r="K16" i="4"/>
  <c r="P59" i="4"/>
  <c r="P57" i="4"/>
  <c r="P56" i="4"/>
  <c r="P54" i="4"/>
  <c r="P52" i="4"/>
  <c r="P53" i="4"/>
  <c r="P50" i="4"/>
  <c r="P48" i="4"/>
  <c r="P46" i="4"/>
  <c r="P44" i="4"/>
  <c r="P41" i="4"/>
  <c r="P39" i="4"/>
  <c r="P51" i="4"/>
  <c r="P49" i="4"/>
  <c r="P45" i="4"/>
  <c r="P40" i="4"/>
  <c r="P37" i="4"/>
  <c r="P35" i="4"/>
  <c r="P33" i="4"/>
  <c r="P31" i="4"/>
  <c r="P29" i="4"/>
  <c r="P27" i="4"/>
  <c r="P25" i="4"/>
  <c r="P23" i="4"/>
  <c r="P21" i="4"/>
  <c r="P19" i="4"/>
  <c r="P17" i="4"/>
  <c r="P15" i="4"/>
  <c r="T6" i="4"/>
  <c r="Y59" i="4"/>
  <c r="Y57" i="4"/>
  <c r="Y58" i="4"/>
  <c r="Y56" i="4"/>
  <c r="Y54" i="4"/>
  <c r="Y52" i="4"/>
  <c r="Y55" i="4"/>
  <c r="Y51" i="4"/>
  <c r="Y50" i="4"/>
  <c r="Y48" i="4"/>
  <c r="Y46" i="4"/>
  <c r="Y44" i="4"/>
  <c r="Y41" i="4"/>
  <c r="Y39" i="4"/>
  <c r="Y53" i="4"/>
  <c r="Y47" i="4"/>
  <c r="Y43" i="4"/>
  <c r="Y42" i="4" s="1"/>
  <c r="Y37" i="4"/>
  <c r="Y35" i="4"/>
  <c r="Y33" i="4"/>
  <c r="Y31" i="4"/>
  <c r="Y29" i="4"/>
  <c r="Y27" i="4"/>
  <c r="Y25" i="4"/>
  <c r="Y23" i="4"/>
  <c r="Y21" i="4"/>
  <c r="Y19" i="4"/>
  <c r="Y17" i="4"/>
  <c r="Y15" i="4"/>
  <c r="AA59" i="4"/>
  <c r="AA57" i="4"/>
  <c r="AA56" i="4"/>
  <c r="AA54" i="4"/>
  <c r="AA52" i="4"/>
  <c r="AA53" i="4"/>
  <c r="AA50" i="4"/>
  <c r="AA48" i="4"/>
  <c r="AA46" i="4"/>
  <c r="AA44" i="4"/>
  <c r="AA41" i="4"/>
  <c r="AA39" i="4"/>
  <c r="AA58" i="4"/>
  <c r="AA51" i="4"/>
  <c r="AA49" i="4"/>
  <c r="AA45" i="4"/>
  <c r="AA40" i="4"/>
  <c r="AA37" i="4"/>
  <c r="AA35" i="4"/>
  <c r="AA33" i="4"/>
  <c r="AA31" i="4"/>
  <c r="AA29" i="4"/>
  <c r="AA27" i="4"/>
  <c r="AA25" i="4"/>
  <c r="AA23" i="4"/>
  <c r="AA21" i="4"/>
  <c r="AA19" i="4"/>
  <c r="AA17" i="4"/>
  <c r="AA15" i="4"/>
  <c r="AC59" i="4"/>
  <c r="AC57" i="4"/>
  <c r="AC58" i="4"/>
  <c r="AC56" i="4"/>
  <c r="AC54" i="4"/>
  <c r="AC52" i="4"/>
  <c r="AC55" i="4"/>
  <c r="AC51" i="4"/>
  <c r="AC50" i="4"/>
  <c r="AC48" i="4"/>
  <c r="AC46" i="4"/>
  <c r="AC44" i="4"/>
  <c r="AC41" i="4"/>
  <c r="AC39" i="4"/>
  <c r="AC47" i="4"/>
  <c r="AC43" i="4"/>
  <c r="AC37" i="4"/>
  <c r="AC35" i="4"/>
  <c r="AC33" i="4"/>
  <c r="AC31" i="4"/>
  <c r="AC29" i="4"/>
  <c r="AC27" i="4"/>
  <c r="AC25" i="4"/>
  <c r="AC23" i="4"/>
  <c r="AC21" i="4"/>
  <c r="AC19" i="4"/>
  <c r="AC17" i="4"/>
  <c r="AC15" i="4"/>
  <c r="AE6" i="4"/>
  <c r="L8" i="4"/>
  <c r="P8" i="4"/>
  <c r="Y8" i="4"/>
  <c r="AA8" i="4"/>
  <c r="AC8" i="4"/>
  <c r="K9" i="4"/>
  <c r="M9" i="4"/>
  <c r="O9" i="4"/>
  <c r="Q9" i="4"/>
  <c r="Z9" i="4"/>
  <c r="AB9" i="4"/>
  <c r="L10" i="4"/>
  <c r="P10" i="4"/>
  <c r="Y10" i="4"/>
  <c r="AA10" i="4"/>
  <c r="AC10" i="4"/>
  <c r="K11" i="4"/>
  <c r="M11" i="4"/>
  <c r="O11" i="4"/>
  <c r="Q11" i="4"/>
  <c r="Z11" i="4"/>
  <c r="AB11" i="4"/>
  <c r="L12" i="4"/>
  <c r="P12" i="4"/>
  <c r="Y12" i="4"/>
  <c r="AA12" i="4"/>
  <c r="AC12" i="4"/>
  <c r="K13" i="4"/>
  <c r="M13" i="4"/>
  <c r="O13" i="4"/>
  <c r="Q13" i="4"/>
  <c r="Z13" i="4"/>
  <c r="AB13" i="4"/>
  <c r="L14" i="4"/>
  <c r="P14" i="4"/>
  <c r="Y14" i="4"/>
  <c r="AA14" i="4"/>
  <c r="AC14" i="4"/>
  <c r="K15" i="4"/>
  <c r="M15" i="4"/>
  <c r="O15" i="4"/>
  <c r="Z15" i="4"/>
  <c r="Y16" i="4"/>
  <c r="AC16" i="4"/>
  <c r="M17" i="4"/>
  <c r="Q17" i="4"/>
  <c r="AB17" i="4"/>
  <c r="L18" i="4"/>
  <c r="P18" i="4"/>
  <c r="AA18" i="4"/>
  <c r="K19" i="4"/>
  <c r="O19" i="4"/>
  <c r="Z19" i="4"/>
  <c r="Y20" i="4"/>
  <c r="AC20" i="4"/>
  <c r="M21" i="4"/>
  <c r="Q21" i="4"/>
  <c r="AB21" i="4"/>
  <c r="L22" i="4"/>
  <c r="P22" i="4"/>
  <c r="AA22" i="4"/>
  <c r="K23" i="4"/>
  <c r="O23" i="4"/>
  <c r="Z23" i="4"/>
  <c r="Y24" i="4"/>
  <c r="AC24" i="4"/>
  <c r="M25" i="4"/>
  <c r="Q25" i="4"/>
  <c r="AB25" i="4"/>
  <c r="L26" i="4"/>
  <c r="P26" i="4"/>
  <c r="AA26" i="4"/>
  <c r="K27" i="4"/>
  <c r="O27" i="4"/>
  <c r="Z27" i="4"/>
  <c r="Y28" i="4"/>
  <c r="AC28" i="4"/>
  <c r="M29" i="4"/>
  <c r="Q29" i="4"/>
  <c r="AB29" i="4"/>
  <c r="L30" i="4"/>
  <c r="P30" i="4"/>
  <c r="AA30" i="4"/>
  <c r="K31" i="4"/>
  <c r="O31" i="4"/>
  <c r="Z31" i="4"/>
  <c r="Y32" i="4"/>
  <c r="AC32" i="4"/>
  <c r="M33" i="4"/>
  <c r="Q33" i="4"/>
  <c r="AB33" i="4"/>
  <c r="L34" i="4"/>
  <c r="P34" i="4"/>
  <c r="AA34" i="4"/>
  <c r="K35" i="4"/>
  <c r="O35" i="4"/>
  <c r="Z35" i="4"/>
  <c r="Y36" i="4"/>
  <c r="AC36" i="4"/>
  <c r="M37" i="4"/>
  <c r="Q37" i="4"/>
  <c r="AB37" i="4"/>
  <c r="L38" i="4"/>
  <c r="P38" i="4"/>
  <c r="AA38" i="4"/>
  <c r="K39" i="4"/>
  <c r="Y40" i="4"/>
  <c r="Q41" i="4"/>
  <c r="AB41" i="4"/>
  <c r="L43" i="4"/>
  <c r="L42" i="4" s="1"/>
  <c r="O44" i="4"/>
  <c r="Z44" i="4"/>
  <c r="H61" i="4"/>
  <c r="AC45" i="4"/>
  <c r="AC61" i="4" s="1"/>
  <c r="M46" i="4"/>
  <c r="P47" i="4"/>
  <c r="AA47" i="4"/>
  <c r="K48" i="4"/>
  <c r="Y49" i="4"/>
  <c r="Q50" i="4"/>
  <c r="AB50" i="4"/>
  <c r="L51" i="4"/>
  <c r="Z52" i="4"/>
  <c r="M54" i="4"/>
  <c r="AA55" i="4"/>
  <c r="AU61" i="4"/>
  <c r="G27" i="4" l="1"/>
  <c r="AB42" i="4"/>
  <c r="O42" i="4"/>
  <c r="G33" i="4"/>
  <c r="AY8" i="4"/>
  <c r="AC7" i="4"/>
  <c r="G39" i="4"/>
  <c r="P42" i="4"/>
  <c r="P7" i="4" s="1"/>
  <c r="G17" i="4"/>
  <c r="M42" i="4"/>
  <c r="N7" i="4"/>
  <c r="AC42" i="4"/>
  <c r="K42" i="4"/>
  <c r="K7" i="4" s="1"/>
  <c r="AA42" i="4"/>
  <c r="AA7" i="4" s="1"/>
  <c r="Z42" i="4"/>
  <c r="Z7" i="4" s="1"/>
  <c r="Q42" i="4"/>
  <c r="Q7" i="4" s="1"/>
  <c r="N42" i="4"/>
  <c r="D18" i="1" s="1"/>
  <c r="D24" i="1" s="1"/>
  <c r="T51" i="4"/>
  <c r="S16" i="4"/>
  <c r="S20" i="4"/>
  <c r="S24" i="4"/>
  <c r="S28" i="4"/>
  <c r="S32" i="4"/>
  <c r="S36" i="4"/>
  <c r="S41" i="4"/>
  <c r="S50" i="4"/>
  <c r="S40" i="4"/>
  <c r="S49" i="4"/>
  <c r="T32" i="4"/>
  <c r="T24" i="4"/>
  <c r="T16" i="4"/>
  <c r="T11" i="4"/>
  <c r="S48" i="4"/>
  <c r="AB7" i="4"/>
  <c r="I44" i="4"/>
  <c r="J44" i="4" s="1"/>
  <c r="R44" i="4" s="1"/>
  <c r="I43" i="4"/>
  <c r="T36" i="4"/>
  <c r="T28" i="4"/>
  <c r="T20" i="4"/>
  <c r="U43" i="4"/>
  <c r="I57" i="4"/>
  <c r="J57" i="4" s="1"/>
  <c r="R57" i="4" s="1"/>
  <c r="I52" i="4"/>
  <c r="J52" i="4" s="1"/>
  <c r="R52" i="4" s="1"/>
  <c r="S39" i="4"/>
  <c r="T34" i="4"/>
  <c r="U33" i="4"/>
  <c r="T26" i="4"/>
  <c r="U25" i="4"/>
  <c r="T18" i="4"/>
  <c r="U17" i="4"/>
  <c r="U15" i="4"/>
  <c r="U26" i="4"/>
  <c r="U54" i="4"/>
  <c r="U46" i="4"/>
  <c r="S53" i="4"/>
  <c r="S57" i="4"/>
  <c r="S59" i="4"/>
  <c r="S37" i="4"/>
  <c r="U35" i="4"/>
  <c r="S29" i="4"/>
  <c r="U27" i="4"/>
  <c r="S21" i="4"/>
  <c r="U19" i="4"/>
  <c r="R51" i="4"/>
  <c r="U44" i="4"/>
  <c r="T55" i="4"/>
  <c r="T58" i="4"/>
  <c r="Q61" i="4"/>
  <c r="G10" i="4"/>
  <c r="G14" i="4"/>
  <c r="G23" i="4"/>
  <c r="G31" i="4"/>
  <c r="N61" i="4"/>
  <c r="G54" i="4"/>
  <c r="G22" i="4"/>
  <c r="G30" i="4"/>
  <c r="G38" i="4"/>
  <c r="G44" i="4"/>
  <c r="G47" i="4"/>
  <c r="G53" i="4"/>
  <c r="T19" i="4"/>
  <c r="T23" i="4"/>
  <c r="T27" i="4"/>
  <c r="T31" i="4"/>
  <c r="T35" i="4"/>
  <c r="T39" i="4"/>
  <c r="T44" i="4"/>
  <c r="T48" i="4"/>
  <c r="T53" i="4"/>
  <c r="T54" i="4"/>
  <c r="T57" i="4"/>
  <c r="I59" i="4"/>
  <c r="J59" i="4" s="1"/>
  <c r="R59" i="4" s="1"/>
  <c r="T43" i="4"/>
  <c r="T38" i="4"/>
  <c r="U37" i="4"/>
  <c r="T30" i="4"/>
  <c r="U29" i="4"/>
  <c r="T22" i="4"/>
  <c r="U21" i="4"/>
  <c r="T12" i="4"/>
  <c r="P61" i="4"/>
  <c r="S18" i="4"/>
  <c r="S22" i="4"/>
  <c r="S26" i="4"/>
  <c r="S30" i="4"/>
  <c r="S34" i="4"/>
  <c r="S38" i="4"/>
  <c r="S46" i="4"/>
  <c r="S52" i="4"/>
  <c r="S43" i="4"/>
  <c r="S47" i="4"/>
  <c r="S51" i="4"/>
  <c r="S33" i="4"/>
  <c r="U31" i="4"/>
  <c r="S25" i="4"/>
  <c r="U23" i="4"/>
  <c r="S17" i="4"/>
  <c r="T15" i="4"/>
  <c r="T13" i="4"/>
  <c r="T9" i="4"/>
  <c r="AY36" i="4"/>
  <c r="AG36" i="4"/>
  <c r="AY32" i="4"/>
  <c r="AG32" i="4"/>
  <c r="AY28" i="4"/>
  <c r="AG28" i="4"/>
  <c r="AY24" i="4"/>
  <c r="AG24" i="4"/>
  <c r="AY20" i="4"/>
  <c r="AG20" i="4"/>
  <c r="AY16" i="4"/>
  <c r="AG16" i="4"/>
  <c r="S15" i="4"/>
  <c r="U13" i="4"/>
  <c r="AG12" i="4"/>
  <c r="AY12" i="4"/>
  <c r="S11" i="4"/>
  <c r="U9" i="4"/>
  <c r="AG8" i="4"/>
  <c r="T8" i="4"/>
  <c r="L7" i="4"/>
  <c r="AG17" i="4"/>
  <c r="AY17" i="4"/>
  <c r="AG21" i="4"/>
  <c r="AY21" i="4"/>
  <c r="AG25" i="4"/>
  <c r="AY25" i="4"/>
  <c r="AG29" i="4"/>
  <c r="AY29" i="4"/>
  <c r="AG33" i="4"/>
  <c r="AY33" i="4"/>
  <c r="AG37" i="4"/>
  <c r="AY37" i="4"/>
  <c r="AY47" i="4"/>
  <c r="AG47" i="4"/>
  <c r="AG39" i="4"/>
  <c r="AY39" i="4"/>
  <c r="AG44" i="4"/>
  <c r="AY44" i="4"/>
  <c r="AG48" i="4"/>
  <c r="AY48" i="4"/>
  <c r="AY51" i="4"/>
  <c r="AG51" i="4"/>
  <c r="AG52" i="4"/>
  <c r="AY52" i="4"/>
  <c r="AG56" i="4"/>
  <c r="AY56" i="4"/>
  <c r="AG57" i="4"/>
  <c r="AY57" i="4"/>
  <c r="Y61" i="4"/>
  <c r="AY45" i="4"/>
  <c r="AG45" i="4"/>
  <c r="S14" i="4"/>
  <c r="S12" i="4"/>
  <c r="S10" i="4"/>
  <c r="U8" i="4"/>
  <c r="M7" i="4"/>
  <c r="I54" i="4"/>
  <c r="J54" i="4" s="1"/>
  <c r="R54" i="4" s="1"/>
  <c r="I50" i="4"/>
  <c r="J50" i="4" s="1"/>
  <c r="R50" i="4" s="1"/>
  <c r="I41" i="4"/>
  <c r="J41" i="4" s="1"/>
  <c r="R41" i="4" s="1"/>
  <c r="I46" i="4"/>
  <c r="J46" i="4" s="1"/>
  <c r="R46" i="4" s="1"/>
  <c r="I35" i="4"/>
  <c r="J35" i="4" s="1"/>
  <c r="R35" i="4" s="1"/>
  <c r="I31" i="4"/>
  <c r="J31" i="4" s="1"/>
  <c r="R31" i="4" s="1"/>
  <c r="I27" i="4"/>
  <c r="J27" i="4" s="1"/>
  <c r="R27" i="4" s="1"/>
  <c r="I23" i="4"/>
  <c r="J23" i="4" s="1"/>
  <c r="R23" i="4" s="1"/>
  <c r="I19" i="4"/>
  <c r="J19" i="4" s="1"/>
  <c r="R19" i="4" s="1"/>
  <c r="I6" i="4"/>
  <c r="T17" i="4"/>
  <c r="T21" i="4"/>
  <c r="T25" i="4"/>
  <c r="T29" i="4"/>
  <c r="T33" i="4"/>
  <c r="T37" i="4"/>
  <c r="T41" i="4"/>
  <c r="T46" i="4"/>
  <c r="T50" i="4"/>
  <c r="T52" i="4"/>
  <c r="T56" i="4"/>
  <c r="T59" i="4"/>
  <c r="AD58" i="4"/>
  <c r="AH58" i="4" s="1"/>
  <c r="AL58" i="4" s="1"/>
  <c r="AD57" i="4"/>
  <c r="AH57" i="4" s="1"/>
  <c r="AL57" i="4" s="1"/>
  <c r="AD55" i="4"/>
  <c r="AH55" i="4" s="1"/>
  <c r="AL55" i="4" s="1"/>
  <c r="AD53" i="4"/>
  <c r="AH53" i="4" s="1"/>
  <c r="AL53" i="4" s="1"/>
  <c r="AD51" i="4"/>
  <c r="AH51" i="4" s="1"/>
  <c r="AL51" i="4" s="1"/>
  <c r="AD54" i="4"/>
  <c r="AH54" i="4" s="1"/>
  <c r="AL54" i="4" s="1"/>
  <c r="AD49" i="4"/>
  <c r="AH49" i="4" s="1"/>
  <c r="AL49" i="4" s="1"/>
  <c r="AP49" i="4" s="1"/>
  <c r="AD47" i="4"/>
  <c r="AH47" i="4" s="1"/>
  <c r="AL47" i="4" s="1"/>
  <c r="AD45" i="4"/>
  <c r="AH45" i="4" s="1"/>
  <c r="AD43" i="4"/>
  <c r="AD40" i="4"/>
  <c r="AH40" i="4" s="1"/>
  <c r="AL40" i="4" s="1"/>
  <c r="AP40" i="4" s="1"/>
  <c r="AD52" i="4"/>
  <c r="AH52" i="4" s="1"/>
  <c r="AL52" i="4" s="1"/>
  <c r="AD50" i="4"/>
  <c r="AH50" i="4" s="1"/>
  <c r="AL50" i="4" s="1"/>
  <c r="AP50" i="4" s="1"/>
  <c r="AD46" i="4"/>
  <c r="AH46" i="4" s="1"/>
  <c r="AL46" i="4" s="1"/>
  <c r="AD41" i="4"/>
  <c r="AH41" i="4" s="1"/>
  <c r="AL41" i="4" s="1"/>
  <c r="AP41" i="4" s="1"/>
  <c r="AD38" i="4"/>
  <c r="AH38" i="4" s="1"/>
  <c r="AL38" i="4" s="1"/>
  <c r="AD36" i="4"/>
  <c r="AH36" i="4" s="1"/>
  <c r="AL36" i="4" s="1"/>
  <c r="AD34" i="4"/>
  <c r="AH34" i="4" s="1"/>
  <c r="AL34" i="4" s="1"/>
  <c r="AD32" i="4"/>
  <c r="AH32" i="4" s="1"/>
  <c r="AL32" i="4" s="1"/>
  <c r="AP32" i="4" s="1"/>
  <c r="AD30" i="4"/>
  <c r="AH30" i="4" s="1"/>
  <c r="AL30" i="4" s="1"/>
  <c r="AD28" i="4"/>
  <c r="AH28" i="4" s="1"/>
  <c r="AL28" i="4" s="1"/>
  <c r="AD26" i="4"/>
  <c r="AD24" i="4"/>
  <c r="AH24" i="4" s="1"/>
  <c r="AL24" i="4" s="1"/>
  <c r="AP24" i="4" s="1"/>
  <c r="AD22" i="4"/>
  <c r="AH22" i="4" s="1"/>
  <c r="AL22" i="4" s="1"/>
  <c r="AD20" i="4"/>
  <c r="AH20" i="4" s="1"/>
  <c r="AL20" i="4" s="1"/>
  <c r="AD18" i="4"/>
  <c r="AH18" i="4" s="1"/>
  <c r="AL18" i="4" s="1"/>
  <c r="AD16" i="4"/>
  <c r="AH16" i="4" s="1"/>
  <c r="AL16" i="4" s="1"/>
  <c r="AP16" i="4" s="1"/>
  <c r="AD59" i="4"/>
  <c r="AH59" i="4" s="1"/>
  <c r="AL59" i="4" s="1"/>
  <c r="AD48" i="4"/>
  <c r="AH48" i="4" s="1"/>
  <c r="AL48" i="4" s="1"/>
  <c r="AD39" i="4"/>
  <c r="AH39" i="4" s="1"/>
  <c r="AL39" i="4" s="1"/>
  <c r="AD35" i="4"/>
  <c r="AH35" i="4" s="1"/>
  <c r="AL35" i="4" s="1"/>
  <c r="AD31" i="4"/>
  <c r="AH31" i="4" s="1"/>
  <c r="AL31" i="4" s="1"/>
  <c r="AD27" i="4"/>
  <c r="AH27" i="4" s="1"/>
  <c r="AL27" i="4" s="1"/>
  <c r="AD23" i="4"/>
  <c r="AH23" i="4" s="1"/>
  <c r="AL23" i="4" s="1"/>
  <c r="AD19" i="4"/>
  <c r="AH19" i="4" s="1"/>
  <c r="AL19" i="4" s="1"/>
  <c r="AD15" i="4"/>
  <c r="AH15" i="4" s="1"/>
  <c r="AL15" i="4" s="1"/>
  <c r="AD13" i="4"/>
  <c r="AH13" i="4" s="1"/>
  <c r="AL13" i="4" s="1"/>
  <c r="AD11" i="4"/>
  <c r="AH11" i="4" s="1"/>
  <c r="AL11" i="4" s="1"/>
  <c r="AD9" i="4"/>
  <c r="AH9" i="4" s="1"/>
  <c r="AL9" i="4" s="1"/>
  <c r="AD56" i="4"/>
  <c r="AH56" i="4" s="1"/>
  <c r="AL56" i="4" s="1"/>
  <c r="AD44" i="4"/>
  <c r="AH44" i="4" s="1"/>
  <c r="AL44" i="4" s="1"/>
  <c r="AD37" i="4"/>
  <c r="AH37" i="4" s="1"/>
  <c r="AL37" i="4" s="1"/>
  <c r="AD33" i="4"/>
  <c r="AH33" i="4" s="1"/>
  <c r="AL33" i="4" s="1"/>
  <c r="AD29" i="4"/>
  <c r="AH29" i="4" s="1"/>
  <c r="AL29" i="4" s="1"/>
  <c r="AD25" i="4"/>
  <c r="AH25" i="4" s="1"/>
  <c r="AL25" i="4" s="1"/>
  <c r="AD21" i="4"/>
  <c r="AH21" i="4" s="1"/>
  <c r="AL21" i="4" s="1"/>
  <c r="AD17" i="4"/>
  <c r="AH17" i="4" s="1"/>
  <c r="AL17" i="4" s="1"/>
  <c r="AD14" i="4"/>
  <c r="AH14" i="4" s="1"/>
  <c r="AL14" i="4" s="1"/>
  <c r="AD12" i="4"/>
  <c r="AH12" i="4" s="1"/>
  <c r="AL12" i="4" s="1"/>
  <c r="AD10" i="4"/>
  <c r="AH10" i="4" s="1"/>
  <c r="AL10" i="4" s="1"/>
  <c r="AD8" i="4"/>
  <c r="Z61" i="4"/>
  <c r="F7" i="4"/>
  <c r="F6" i="4" s="1"/>
  <c r="G9" i="4"/>
  <c r="G13" i="4"/>
  <c r="G18" i="4"/>
  <c r="G26" i="4"/>
  <c r="G34" i="4"/>
  <c r="G43" i="4"/>
  <c r="G51" i="4"/>
  <c r="G57" i="4"/>
  <c r="I38" i="4"/>
  <c r="J38" i="4" s="1"/>
  <c r="R38" i="4" s="1"/>
  <c r="I37" i="4"/>
  <c r="J37" i="4" s="1"/>
  <c r="R37" i="4" s="1"/>
  <c r="I34" i="4"/>
  <c r="J34" i="4" s="1"/>
  <c r="R34" i="4" s="1"/>
  <c r="I33" i="4"/>
  <c r="J33" i="4" s="1"/>
  <c r="R33" i="4" s="1"/>
  <c r="I30" i="4"/>
  <c r="J30" i="4" s="1"/>
  <c r="R30" i="4" s="1"/>
  <c r="I29" i="4"/>
  <c r="J29" i="4" s="1"/>
  <c r="R29" i="4" s="1"/>
  <c r="I26" i="4"/>
  <c r="I25" i="4"/>
  <c r="J25" i="4" s="1"/>
  <c r="R25" i="4" s="1"/>
  <c r="I22" i="4"/>
  <c r="J22" i="4" s="1"/>
  <c r="R22" i="4" s="1"/>
  <c r="I21" i="4"/>
  <c r="J21" i="4" s="1"/>
  <c r="R21" i="4" s="1"/>
  <c r="I18" i="4"/>
  <c r="J18" i="4" s="1"/>
  <c r="R18" i="4" s="1"/>
  <c r="I17" i="4"/>
  <c r="J17" i="4" s="1"/>
  <c r="R17" i="4" s="1"/>
  <c r="I15" i="4"/>
  <c r="J15" i="4" s="1"/>
  <c r="R15" i="4" s="1"/>
  <c r="I12" i="4"/>
  <c r="J12" i="4" s="1"/>
  <c r="R12" i="4" s="1"/>
  <c r="I11" i="4"/>
  <c r="J11" i="4" s="1"/>
  <c r="R11" i="4" s="1"/>
  <c r="I58" i="4"/>
  <c r="J58" i="4" s="1"/>
  <c r="R58" i="4" s="1"/>
  <c r="I56" i="4"/>
  <c r="J56" i="4" s="1"/>
  <c r="R56" i="4" s="1"/>
  <c r="I55" i="4"/>
  <c r="J55" i="4" s="1"/>
  <c r="R55" i="4" s="1"/>
  <c r="I53" i="4"/>
  <c r="J53" i="4" s="1"/>
  <c r="R53" i="4" s="1"/>
  <c r="AY49" i="4"/>
  <c r="AG49" i="4"/>
  <c r="I48" i="4"/>
  <c r="J48" i="4" s="1"/>
  <c r="R48" i="4" s="1"/>
  <c r="I45" i="4"/>
  <c r="AY40" i="4"/>
  <c r="AG40" i="4"/>
  <c r="I39" i="4"/>
  <c r="J39" i="4" s="1"/>
  <c r="R39" i="4" s="1"/>
  <c r="S35" i="4"/>
  <c r="S31" i="4"/>
  <c r="S27" i="4"/>
  <c r="S23" i="4"/>
  <c r="S19" i="4"/>
  <c r="AG14" i="4"/>
  <c r="AY14" i="4"/>
  <c r="T14" i="4"/>
  <c r="S13" i="4"/>
  <c r="U11" i="4"/>
  <c r="AG10" i="4"/>
  <c r="AY10" i="4"/>
  <c r="T10" i="4"/>
  <c r="S9" i="4"/>
  <c r="AE59" i="4"/>
  <c r="AI59" i="4" s="1"/>
  <c r="AM59" i="4" s="1"/>
  <c r="AE57" i="4"/>
  <c r="AI57" i="4" s="1"/>
  <c r="AM57" i="4" s="1"/>
  <c r="AE56" i="4"/>
  <c r="AI56" i="4" s="1"/>
  <c r="AM56" i="4" s="1"/>
  <c r="AE54" i="4"/>
  <c r="AI54" i="4" s="1"/>
  <c r="AM54" i="4" s="1"/>
  <c r="AE52" i="4"/>
  <c r="AI52" i="4" s="1"/>
  <c r="AM52" i="4" s="1"/>
  <c r="AE58" i="4"/>
  <c r="AI58" i="4" s="1"/>
  <c r="AM58" i="4" s="1"/>
  <c r="AE53" i="4"/>
  <c r="AI53" i="4" s="1"/>
  <c r="AM53" i="4" s="1"/>
  <c r="AE50" i="4"/>
  <c r="AI50" i="4" s="1"/>
  <c r="AM50" i="4" s="1"/>
  <c r="AE48" i="4"/>
  <c r="AI48" i="4" s="1"/>
  <c r="AM48" i="4" s="1"/>
  <c r="AE46" i="4"/>
  <c r="AI46" i="4" s="1"/>
  <c r="AM46" i="4" s="1"/>
  <c r="AE44" i="4"/>
  <c r="AI44" i="4" s="1"/>
  <c r="AM44" i="4" s="1"/>
  <c r="AE41" i="4"/>
  <c r="AI41" i="4" s="1"/>
  <c r="AM41" i="4" s="1"/>
  <c r="AE39" i="4"/>
  <c r="AI39" i="4" s="1"/>
  <c r="AM39" i="4" s="1"/>
  <c r="AE55" i="4"/>
  <c r="AI55" i="4" s="1"/>
  <c r="AM55" i="4" s="1"/>
  <c r="AE49" i="4"/>
  <c r="AI49" i="4" s="1"/>
  <c r="AM49" i="4" s="1"/>
  <c r="AE45" i="4"/>
  <c r="AI45" i="4" s="1"/>
  <c r="AE40" i="4"/>
  <c r="AI40" i="4" s="1"/>
  <c r="AM40" i="4" s="1"/>
  <c r="AE37" i="4"/>
  <c r="AI37" i="4" s="1"/>
  <c r="AM37" i="4" s="1"/>
  <c r="AE35" i="4"/>
  <c r="AI35" i="4" s="1"/>
  <c r="AM35" i="4" s="1"/>
  <c r="AE33" i="4"/>
  <c r="AI33" i="4" s="1"/>
  <c r="AM33" i="4" s="1"/>
  <c r="AQ33" i="4" s="1"/>
  <c r="AE31" i="4"/>
  <c r="AI31" i="4" s="1"/>
  <c r="AM31" i="4" s="1"/>
  <c r="AE29" i="4"/>
  <c r="AI29" i="4" s="1"/>
  <c r="AM29" i="4" s="1"/>
  <c r="AE27" i="4"/>
  <c r="AI27" i="4" s="1"/>
  <c r="AM27" i="4" s="1"/>
  <c r="AE25" i="4"/>
  <c r="AI25" i="4" s="1"/>
  <c r="AM25" i="4" s="1"/>
  <c r="AE23" i="4"/>
  <c r="AI23" i="4" s="1"/>
  <c r="AM23" i="4" s="1"/>
  <c r="AE21" i="4"/>
  <c r="AI21" i="4" s="1"/>
  <c r="AM21" i="4" s="1"/>
  <c r="AE19" i="4"/>
  <c r="AI19" i="4" s="1"/>
  <c r="AM19" i="4" s="1"/>
  <c r="AE17" i="4"/>
  <c r="AE15" i="4"/>
  <c r="AI15" i="4" s="1"/>
  <c r="AM15" i="4" s="1"/>
  <c r="AE51" i="4"/>
  <c r="AI51" i="4" s="1"/>
  <c r="AM51" i="4" s="1"/>
  <c r="AQ51" i="4" s="1"/>
  <c r="AE43" i="4"/>
  <c r="AE38" i="4"/>
  <c r="AI38" i="4" s="1"/>
  <c r="AM38" i="4" s="1"/>
  <c r="AE34" i="4"/>
  <c r="AI34" i="4" s="1"/>
  <c r="AM34" i="4" s="1"/>
  <c r="AE30" i="4"/>
  <c r="AI30" i="4" s="1"/>
  <c r="AM30" i="4" s="1"/>
  <c r="AE26" i="4"/>
  <c r="AE22" i="4"/>
  <c r="AI22" i="4" s="1"/>
  <c r="AM22" i="4" s="1"/>
  <c r="AE18" i="4"/>
  <c r="AI18" i="4" s="1"/>
  <c r="AM18" i="4" s="1"/>
  <c r="AE14" i="4"/>
  <c r="AI14" i="4" s="1"/>
  <c r="AM14" i="4" s="1"/>
  <c r="AE12" i="4"/>
  <c r="AI12" i="4" s="1"/>
  <c r="AM12" i="4" s="1"/>
  <c r="AE10" i="4"/>
  <c r="AI10" i="4" s="1"/>
  <c r="AM10" i="4" s="1"/>
  <c r="AE8" i="4"/>
  <c r="AE47" i="4"/>
  <c r="AI47" i="4" s="1"/>
  <c r="AM47" i="4" s="1"/>
  <c r="AE36" i="4"/>
  <c r="AI36" i="4" s="1"/>
  <c r="AM36" i="4" s="1"/>
  <c r="AE32" i="4"/>
  <c r="AI32" i="4" s="1"/>
  <c r="AM32" i="4" s="1"/>
  <c r="AE28" i="4"/>
  <c r="AI28" i="4" s="1"/>
  <c r="AM28" i="4" s="1"/>
  <c r="AQ28" i="4" s="1"/>
  <c r="AE24" i="4"/>
  <c r="AI24" i="4" s="1"/>
  <c r="AM24" i="4" s="1"/>
  <c r="AE20" i="4"/>
  <c r="AI20" i="4" s="1"/>
  <c r="AM20" i="4" s="1"/>
  <c r="AE16" i="4"/>
  <c r="AE13" i="4"/>
  <c r="AI13" i="4" s="1"/>
  <c r="AM13" i="4" s="1"/>
  <c r="AE11" i="4"/>
  <c r="AI11" i="4" s="1"/>
  <c r="AM11" i="4" s="1"/>
  <c r="AE9" i="4"/>
  <c r="AI9" i="4" s="1"/>
  <c r="AM9" i="4" s="1"/>
  <c r="AI17" i="4"/>
  <c r="AM17" i="4" s="1"/>
  <c r="AA61" i="4"/>
  <c r="AG15" i="4"/>
  <c r="AY15" i="4"/>
  <c r="AG19" i="4"/>
  <c r="AY19" i="4"/>
  <c r="AG23" i="4"/>
  <c r="AY23" i="4"/>
  <c r="AG27" i="4"/>
  <c r="AY27" i="4"/>
  <c r="AG31" i="4"/>
  <c r="AY31" i="4"/>
  <c r="AG35" i="4"/>
  <c r="AY35" i="4"/>
  <c r="AY43" i="4"/>
  <c r="AG43" i="4"/>
  <c r="AY53" i="4"/>
  <c r="AG53" i="4"/>
  <c r="AG41" i="4"/>
  <c r="AY41" i="4"/>
  <c r="AG46" i="4"/>
  <c r="AY46" i="4"/>
  <c r="AG50" i="4"/>
  <c r="AY50" i="4"/>
  <c r="AY55" i="4"/>
  <c r="AG55" i="4"/>
  <c r="AG54" i="4"/>
  <c r="AY54" i="4"/>
  <c r="AY58" i="4"/>
  <c r="AG58" i="4"/>
  <c r="AG59" i="4"/>
  <c r="AY59" i="4"/>
  <c r="K61" i="4"/>
  <c r="S45" i="4"/>
  <c r="S54" i="4"/>
  <c r="S55" i="4"/>
  <c r="S58" i="4"/>
  <c r="S56" i="4"/>
  <c r="U50" i="4"/>
  <c r="I49" i="4"/>
  <c r="J49" i="4" s="1"/>
  <c r="R49" i="4" s="1"/>
  <c r="T47" i="4"/>
  <c r="S44" i="4"/>
  <c r="U41" i="4"/>
  <c r="I40" i="4"/>
  <c r="J40" i="4" s="1"/>
  <c r="R40" i="4" s="1"/>
  <c r="AY38" i="4"/>
  <c r="AG38" i="4"/>
  <c r="AY34" i="4"/>
  <c r="AG34" i="4"/>
  <c r="AY30" i="4"/>
  <c r="AG30" i="4"/>
  <c r="AY26" i="4"/>
  <c r="AG26" i="4"/>
  <c r="AY22" i="4"/>
  <c r="AG22" i="4"/>
  <c r="AY18" i="4"/>
  <c r="AG18" i="4"/>
  <c r="AI16" i="4"/>
  <c r="AM16" i="4" s="1"/>
  <c r="AQ16" i="4" s="1"/>
  <c r="U14" i="4"/>
  <c r="AY13" i="4"/>
  <c r="AG13" i="4"/>
  <c r="U12" i="4"/>
  <c r="AY11" i="4"/>
  <c r="AG11" i="4"/>
  <c r="U10" i="4"/>
  <c r="AY9" i="4"/>
  <c r="AG9" i="4"/>
  <c r="AH8" i="4"/>
  <c r="O7" i="4"/>
  <c r="S8" i="4"/>
  <c r="U16" i="4"/>
  <c r="U20" i="4"/>
  <c r="U24" i="4"/>
  <c r="U28" i="4"/>
  <c r="U32" i="4"/>
  <c r="U36" i="4"/>
  <c r="T40" i="4"/>
  <c r="L61" i="4"/>
  <c r="T45" i="4"/>
  <c r="T49" i="4"/>
  <c r="U40" i="4"/>
  <c r="M61" i="4"/>
  <c r="U45" i="4"/>
  <c r="U49" i="4"/>
  <c r="U56" i="4"/>
  <c r="U51" i="4"/>
  <c r="U55" i="4"/>
  <c r="U58" i="4"/>
  <c r="AF58" i="4"/>
  <c r="AJ58" i="4" s="1"/>
  <c r="AN58" i="4" s="1"/>
  <c r="AF59" i="4"/>
  <c r="AJ59" i="4" s="1"/>
  <c r="AN59" i="4" s="1"/>
  <c r="AR59" i="4" s="1"/>
  <c r="AF55" i="4"/>
  <c r="AJ55" i="4" s="1"/>
  <c r="AN55" i="4" s="1"/>
  <c r="AF53" i="4"/>
  <c r="AJ53" i="4" s="1"/>
  <c r="AN53" i="4" s="1"/>
  <c r="AR53" i="4" s="1"/>
  <c r="AF51" i="4"/>
  <c r="AJ51" i="4" s="1"/>
  <c r="AN51" i="4" s="1"/>
  <c r="AF56" i="4"/>
  <c r="AJ56" i="4" s="1"/>
  <c r="AN56" i="4" s="1"/>
  <c r="AF52" i="4"/>
  <c r="AJ52" i="4" s="1"/>
  <c r="AN52" i="4" s="1"/>
  <c r="AR52" i="4" s="1"/>
  <c r="AF49" i="4"/>
  <c r="AJ49" i="4" s="1"/>
  <c r="AN49" i="4" s="1"/>
  <c r="AF47" i="4"/>
  <c r="AJ47" i="4" s="1"/>
  <c r="AN47" i="4" s="1"/>
  <c r="AR47" i="4" s="1"/>
  <c r="AF45" i="4"/>
  <c r="AJ45" i="4" s="1"/>
  <c r="AF43" i="4"/>
  <c r="AF40" i="4"/>
  <c r="AJ40" i="4" s="1"/>
  <c r="AN40" i="4" s="1"/>
  <c r="AF57" i="4"/>
  <c r="AJ57" i="4" s="1"/>
  <c r="AN57" i="4" s="1"/>
  <c r="AR57" i="4" s="1"/>
  <c r="AF48" i="4"/>
  <c r="AJ48" i="4" s="1"/>
  <c r="AN48" i="4" s="1"/>
  <c r="AR48" i="4" s="1"/>
  <c r="AF44" i="4"/>
  <c r="AJ44" i="4" s="1"/>
  <c r="AN44" i="4" s="1"/>
  <c r="AF39" i="4"/>
  <c r="AJ39" i="4" s="1"/>
  <c r="AN39" i="4" s="1"/>
  <c r="AR39" i="4" s="1"/>
  <c r="AF38" i="4"/>
  <c r="AJ38" i="4" s="1"/>
  <c r="AN38" i="4" s="1"/>
  <c r="AR38" i="4" s="1"/>
  <c r="AF36" i="4"/>
  <c r="AJ36" i="4" s="1"/>
  <c r="AN36" i="4" s="1"/>
  <c r="AF34" i="4"/>
  <c r="AJ34" i="4" s="1"/>
  <c r="AN34" i="4" s="1"/>
  <c r="AR34" i="4" s="1"/>
  <c r="AF32" i="4"/>
  <c r="AJ32" i="4" s="1"/>
  <c r="AN32" i="4" s="1"/>
  <c r="AF30" i="4"/>
  <c r="AJ30" i="4" s="1"/>
  <c r="AN30" i="4" s="1"/>
  <c r="AR30" i="4" s="1"/>
  <c r="AF28" i="4"/>
  <c r="AJ28" i="4" s="1"/>
  <c r="AN28" i="4" s="1"/>
  <c r="AF26" i="4"/>
  <c r="AF24" i="4"/>
  <c r="AJ24" i="4" s="1"/>
  <c r="AN24" i="4" s="1"/>
  <c r="AF22" i="4"/>
  <c r="AJ22" i="4" s="1"/>
  <c r="AN22" i="4" s="1"/>
  <c r="AR22" i="4" s="1"/>
  <c r="AF20" i="4"/>
  <c r="AJ20" i="4" s="1"/>
  <c r="AN20" i="4" s="1"/>
  <c r="AF18" i="4"/>
  <c r="AJ18" i="4" s="1"/>
  <c r="AN18" i="4" s="1"/>
  <c r="AR18" i="4" s="1"/>
  <c r="AF16" i="4"/>
  <c r="AF54" i="4"/>
  <c r="AJ54" i="4" s="1"/>
  <c r="AN54" i="4" s="1"/>
  <c r="AF46" i="4"/>
  <c r="AJ46" i="4" s="1"/>
  <c r="AN46" i="4" s="1"/>
  <c r="AF37" i="4"/>
  <c r="AJ37" i="4" s="1"/>
  <c r="AN37" i="4" s="1"/>
  <c r="AF33" i="4"/>
  <c r="AJ33" i="4" s="1"/>
  <c r="AN33" i="4" s="1"/>
  <c r="AF29" i="4"/>
  <c r="AJ29" i="4" s="1"/>
  <c r="AN29" i="4" s="1"/>
  <c r="AF25" i="4"/>
  <c r="AJ25" i="4" s="1"/>
  <c r="AN25" i="4" s="1"/>
  <c r="AF21" i="4"/>
  <c r="AJ21" i="4" s="1"/>
  <c r="AN21" i="4" s="1"/>
  <c r="AF17" i="4"/>
  <c r="AJ17" i="4" s="1"/>
  <c r="AN17" i="4" s="1"/>
  <c r="AF13" i="4"/>
  <c r="AJ13" i="4" s="1"/>
  <c r="AN13" i="4" s="1"/>
  <c r="AF11" i="4"/>
  <c r="AJ11" i="4" s="1"/>
  <c r="AN11" i="4" s="1"/>
  <c r="AF9" i="4"/>
  <c r="AJ9" i="4" s="1"/>
  <c r="AN9" i="4" s="1"/>
  <c r="AF50" i="4"/>
  <c r="AJ50" i="4" s="1"/>
  <c r="AN50" i="4" s="1"/>
  <c r="AF41" i="4"/>
  <c r="AJ41" i="4" s="1"/>
  <c r="AN41" i="4" s="1"/>
  <c r="AF35" i="4"/>
  <c r="AJ35" i="4" s="1"/>
  <c r="AN35" i="4" s="1"/>
  <c r="AF31" i="4"/>
  <c r="AJ31" i="4" s="1"/>
  <c r="AN31" i="4" s="1"/>
  <c r="AF27" i="4"/>
  <c r="AJ27" i="4" s="1"/>
  <c r="AN27" i="4" s="1"/>
  <c r="AF23" i="4"/>
  <c r="AJ23" i="4" s="1"/>
  <c r="AN23" i="4" s="1"/>
  <c r="AF19" i="4"/>
  <c r="AJ19" i="4" s="1"/>
  <c r="AN19" i="4" s="1"/>
  <c r="AF15" i="4"/>
  <c r="AJ15" i="4" s="1"/>
  <c r="AN15" i="4" s="1"/>
  <c r="AF14" i="4"/>
  <c r="AJ14" i="4" s="1"/>
  <c r="AN14" i="4" s="1"/>
  <c r="AF12" i="4"/>
  <c r="AJ12" i="4" s="1"/>
  <c r="AN12" i="4" s="1"/>
  <c r="AF10" i="4"/>
  <c r="AJ10" i="4" s="1"/>
  <c r="AN10" i="4" s="1"/>
  <c r="AF8" i="4"/>
  <c r="AJ16" i="4"/>
  <c r="AN16" i="4" s="1"/>
  <c r="AB61" i="4"/>
  <c r="O61" i="4"/>
  <c r="I47" i="4"/>
  <c r="J47" i="4" s="1"/>
  <c r="R47" i="4" s="1"/>
  <c r="E7" i="4"/>
  <c r="G8" i="4"/>
  <c r="G12" i="4"/>
  <c r="G41" i="4"/>
  <c r="G11" i="4"/>
  <c r="G15" i="4"/>
  <c r="G21" i="4"/>
  <c r="G29" i="4"/>
  <c r="G37" i="4"/>
  <c r="G16" i="4"/>
  <c r="G20" i="4"/>
  <c r="G24" i="4"/>
  <c r="G28" i="4"/>
  <c r="G32" i="4"/>
  <c r="G36" i="4"/>
  <c r="G40" i="4"/>
  <c r="G45" i="4"/>
  <c r="G49" i="4"/>
  <c r="G56" i="4"/>
  <c r="G55" i="4"/>
  <c r="G59" i="4"/>
  <c r="G58" i="4"/>
  <c r="I36" i="4"/>
  <c r="J36" i="4" s="1"/>
  <c r="R36" i="4" s="1"/>
  <c r="I32" i="4"/>
  <c r="J32" i="4" s="1"/>
  <c r="R32" i="4" s="1"/>
  <c r="I28" i="4"/>
  <c r="J28" i="4" s="1"/>
  <c r="R28" i="4" s="1"/>
  <c r="I24" i="4"/>
  <c r="J24" i="4" s="1"/>
  <c r="R24" i="4" s="1"/>
  <c r="I20" i="4"/>
  <c r="J20" i="4" s="1"/>
  <c r="R20" i="4" s="1"/>
  <c r="I16" i="4"/>
  <c r="J16" i="4" s="1"/>
  <c r="R16" i="4" s="1"/>
  <c r="I14" i="4"/>
  <c r="J14" i="4" s="1"/>
  <c r="R14" i="4" s="1"/>
  <c r="I13" i="4"/>
  <c r="J13" i="4" s="1"/>
  <c r="R13" i="4" s="1"/>
  <c r="I10" i="4"/>
  <c r="J10" i="4" s="1"/>
  <c r="R10" i="4" s="1"/>
  <c r="I9" i="4"/>
  <c r="J9" i="4" s="1"/>
  <c r="R9" i="4" s="1"/>
  <c r="I8" i="4"/>
  <c r="J8" i="4" s="1"/>
  <c r="AY7" i="4" l="1"/>
  <c r="AZ7" i="4" s="1"/>
  <c r="AR20" i="4"/>
  <c r="AR55" i="4"/>
  <c r="AD42" i="4"/>
  <c r="AF42" i="4"/>
  <c r="AQ24" i="4"/>
  <c r="AG42" i="4"/>
  <c r="AG7" i="4"/>
  <c r="AR36" i="4"/>
  <c r="AR49" i="4"/>
  <c r="AQ11" i="4"/>
  <c r="AR28" i="4"/>
  <c r="T42" i="4"/>
  <c r="AY42" i="4"/>
  <c r="AE42" i="4"/>
  <c r="AQ52" i="4"/>
  <c r="AQ59" i="4"/>
  <c r="AP48" i="4"/>
  <c r="AP20" i="4"/>
  <c r="AP28" i="4"/>
  <c r="AP36" i="4"/>
  <c r="S42" i="4"/>
  <c r="S7" i="4" s="1"/>
  <c r="U42" i="4"/>
  <c r="I42" i="4"/>
  <c r="AR17" i="4"/>
  <c r="AR25" i="4"/>
  <c r="AR33" i="4"/>
  <c r="AQ32" i="4"/>
  <c r="AQ17" i="4"/>
  <c r="AQ14" i="4"/>
  <c r="AQ25" i="4"/>
  <c r="AQ41" i="4"/>
  <c r="AQ50" i="4"/>
  <c r="I61" i="4"/>
  <c r="AP39" i="4"/>
  <c r="AP57" i="4"/>
  <c r="T7" i="4"/>
  <c r="AQ13" i="4"/>
  <c r="AQ20" i="4"/>
  <c r="AQ36" i="4"/>
  <c r="AQ19" i="4"/>
  <c r="AQ27" i="4"/>
  <c r="AQ35" i="4"/>
  <c r="AQ44" i="4"/>
  <c r="AQ53" i="4"/>
  <c r="AP10" i="4"/>
  <c r="AP14" i="4"/>
  <c r="AP11" i="4"/>
  <c r="AP15" i="4"/>
  <c r="AP22" i="4"/>
  <c r="AP30" i="4"/>
  <c r="AP38" i="4"/>
  <c r="AP52" i="4"/>
  <c r="AP47" i="4"/>
  <c r="AP12" i="4"/>
  <c r="AI43" i="4"/>
  <c r="AI42" i="4" s="1"/>
  <c r="AH43" i="4"/>
  <c r="AH42" i="4" s="1"/>
  <c r="J43" i="4"/>
  <c r="AR12" i="4"/>
  <c r="AR21" i="4"/>
  <c r="AR29" i="4"/>
  <c r="AR37" i="4"/>
  <c r="AR44" i="4"/>
  <c r="AJ43" i="4"/>
  <c r="AJ42" i="4" s="1"/>
  <c r="U61" i="4"/>
  <c r="T61" i="4"/>
  <c r="AQ21" i="4"/>
  <c r="AQ29" i="4"/>
  <c r="AQ37" i="4"/>
  <c r="AQ57" i="4"/>
  <c r="AP17" i="4"/>
  <c r="AP25" i="4"/>
  <c r="AP33" i="4"/>
  <c r="AP19" i="4"/>
  <c r="AP35" i="4"/>
  <c r="AR24" i="4"/>
  <c r="AR56" i="4"/>
  <c r="AQ39" i="4"/>
  <c r="AQ9" i="4"/>
  <c r="AQ12" i="4"/>
  <c r="AQ18" i="4"/>
  <c r="AQ34" i="4"/>
  <c r="AQ15" i="4"/>
  <c r="AQ23" i="4"/>
  <c r="AQ31" i="4"/>
  <c r="AQ48" i="4"/>
  <c r="AQ56" i="4"/>
  <c r="AP59" i="4"/>
  <c r="AP21" i="4"/>
  <c r="AP29" i="4"/>
  <c r="AP37" i="4"/>
  <c r="AP31" i="4"/>
  <c r="AP18" i="4"/>
  <c r="AP34" i="4"/>
  <c r="AP46" i="4"/>
  <c r="AP54" i="4"/>
  <c r="AP53" i="4"/>
  <c r="AQ49" i="4"/>
  <c r="AH26" i="4"/>
  <c r="AP55" i="4"/>
  <c r="AR15" i="4"/>
  <c r="AR23" i="4"/>
  <c r="AR31" i="4"/>
  <c r="AR41" i="4"/>
  <c r="AR9" i="4"/>
  <c r="AR13" i="4"/>
  <c r="AR54" i="4"/>
  <c r="AJ26" i="4"/>
  <c r="AQ55" i="4"/>
  <c r="U7" i="4"/>
  <c r="AI26" i="4"/>
  <c r="J26" i="4"/>
  <c r="AP56" i="4"/>
  <c r="AP51" i="4"/>
  <c r="AR10" i="4"/>
  <c r="AR19" i="4"/>
  <c r="AR27" i="4"/>
  <c r="AR35" i="4"/>
  <c r="AR46" i="4"/>
  <c r="AQ54" i="4"/>
  <c r="AQ22" i="4"/>
  <c r="AQ30" i="4"/>
  <c r="AQ38" i="4"/>
  <c r="AQ58" i="4"/>
  <c r="AQ40" i="4"/>
  <c r="AP23" i="4"/>
  <c r="AP44" i="4"/>
  <c r="AR40" i="4"/>
  <c r="AR32" i="4"/>
  <c r="AR16" i="4"/>
  <c r="AR14" i="4"/>
  <c r="AR50" i="4"/>
  <c r="AR11" i="4"/>
  <c r="AF61" i="4"/>
  <c r="S61" i="4"/>
  <c r="AQ47" i="4"/>
  <c r="AQ46" i="4"/>
  <c r="AP27" i="4"/>
  <c r="AN45" i="4"/>
  <c r="AK9" i="4"/>
  <c r="AK13" i="4"/>
  <c r="AK59" i="4"/>
  <c r="AK54" i="4"/>
  <c r="AK50" i="4"/>
  <c r="AK46" i="4"/>
  <c r="AK41" i="4"/>
  <c r="AK35" i="4"/>
  <c r="AK31" i="4"/>
  <c r="AK27" i="4"/>
  <c r="AK23" i="4"/>
  <c r="AK19" i="4"/>
  <c r="AK15" i="4"/>
  <c r="AM45" i="4"/>
  <c r="AE7" i="4"/>
  <c r="AK10" i="4"/>
  <c r="AK14" i="4"/>
  <c r="J45" i="4"/>
  <c r="AK49" i="4"/>
  <c r="AL45" i="4"/>
  <c r="AY61" i="4"/>
  <c r="AK57" i="4"/>
  <c r="AK56" i="4"/>
  <c r="AK52" i="4"/>
  <c r="AK48" i="4"/>
  <c r="AK44" i="4"/>
  <c r="AK39" i="4"/>
  <c r="AK37" i="4"/>
  <c r="AK33" i="4"/>
  <c r="AK29" i="4"/>
  <c r="AK25" i="4"/>
  <c r="AK21" i="4"/>
  <c r="AK17" i="4"/>
  <c r="AK8" i="4"/>
  <c r="AQ10" i="4"/>
  <c r="AK12" i="4"/>
  <c r="AK20" i="4"/>
  <c r="AK28" i="4"/>
  <c r="AK36" i="4"/>
  <c r="R8" i="4"/>
  <c r="G7" i="4"/>
  <c r="AP58" i="4"/>
  <c r="AR58" i="4"/>
  <c r="AR51" i="4"/>
  <c r="AF7" i="4"/>
  <c r="AL8" i="4"/>
  <c r="AK11" i="4"/>
  <c r="AK18" i="4"/>
  <c r="AK22" i="4"/>
  <c r="AK26" i="4"/>
  <c r="AK30" i="4"/>
  <c r="AK34" i="4"/>
  <c r="AK38" i="4"/>
  <c r="AK58" i="4"/>
  <c r="AK55" i="4"/>
  <c r="AK53" i="4"/>
  <c r="AK43" i="4"/>
  <c r="AE61" i="4"/>
  <c r="AI8" i="4"/>
  <c r="AP9" i="4"/>
  <c r="AP13" i="4"/>
  <c r="AK40" i="4"/>
  <c r="AD7" i="4"/>
  <c r="AD61" i="4"/>
  <c r="AJ8" i="4"/>
  <c r="AG61" i="4"/>
  <c r="AK45" i="4"/>
  <c r="AK51" i="4"/>
  <c r="AK47" i="4"/>
  <c r="AK16" i="4"/>
  <c r="AK24" i="4"/>
  <c r="AK32" i="4"/>
  <c r="AK42" i="4" l="1"/>
  <c r="J42" i="4"/>
  <c r="J7" i="4" s="1"/>
  <c r="D17" i="1" s="1"/>
  <c r="AJ61" i="4"/>
  <c r="AI61" i="4"/>
  <c r="AH61" i="4"/>
  <c r="AH7" i="4"/>
  <c r="R43" i="4"/>
  <c r="AL43" i="4"/>
  <c r="AL42" i="4" s="1"/>
  <c r="AM43" i="4"/>
  <c r="AM42" i="4" s="1"/>
  <c r="AI7" i="4"/>
  <c r="AN43" i="4"/>
  <c r="AN42" i="4" s="1"/>
  <c r="AJ7" i="4"/>
  <c r="R26" i="4"/>
  <c r="AO26" i="4" s="1"/>
  <c r="AM26" i="4"/>
  <c r="AN26" i="4"/>
  <c r="AL26" i="4"/>
  <c r="AO32" i="4"/>
  <c r="AO24" i="4"/>
  <c r="AO16" i="4"/>
  <c r="AK61" i="4"/>
  <c r="AO55" i="4"/>
  <c r="AO58" i="4"/>
  <c r="AO38" i="4"/>
  <c r="AP8" i="4"/>
  <c r="AO12" i="4"/>
  <c r="AO8" i="4"/>
  <c r="AO17" i="4"/>
  <c r="AO21" i="4"/>
  <c r="AO25" i="4"/>
  <c r="AO29" i="4"/>
  <c r="AO33" i="4"/>
  <c r="AO37" i="4"/>
  <c r="AO39" i="4"/>
  <c r="AO44" i="4"/>
  <c r="AO48" i="4"/>
  <c r="AO52" i="4"/>
  <c r="AO56" i="4"/>
  <c r="AO57" i="4"/>
  <c r="AP45" i="4"/>
  <c r="AO49" i="4"/>
  <c r="J61" i="4"/>
  <c r="R45" i="4"/>
  <c r="AQ45" i="4"/>
  <c r="AO15" i="4"/>
  <c r="AO19" i="4"/>
  <c r="AO23" i="4"/>
  <c r="AO27" i="4"/>
  <c r="AO31" i="4"/>
  <c r="AO35" i="4"/>
  <c r="AO41" i="4"/>
  <c r="AO46" i="4"/>
  <c r="AO50" i="4"/>
  <c r="AO54" i="4"/>
  <c r="AO59" i="4"/>
  <c r="AO13" i="4"/>
  <c r="AO9" i="4"/>
  <c r="AR45" i="4"/>
  <c r="AO47" i="4"/>
  <c r="AO51" i="4"/>
  <c r="AN8" i="4"/>
  <c r="AO40" i="4"/>
  <c r="AM8" i="4"/>
  <c r="AO53" i="4"/>
  <c r="AO34" i="4"/>
  <c r="AO30" i="4"/>
  <c r="AO22" i="4"/>
  <c r="AO18" i="4"/>
  <c r="AO11" i="4"/>
  <c r="AO36" i="4"/>
  <c r="AO28" i="4"/>
  <c r="AO20" i="4"/>
  <c r="AO14" i="4"/>
  <c r="AO10" i="4"/>
  <c r="AO43" i="4" l="1"/>
  <c r="R42" i="4"/>
  <c r="R7" i="4" s="1"/>
  <c r="AO7" i="4" s="1"/>
  <c r="AL61" i="4"/>
  <c r="AN61" i="4"/>
  <c r="AM61" i="4"/>
  <c r="AK7" i="4"/>
  <c r="R61" i="4"/>
  <c r="AR43" i="4"/>
  <c r="AR42" i="4" s="1"/>
  <c r="AQ43" i="4"/>
  <c r="AQ42" i="4" s="1"/>
  <c r="AL7" i="4"/>
  <c r="AP7" i="4" s="1"/>
  <c r="AP43" i="4"/>
  <c r="AP42" i="4" s="1"/>
  <c r="D19" i="1"/>
  <c r="D23" i="1"/>
  <c r="D25" i="1" s="1"/>
  <c r="D37" i="1" s="1"/>
  <c r="D38" i="1" s="1"/>
  <c r="AP26" i="4"/>
  <c r="AR26" i="4"/>
  <c r="AN7" i="4"/>
  <c r="AR7" i="4" s="1"/>
  <c r="AQ26" i="4"/>
  <c r="AM7" i="4"/>
  <c r="AQ7" i="4" s="1"/>
  <c r="AO45" i="4"/>
  <c r="AQ8" i="4"/>
  <c r="AR8" i="4"/>
  <c r="AO61" i="4" l="1"/>
  <c r="AO42" i="4"/>
  <c r="AQ61" i="4"/>
  <c r="AP61" i="4"/>
  <c r="AR61" i="4"/>
  <c r="D27" i="1"/>
  <c r="AV31" i="4"/>
  <c r="AX31" i="4" s="1"/>
  <c r="AZ31" i="4" s="1"/>
  <c r="AV59" i="4"/>
  <c r="AX59" i="4" s="1"/>
  <c r="AZ59" i="4" s="1"/>
  <c r="AV37" i="4"/>
  <c r="AX37" i="4" s="1"/>
  <c r="AZ37" i="4" s="1"/>
  <c r="AV50" i="4"/>
  <c r="AX50" i="4" s="1"/>
  <c r="AZ50" i="4" s="1"/>
  <c r="AV47" i="4"/>
  <c r="AX47" i="4" s="1"/>
  <c r="AZ47" i="4" s="1"/>
  <c r="AV14" i="4"/>
  <c r="AX14" i="4" s="1"/>
  <c r="AZ14" i="4" s="1"/>
  <c r="AV12" i="4"/>
  <c r="AX12" i="4"/>
  <c r="AZ12" i="4" s="1"/>
  <c r="AV24" i="4"/>
  <c r="AX24" i="4" s="1"/>
  <c r="AZ24" i="4" s="1"/>
  <c r="AV32" i="4"/>
  <c r="AX32" i="4" s="1"/>
  <c r="AZ32" i="4" s="1"/>
  <c r="AV46" i="4"/>
  <c r="AX46" i="4" s="1"/>
  <c r="AZ46" i="4" s="1"/>
  <c r="AV22" i="4"/>
  <c r="AX22" i="4" s="1"/>
  <c r="AZ22" i="4" s="1"/>
  <c r="AV49" i="4"/>
  <c r="AX49" i="4" s="1"/>
  <c r="AZ49" i="4" s="1"/>
  <c r="AV15" i="4"/>
  <c r="AX15" i="4" s="1"/>
  <c r="AZ15" i="4" s="1"/>
  <c r="AV34" i="4"/>
  <c r="AX34" i="4"/>
  <c r="AZ34" i="4" s="1"/>
  <c r="AV54" i="4"/>
  <c r="AX54" i="4" s="1"/>
  <c r="AZ54" i="4" s="1"/>
  <c r="AV40" i="4"/>
  <c r="AX40" i="4" s="1"/>
  <c r="AZ40" i="4" s="1"/>
  <c r="AV36" i="4"/>
  <c r="AX36" i="4"/>
  <c r="AZ36" i="4"/>
  <c r="AV35" i="4"/>
  <c r="AX35" i="4" s="1"/>
  <c r="AZ35" i="4" s="1"/>
  <c r="AV19" i="4"/>
  <c r="AX19" i="4" s="1"/>
  <c r="AZ19" i="4" s="1"/>
  <c r="AV16" i="4"/>
  <c r="AX16" i="4" s="1"/>
  <c r="AZ16" i="4" s="1"/>
  <c r="AV45" i="4"/>
  <c r="AV20" i="4"/>
  <c r="AX20" i="4" s="1"/>
  <c r="AZ20" i="4" s="1"/>
  <c r="AV43" i="4"/>
  <c r="AX43" i="4" s="1"/>
  <c r="AZ43" i="4" s="1"/>
  <c r="AV51" i="4"/>
  <c r="AX51" i="4" s="1"/>
  <c r="AZ51" i="4" s="1"/>
  <c r="AV52" i="4"/>
  <c r="AX52" i="4" s="1"/>
  <c r="AZ52" i="4" s="1"/>
  <c r="AV33" i="4"/>
  <c r="AX33" i="4"/>
  <c r="AZ33" i="4" s="1"/>
  <c r="AV25" i="4"/>
  <c r="AX25" i="4" s="1"/>
  <c r="AZ25" i="4" s="1"/>
  <c r="AV13" i="4"/>
  <c r="AX13" i="4" s="1"/>
  <c r="AZ13" i="4" s="1"/>
  <c r="AV41" i="4"/>
  <c r="AX41" i="4"/>
  <c r="AZ41" i="4" s="1"/>
  <c r="AV10" i="4"/>
  <c r="AX10" i="4"/>
  <c r="AZ10" i="4" s="1"/>
  <c r="AV18" i="4"/>
  <c r="AX18" i="4" s="1"/>
  <c r="AZ18" i="4" s="1"/>
  <c r="AV57" i="4"/>
  <c r="AX57" i="4" s="1"/>
  <c r="AZ57" i="4" s="1"/>
  <c r="AV39" i="4"/>
  <c r="AX39" i="4"/>
  <c r="AZ39" i="4" s="1"/>
  <c r="AV9" i="4"/>
  <c r="AX9" i="4"/>
  <c r="AZ9" i="4" s="1"/>
  <c r="AV26" i="4"/>
  <c r="AX26" i="4"/>
  <c r="AZ26" i="4" s="1"/>
  <c r="AV21" i="4"/>
  <c r="AX21" i="4"/>
  <c r="AZ21" i="4" s="1"/>
  <c r="AV38" i="4"/>
  <c r="AX38" i="4" s="1"/>
  <c r="AZ38" i="4" s="1"/>
  <c r="AV29" i="4"/>
  <c r="AX29" i="4" s="1"/>
  <c r="AZ29" i="4" s="1"/>
  <c r="AV28" i="4"/>
  <c r="AX28" i="4" s="1"/>
  <c r="AZ28" i="4" s="1"/>
  <c r="AV53" i="4"/>
  <c r="AX53" i="4" s="1"/>
  <c r="AZ53" i="4" s="1"/>
  <c r="AV27" i="4"/>
  <c r="AX27" i="4" s="1"/>
  <c r="AZ27" i="4" s="1"/>
  <c r="AV56" i="4"/>
  <c r="AX56" i="4"/>
  <c r="AZ56" i="4" s="1"/>
  <c r="AV55" i="4"/>
  <c r="AX55" i="4" s="1"/>
  <c r="AZ55" i="4" s="1"/>
  <c r="AV23" i="4"/>
  <c r="AX23" i="4" s="1"/>
  <c r="AZ23" i="4" s="1"/>
  <c r="AV17" i="4"/>
  <c r="AX17" i="4" s="1"/>
  <c r="AZ17" i="4" s="1"/>
  <c r="AV58" i="4"/>
  <c r="AX58" i="4"/>
  <c r="AZ58" i="4" s="1"/>
  <c r="AV11" i="4"/>
  <c r="AX11" i="4" s="1"/>
  <c r="AZ11" i="4" s="1"/>
  <c r="AV48" i="4"/>
  <c r="AX48" i="4" s="1"/>
  <c r="AZ48" i="4" s="1"/>
  <c r="AV44" i="4"/>
  <c r="AX44" i="4" s="1"/>
  <c r="AZ44" i="4" s="1"/>
  <c r="AV8" i="4"/>
  <c r="AX8" i="4" s="1"/>
  <c r="AZ8" i="4" s="1"/>
  <c r="AV30" i="4"/>
  <c r="AX30" i="4" s="1"/>
  <c r="AZ30" i="4" s="1"/>
  <c r="AV61" i="4" l="1"/>
  <c r="AX61" i="4" s="1"/>
  <c r="AZ61" i="4" s="1"/>
  <c r="AV42" i="4"/>
  <c r="AX45" i="4"/>
  <c r="AZ45" i="4" s="1"/>
  <c r="AZ42" i="4" s="1"/>
  <c r="AX42" i="4" l="1"/>
</calcChain>
</file>

<file path=xl/sharedStrings.xml><?xml version="1.0" encoding="utf-8"?>
<sst xmlns="http://schemas.openxmlformats.org/spreadsheetml/2006/main" count="221" uniqueCount="167">
  <si>
    <t>Commune :</t>
  </si>
  <si>
    <t>Total</t>
  </si>
  <si>
    <t>Boécourt</t>
  </si>
  <si>
    <t>Alle</t>
  </si>
  <si>
    <t>Bourrignon</t>
  </si>
  <si>
    <t>Basse-Allaine</t>
  </si>
  <si>
    <t>Châtillon</t>
  </si>
  <si>
    <t>Beurnevésin</t>
  </si>
  <si>
    <t>Courchapoix</t>
  </si>
  <si>
    <t>Courrendlin</t>
  </si>
  <si>
    <t>Delémont</t>
  </si>
  <si>
    <t>Boncourt</t>
  </si>
  <si>
    <t>Courroux</t>
  </si>
  <si>
    <t>Bonfol</t>
  </si>
  <si>
    <t>Courtételle</t>
  </si>
  <si>
    <t>Porrentruy</t>
  </si>
  <si>
    <t>Bure</t>
  </si>
  <si>
    <t>Develier</t>
  </si>
  <si>
    <t>Ederswiler</t>
  </si>
  <si>
    <t>Clos du Doubs</t>
  </si>
  <si>
    <t>Haute-Sorne</t>
  </si>
  <si>
    <t>Coeuve</t>
  </si>
  <si>
    <t>Mervelier</t>
  </si>
  <si>
    <t>Cornol</t>
  </si>
  <si>
    <t>Mettembert</t>
  </si>
  <si>
    <t>Movelier</t>
  </si>
  <si>
    <t>Courchavon</t>
  </si>
  <si>
    <t>Pleigne</t>
  </si>
  <si>
    <t>Courgenay</t>
  </si>
  <si>
    <t>Rossemaison</t>
  </si>
  <si>
    <t>Saulcy</t>
  </si>
  <si>
    <t>Courtedoux</t>
  </si>
  <si>
    <t>Soyhières</t>
  </si>
  <si>
    <t>Val Terbi</t>
  </si>
  <si>
    <t>Le Bémont</t>
  </si>
  <si>
    <t>Les Bois</t>
  </si>
  <si>
    <t>Les Breuleux</t>
  </si>
  <si>
    <t>Fahy</t>
  </si>
  <si>
    <t>Fontenais</t>
  </si>
  <si>
    <t>Les Enfers</t>
  </si>
  <si>
    <t>Grandfontaine</t>
  </si>
  <si>
    <t>Les Genevez</t>
  </si>
  <si>
    <t>Haute-Ajoie</t>
  </si>
  <si>
    <t>Lajoux</t>
  </si>
  <si>
    <t>Montfaucon</t>
  </si>
  <si>
    <t>La Baroche</t>
  </si>
  <si>
    <t>Muriaux</t>
  </si>
  <si>
    <t>Le Noirmont</t>
  </si>
  <si>
    <t>Saignelégier</t>
  </si>
  <si>
    <t>Saint-Brais</t>
  </si>
  <si>
    <t>Soubey</t>
  </si>
  <si>
    <t>Vendlincourt</t>
  </si>
  <si>
    <t>Simulation mesure 610 PE 22-26</t>
  </si>
  <si>
    <t>I) Compensation recettes</t>
  </si>
  <si>
    <t>Total 610</t>
  </si>
  <si>
    <t>Critères de base</t>
  </si>
  <si>
    <t>Allègement 125</t>
  </si>
  <si>
    <t>Rétrocession IFD</t>
  </si>
  <si>
    <t>Effets favorables PE 22-26 pour les communes</t>
  </si>
  <si>
    <t>Prélèvement impôt frontaliers</t>
  </si>
  <si>
    <t>Economie nette PE 22-26</t>
  </si>
  <si>
    <t>Part des communes à l'impôt des frontaliers</t>
  </si>
  <si>
    <t>Population (sans permis F et N)</t>
  </si>
  <si>
    <t>IFD</t>
  </si>
  <si>
    <t>A) Montants retenus aux communes en 2023 sur la part cantonale de l'impôt des frontaliers (décret, art.2, al.2, let.b)</t>
  </si>
  <si>
    <t>B) Montants facturés aux communes en 2023 via les charges de l'enseignement</t>
  </si>
  <si>
    <t>Suppression OPTI-MA 125</t>
  </si>
  <si>
    <t>Mesures fiscales</t>
  </si>
  <si>
    <t>Autres mesures</t>
  </si>
  <si>
    <t>Total effets favorables</t>
  </si>
  <si>
    <t xml:space="preserve">Total </t>
  </si>
  <si>
    <t>Montant</t>
  </si>
  <si>
    <t>Impôt frontaliers (masse salariale)</t>
  </si>
  <si>
    <t>Impôt frontalier par habitant</t>
  </si>
  <si>
    <t>Montant avant mesure 610</t>
  </si>
  <si>
    <t>Mesure 610</t>
  </si>
  <si>
    <t>Montant net</t>
  </si>
  <si>
    <t>acompte 12.21</t>
  </si>
  <si>
    <t>année 2023</t>
  </si>
  <si>
    <t>Comptes 2023</t>
  </si>
  <si>
    <t>Budget 2024</t>
  </si>
  <si>
    <t>annexe PE 22-27</t>
  </si>
  <si>
    <t>annexe PE 22-28</t>
  </si>
  <si>
    <t>annexe PE 22-29</t>
  </si>
  <si>
    <t>annexe PE 22-31</t>
  </si>
  <si>
    <t>annexe PE 22-32</t>
  </si>
  <si>
    <t>annexe PE 22-33</t>
  </si>
  <si>
    <t>budget 24</t>
  </si>
  <si>
    <t>Compte 2023</t>
  </si>
  <si>
    <t xml:space="preserve">Hyothèses en annexe </t>
  </si>
  <si>
    <t>a</t>
  </si>
  <si>
    <t>b</t>
  </si>
  <si>
    <t>c</t>
  </si>
  <si>
    <t>e</t>
  </si>
  <si>
    <t>f</t>
  </si>
  <si>
    <t>g</t>
  </si>
  <si>
    <t xml:space="preserve">i </t>
  </si>
  <si>
    <t xml:space="preserve">j </t>
  </si>
  <si>
    <t>k</t>
  </si>
  <si>
    <t>m= e+i</t>
  </si>
  <si>
    <t>n= f+j</t>
  </si>
  <si>
    <t>o = g+k</t>
  </si>
  <si>
    <t>p</t>
  </si>
  <si>
    <t>q</t>
  </si>
  <si>
    <t>d=90%*b</t>
  </si>
  <si>
    <t>s= (90%*e)-q</t>
  </si>
  <si>
    <t>t = 90%*f</t>
  </si>
  <si>
    <t>u= 90%*g</t>
  </si>
  <si>
    <t>e=90%*c</t>
  </si>
  <si>
    <t>w = 90%*i</t>
  </si>
  <si>
    <t>x = 90%*j</t>
  </si>
  <si>
    <t>z = 90%*k</t>
  </si>
  <si>
    <t>ab=s+w</t>
  </si>
  <si>
    <t>ac=t+x</t>
  </si>
  <si>
    <t>ad=u+z</t>
  </si>
  <si>
    <t>ae=aa+p</t>
  </si>
  <si>
    <t>af=ab+q</t>
  </si>
  <si>
    <t>ag=ac</t>
  </si>
  <si>
    <t>af=ad</t>
  </si>
  <si>
    <t>ah=m-af</t>
  </si>
  <si>
    <t>ai=n-ag</t>
  </si>
  <si>
    <t>aj=o-af</t>
  </si>
  <si>
    <t>h = f+g</t>
  </si>
  <si>
    <t>Montant à répartir</t>
  </si>
  <si>
    <t>n°fiscal</t>
  </si>
  <si>
    <t>Damphreux-Lugnez</t>
  </si>
  <si>
    <t>Nouvelle commune</t>
  </si>
  <si>
    <t>Basse-Vendline (Bonfol et Beurnevésin)</t>
  </si>
  <si>
    <t>TRG/27.10.2023</t>
  </si>
  <si>
    <t>I. Rétrocession IFD</t>
  </si>
  <si>
    <t>II. Effets favorables PE 22-26 pour les communes</t>
  </si>
  <si>
    <t>III. Prélèvement impôt frontaliers</t>
  </si>
  <si>
    <t>IV. Economie nette PE 22-26</t>
  </si>
  <si>
    <t>V. Part des communes à l'impôt des frontaliers</t>
  </si>
  <si>
    <t>B24</t>
  </si>
  <si>
    <t>C23</t>
  </si>
  <si>
    <t>Impôt frontaliers (par habitant)</t>
  </si>
  <si>
    <t>Veuillez choisir votre commune ci-dessous</t>
  </si>
  <si>
    <t>a)</t>
  </si>
  <si>
    <t>Hypothèse de répartition entre communes</t>
  </si>
  <si>
    <t>Rétrocession IFD en faveur des communes.</t>
  </si>
  <si>
    <t>b)</t>
  </si>
  <si>
    <t>c)</t>
  </si>
  <si>
    <t>d)</t>
  </si>
  <si>
    <t>La compensation financière qui sera opérée en diminution du montant versé pour l’impôt des frontaliers correspond à 90 % des avantages financiers définis sous lettre b.</t>
  </si>
  <si>
    <t>La compensation financière qui sera opérée en diminution du montant versé pour l’impôt des frontaliers correspond à 90 % des avantages financiers définis sous lettre c.</t>
  </si>
  <si>
    <t>e)</t>
  </si>
  <si>
    <t>f)</t>
  </si>
  <si>
    <t>Impôt des frontaliers</t>
  </si>
  <si>
    <t>Prélèvement pour la mesure 610 sur l’impôt des frontaliers.</t>
  </si>
  <si>
    <t>g)</t>
  </si>
  <si>
    <t>Estimation de la progression</t>
  </si>
  <si>
    <t>Basse-Vendline</t>
  </si>
  <si>
    <t>Référence : Mesure 610 dans le budget 2024 pages 188 et 189</t>
  </si>
  <si>
    <t>Simulation mesure 610 PE 22-26 pour le budget 2024</t>
  </si>
  <si>
    <t>Simulation de l'impact sur le budget 2024 des communes de la loi relative à la compensation partielle à l’égard des communes des effets financiers du programme « Plan équilibre 22-26 » (mesure 610).</t>
  </si>
  <si>
    <t>Les avantages financiers en lien avec la fiscalité pour les communes sont estimés globalement à 5 millions.</t>
  </si>
  <si>
    <t xml:space="preserve">La principale mesure concerne le maintien en 2024 du taux d’impôt alors qu’une diminution était envisagée. Concrètement, les communes n’enregistreront pas de diminution de recettes fiscales en lien avec la baisse du taux d’impôt.  La répartition de ces avantages entre les communes s’effectue par le montant projeté au titre de rétrocession IFD déterminé précédemment. </t>
  </si>
  <si>
    <t>La principale mesure concerne la contribution de 1,9% sur le personnel enseignant. Avec l’abandon de la mesure OPTI-MA 125, elle explique principalement la diminution du montant de 76,6 millions à 74,2 millions soumis à répartition des charges de l’enseignement entre 2023 et 2024 qui a déjà été communiquée. Les avantages financiers sont répartis en fonction du nombre d’habitants.</t>
  </si>
  <si>
    <t>Explications</t>
  </si>
  <si>
    <t xml:space="preserve"> </t>
  </si>
  <si>
    <t>Estimation de la progression (masse salariale)</t>
  </si>
  <si>
    <r>
      <rPr>
        <u/>
        <sz val="11"/>
        <color theme="1"/>
        <rFont val="Calibri"/>
        <family val="2"/>
        <scheme val="minor"/>
      </rPr>
      <t xml:space="preserve">Légende : </t>
    </r>
    <r>
      <rPr>
        <sz val="11"/>
        <color theme="1"/>
        <rFont val="Calibri"/>
        <family val="2"/>
        <scheme val="minor"/>
      </rPr>
      <t>champs à choisir par la commune</t>
    </r>
  </si>
  <si>
    <t>Montant versé en 2023 pour l'Etat</t>
  </si>
  <si>
    <t>Les avantages financiers des autres mesures sont projetés à 2 millions.</t>
  </si>
  <si>
    <t>Il s’agit de l'hypothèse clée car cette valeur détermine les principaux montants. Le budget de l’Etat anticipe une progression globale de 22% par rapport aux montants versés aux communes en  2023. La variation par commune dépend avant tout de l’évolution des données fiscales par entreprise qui sera connue au début 2024. La variation spécifique attendue par chaque commune peut être saisie en fonction des informations connues par la commune.</t>
  </si>
  <si>
    <t xml:space="preserve">Par rapport aux montants qui ont été encaissés en 2023 par les communes, pour l’année 2024, il est anticipé globalement une progression de 4,7% pour la masse salariale des frontaliers sur le territoire cantonale (soit la part A). L'évolution au niveau de la masse salariale par commune peut être saisie en fonction des informations connues par la commune. Pour le montant réparti par habitant (soit la part B), il est tenu compte de l'abandon de la mesure OPTI-MA 125.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</si>
</sst>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_ ;\-#,##0.00\ "/>
    <numFmt numFmtId="165" formatCode="_-* #,##0_-;\-* #,##0_-;_-* &quot;-&quot;??_-;_-@_-"/>
    <numFmt numFmtId="166" formatCode="#,##0_ ;\-#,##0\ "/>
    <numFmt numFmtId="167" formatCode="0.0%"/>
  </numFmts>
  <fonts count="22" x14ac:knownFonts="1">
    <font>
      <sz val="11"/>
      <color theme="1"/>
      <name val="Calibri"/>
      <family val="2"/>
      <scheme val="minor"/>
    </font>
    <font>
      <b/>
      <sz val="14"/>
      <color theme="1"/>
      <name val="Calibri"/>
      <family val="2"/>
      <scheme val="minor"/>
    </font>
    <font>
      <b/>
      <sz val="11"/>
      <color theme="1"/>
      <name val="Calibri"/>
      <family val="2"/>
      <scheme val="minor"/>
    </font>
    <font>
      <sz val="7.5"/>
      <color theme="1"/>
      <name val="Calibri"/>
      <family val="2"/>
      <scheme val="minor"/>
    </font>
    <font>
      <b/>
      <sz val="16"/>
      <color theme="1"/>
      <name val="Calibri"/>
      <family val="2"/>
      <scheme val="minor"/>
    </font>
    <font>
      <sz val="8"/>
      <color theme="1"/>
      <name val="Calibri"/>
      <family val="2"/>
      <scheme val="minor"/>
    </font>
    <font>
      <sz val="11"/>
      <color theme="1"/>
      <name val="Calibri"/>
      <family val="2"/>
      <scheme val="minor"/>
    </font>
    <font>
      <b/>
      <sz val="11"/>
      <color theme="1"/>
      <name val="Arial"/>
      <family val="2"/>
    </font>
    <font>
      <sz val="10"/>
      <color theme="1"/>
      <name val="Arial"/>
      <family val="2"/>
    </font>
    <font>
      <b/>
      <sz val="10"/>
      <color theme="1"/>
      <name val="Arial"/>
      <family val="2"/>
    </font>
    <font>
      <u/>
      <sz val="10"/>
      <color theme="1"/>
      <name val="Arial"/>
      <family val="2"/>
    </font>
    <font>
      <i/>
      <sz val="10"/>
      <color theme="1"/>
      <name val="Arial"/>
      <family val="2"/>
    </font>
    <font>
      <sz val="10"/>
      <color rgb="FFFF0000"/>
      <name val="Arial"/>
      <family val="2"/>
    </font>
    <font>
      <sz val="8"/>
      <color theme="1"/>
      <name val="Arial"/>
      <family val="2"/>
    </font>
    <font>
      <b/>
      <sz val="8"/>
      <color theme="1"/>
      <name val="Arial"/>
      <family val="2"/>
    </font>
    <font>
      <i/>
      <sz val="8"/>
      <color theme="1"/>
      <name val="Arial"/>
      <family val="2"/>
    </font>
    <font>
      <b/>
      <i/>
      <sz val="8"/>
      <color theme="1"/>
      <name val="Arial"/>
      <family val="2"/>
    </font>
    <font>
      <b/>
      <i/>
      <sz val="10"/>
      <color theme="1"/>
      <name val="Arial"/>
      <family val="2"/>
    </font>
    <font>
      <u/>
      <sz val="11"/>
      <color theme="10"/>
      <name val="Calibri"/>
      <family val="2"/>
      <scheme val="minor"/>
    </font>
    <font>
      <b/>
      <u/>
      <sz val="11"/>
      <color theme="1"/>
      <name val="Calibri"/>
      <family val="2"/>
      <scheme val="minor"/>
    </font>
    <font>
      <sz val="12"/>
      <color theme="1"/>
      <name val="Calibri"/>
      <family val="2"/>
      <scheme val="minor"/>
    </font>
    <font>
      <u/>
      <sz val="11"/>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auto="1"/>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auto="1"/>
      </top>
      <bottom/>
      <diagonal/>
    </border>
    <border>
      <left style="thin">
        <color indexed="64"/>
      </left>
      <right/>
      <top style="thick">
        <color auto="1"/>
      </top>
      <bottom/>
      <diagonal/>
    </border>
    <border>
      <left style="thin">
        <color indexed="64"/>
      </left>
      <right style="thin">
        <color indexed="64"/>
      </right>
      <top style="thick">
        <color auto="1"/>
      </top>
      <bottom/>
      <diagonal/>
    </border>
    <border>
      <left/>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cellStyleXfs>
  <cellXfs count="213">
    <xf numFmtId="0" fontId="0" fillId="0" borderId="0" xfId="0"/>
    <xf numFmtId="0" fontId="0" fillId="0" borderId="0" xfId="0" applyBorder="1"/>
    <xf numFmtId="0" fontId="1" fillId="0" borderId="0" xfId="0" applyFont="1"/>
    <xf numFmtId="4" fontId="0" fillId="0" borderId="0" xfId="0" applyNumberFormat="1"/>
    <xf numFmtId="0" fontId="2" fillId="0" borderId="0" xfId="0" applyFont="1"/>
    <xf numFmtId="0" fontId="2" fillId="0" borderId="0" xfId="0" applyFont="1" applyBorder="1"/>
    <xf numFmtId="0" fontId="4" fillId="0" borderId="0" xfId="0" applyFont="1" applyAlignment="1"/>
    <xf numFmtId="164" fontId="0" fillId="0" borderId="0" xfId="0" applyNumberFormat="1" applyFont="1" applyBorder="1"/>
    <xf numFmtId="0" fontId="1" fillId="0" borderId="0" xfId="0" applyFont="1" applyAlignment="1"/>
    <xf numFmtId="0" fontId="5" fillId="0" borderId="0" xfId="0" applyFont="1"/>
    <xf numFmtId="0" fontId="7" fillId="0" borderId="0" xfId="0" applyFont="1"/>
    <xf numFmtId="0" fontId="8" fillId="0" borderId="0" xfId="0" applyFont="1" applyAlignment="1">
      <alignment horizontal="center"/>
    </xf>
    <xf numFmtId="0" fontId="8" fillId="0" borderId="0" xfId="0" applyFont="1"/>
    <xf numFmtId="0" fontId="8" fillId="0" borderId="0" xfId="0" applyFont="1" applyAlignment="1">
      <alignment vertical="top"/>
    </xf>
    <xf numFmtId="0" fontId="9" fillId="0" borderId="0" xfId="0" applyFont="1"/>
    <xf numFmtId="165" fontId="8" fillId="0" borderId="0" xfId="1" applyNumberFormat="1" applyFont="1"/>
    <xf numFmtId="165" fontId="8" fillId="0" borderId="7" xfId="1" applyNumberFormat="1" applyFont="1" applyBorder="1"/>
    <xf numFmtId="0" fontId="8" fillId="0" borderId="7" xfId="0" applyFont="1" applyBorder="1"/>
    <xf numFmtId="0" fontId="9" fillId="2" borderId="8" xfId="0" applyFont="1" applyFill="1" applyBorder="1"/>
    <xf numFmtId="0" fontId="9" fillId="2" borderId="9" xfId="0" applyFont="1" applyFill="1" applyBorder="1"/>
    <xf numFmtId="0" fontId="9" fillId="2" borderId="10" xfId="0" applyFont="1" applyFill="1" applyBorder="1"/>
    <xf numFmtId="0" fontId="9" fillId="2" borderId="11" xfId="0" applyFont="1" applyFill="1" applyBorder="1"/>
    <xf numFmtId="0" fontId="9" fillId="3" borderId="12" xfId="0" applyFont="1" applyFill="1" applyBorder="1" applyAlignment="1">
      <alignment vertical="top" wrapText="1"/>
    </xf>
    <xf numFmtId="0" fontId="8" fillId="5" borderId="0" xfId="0" applyFont="1" applyFill="1" applyAlignment="1">
      <alignment vertical="top"/>
    </xf>
    <xf numFmtId="0" fontId="9" fillId="6" borderId="0" xfId="0" applyFont="1" applyFill="1"/>
    <xf numFmtId="0" fontId="9" fillId="0" borderId="0" xfId="0" applyFont="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2" borderId="12" xfId="0" applyFont="1" applyFill="1" applyBorder="1" applyAlignment="1">
      <alignment vertical="top"/>
    </xf>
    <xf numFmtId="0" fontId="8" fillId="2" borderId="6" xfId="0" applyFont="1" applyFill="1" applyBorder="1" applyAlignment="1">
      <alignment vertical="top"/>
    </xf>
    <xf numFmtId="0" fontId="9" fillId="2" borderId="13" xfId="0" applyFont="1" applyFill="1" applyBorder="1" applyAlignment="1">
      <alignment vertical="top"/>
    </xf>
    <xf numFmtId="0" fontId="8" fillId="2" borderId="0" xfId="1" applyNumberFormat="1" applyFont="1" applyFill="1" applyBorder="1" applyAlignment="1">
      <alignment vertical="top"/>
    </xf>
    <xf numFmtId="0" fontId="8" fillId="2" borderId="7" xfId="1" applyNumberFormat="1" applyFont="1" applyFill="1" applyBorder="1" applyAlignment="1">
      <alignment vertical="top"/>
    </xf>
    <xf numFmtId="0" fontId="9" fillId="2" borderId="0" xfId="0" applyNumberFormat="1" applyFont="1" applyFill="1" applyBorder="1" applyAlignment="1">
      <alignment horizontal="center" vertical="top"/>
    </xf>
    <xf numFmtId="0" fontId="9" fillId="3" borderId="0" xfId="0" applyNumberFormat="1" applyFont="1" applyFill="1" applyBorder="1" applyAlignment="1">
      <alignment horizontal="center"/>
    </xf>
    <xf numFmtId="0" fontId="9" fillId="0" borderId="0" xfId="0" applyNumberFormat="1" applyFont="1"/>
    <xf numFmtId="0" fontId="9" fillId="7" borderId="0" xfId="0" applyNumberFormat="1" applyFont="1" applyFill="1" applyAlignment="1">
      <alignment vertical="top"/>
    </xf>
    <xf numFmtId="0" fontId="9" fillId="7" borderId="0" xfId="0" applyNumberFormat="1" applyFont="1" applyFill="1"/>
    <xf numFmtId="0" fontId="10" fillId="0" borderId="0" xfId="0" applyFont="1"/>
    <xf numFmtId="0" fontId="8" fillId="4" borderId="12"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0" borderId="14" xfId="0" applyFont="1" applyBorder="1" applyAlignment="1">
      <alignment vertical="top" wrapText="1"/>
    </xf>
    <xf numFmtId="0" fontId="8" fillId="6" borderId="12" xfId="0" applyFont="1" applyFill="1" applyBorder="1" applyAlignment="1">
      <alignment horizontal="center" vertical="center" wrapText="1"/>
    </xf>
    <xf numFmtId="0" fontId="9" fillId="7" borderId="15" xfId="0" applyFont="1" applyFill="1" applyBorder="1"/>
    <xf numFmtId="0" fontId="9" fillId="7" borderId="7" xfId="0" applyFont="1" applyFill="1" applyBorder="1" applyAlignment="1">
      <alignment vertical="top" wrapText="1"/>
    </xf>
    <xf numFmtId="165" fontId="8" fillId="4" borderId="15" xfId="1" applyNumberFormat="1" applyFont="1" applyFill="1" applyBorder="1" applyAlignment="1">
      <alignment vertical="top" wrapText="1"/>
    </xf>
    <xf numFmtId="165" fontId="8" fillId="4" borderId="0" xfId="1" applyNumberFormat="1" applyFont="1" applyFill="1" applyBorder="1" applyAlignment="1">
      <alignment vertical="top" wrapText="1"/>
    </xf>
    <xf numFmtId="165" fontId="8" fillId="4" borderId="7" xfId="1" applyNumberFormat="1" applyFont="1" applyFill="1" applyBorder="1" applyAlignment="1">
      <alignment vertical="top" wrapText="1"/>
    </xf>
    <xf numFmtId="0" fontId="0" fillId="4" borderId="0" xfId="0" applyFill="1" applyBorder="1" applyAlignment="1">
      <alignment vertical="top" wrapText="1"/>
    </xf>
    <xf numFmtId="0" fontId="8" fillId="4" borderId="0" xfId="0" applyFont="1" applyFill="1" applyBorder="1" applyAlignment="1">
      <alignment vertical="top" wrapText="1"/>
    </xf>
    <xf numFmtId="0" fontId="8" fillId="4" borderId="7" xfId="0" applyFont="1" applyFill="1" applyBorder="1" applyAlignment="1">
      <alignment vertical="top" wrapText="1"/>
    </xf>
    <xf numFmtId="0" fontId="9" fillId="4" borderId="0" xfId="0" applyFont="1" applyFill="1" applyBorder="1"/>
    <xf numFmtId="0" fontId="9" fillId="4" borderId="7" xfId="0" applyFont="1" applyFill="1" applyBorder="1"/>
    <xf numFmtId="0" fontId="8" fillId="2" borderId="0" xfId="0" applyNumberFormat="1" applyFont="1" applyFill="1" applyBorder="1" applyAlignment="1">
      <alignment horizontal="center"/>
    </xf>
    <xf numFmtId="0" fontId="8" fillId="2" borderId="7" xfId="0" applyNumberFormat="1" applyFont="1" applyFill="1" applyBorder="1" applyAlignment="1">
      <alignment horizontal="center"/>
    </xf>
    <xf numFmtId="0" fontId="8" fillId="2" borderId="15" xfId="1" applyNumberFormat="1" applyFont="1" applyFill="1" applyBorder="1" applyAlignment="1">
      <alignment vertical="top" wrapText="1"/>
    </xf>
    <xf numFmtId="0" fontId="8" fillId="2" borderId="0" xfId="1" applyNumberFormat="1" applyFont="1" applyFill="1" applyBorder="1" applyAlignment="1">
      <alignment vertical="top" wrapText="1"/>
    </xf>
    <xf numFmtId="0" fontId="8" fillId="2" borderId="7" xfId="1" applyNumberFormat="1" applyFont="1" applyFill="1" applyBorder="1" applyAlignment="1">
      <alignment vertical="top" wrapText="1"/>
    </xf>
    <xf numFmtId="0" fontId="8" fillId="2" borderId="0" xfId="0" applyFont="1" applyFill="1" applyBorder="1" applyAlignment="1">
      <alignment vertical="top" wrapText="1"/>
    </xf>
    <xf numFmtId="0" fontId="8" fillId="2" borderId="0" xfId="0" applyFont="1" applyFill="1" applyBorder="1" applyAlignment="1">
      <alignment vertical="top"/>
    </xf>
    <xf numFmtId="0" fontId="8" fillId="2" borderId="7" xfId="0" applyFont="1" applyFill="1" applyBorder="1" applyAlignment="1">
      <alignment vertical="top"/>
    </xf>
    <xf numFmtId="0" fontId="8" fillId="2" borderId="0" xfId="0" applyFont="1" applyFill="1" applyBorder="1"/>
    <xf numFmtId="0" fontId="8" fillId="2" borderId="7" xfId="0" applyFont="1" applyFill="1" applyBorder="1"/>
    <xf numFmtId="0" fontId="9" fillId="3" borderId="0" xfId="0" applyFont="1" applyFill="1"/>
    <xf numFmtId="0" fontId="9" fillId="0" borderId="0" xfId="0" applyFont="1" applyBorder="1" applyAlignment="1">
      <alignment vertical="top" wrapText="1"/>
    </xf>
    <xf numFmtId="0" fontId="8" fillId="7" borderId="0" xfId="0" applyFont="1" applyFill="1" applyBorder="1" applyAlignment="1">
      <alignment vertical="top" wrapText="1"/>
    </xf>
    <xf numFmtId="0" fontId="11" fillId="7" borderId="0" xfId="0" applyFont="1" applyFill="1" applyBorder="1" applyAlignment="1">
      <alignment vertical="top" wrapText="1"/>
    </xf>
    <xf numFmtId="14" fontId="12" fillId="4" borderId="15" xfId="0" applyNumberFormat="1" applyFont="1" applyFill="1" applyBorder="1" applyAlignment="1">
      <alignment horizontal="center"/>
    </xf>
    <xf numFmtId="3" fontId="8" fillId="4" borderId="16" xfId="0" applyNumberFormat="1" applyFont="1" applyFill="1" applyBorder="1" applyAlignment="1">
      <alignment horizontal="center" vertical="top"/>
    </xf>
    <xf numFmtId="3" fontId="8" fillId="0" borderId="16" xfId="0" applyNumberFormat="1" applyFont="1" applyBorder="1" applyAlignment="1">
      <alignment horizontal="center" vertical="top"/>
    </xf>
    <xf numFmtId="0" fontId="8" fillId="6" borderId="0" xfId="0" applyFont="1" applyFill="1" applyAlignment="1">
      <alignment horizontal="center" vertical="center"/>
    </xf>
    <xf numFmtId="3" fontId="13" fillId="7" borderId="15" xfId="0" applyNumberFormat="1" applyFont="1" applyFill="1" applyBorder="1" applyAlignment="1">
      <alignment horizontal="center"/>
    </xf>
    <xf numFmtId="3" fontId="13" fillId="7" borderId="7" xfId="0" applyNumberFormat="1" applyFont="1" applyFill="1" applyBorder="1" applyAlignment="1">
      <alignment horizontal="center"/>
    </xf>
    <xf numFmtId="165" fontId="13" fillId="4" borderId="15" xfId="1" applyNumberFormat="1" applyFont="1" applyFill="1" applyBorder="1"/>
    <xf numFmtId="165" fontId="13" fillId="4" borderId="0" xfId="1" applyNumberFormat="1" applyFont="1" applyFill="1" applyBorder="1"/>
    <xf numFmtId="0" fontId="13" fillId="4" borderId="0" xfId="0" applyFont="1" applyFill="1" applyBorder="1"/>
    <xf numFmtId="0" fontId="13" fillId="4" borderId="7" xfId="0" applyFont="1" applyFill="1" applyBorder="1"/>
    <xf numFmtId="0" fontId="14" fillId="2" borderId="5" xfId="0" applyFont="1" applyFill="1" applyBorder="1"/>
    <xf numFmtId="0" fontId="14" fillId="2" borderId="17" xfId="0" applyFont="1" applyFill="1" applyBorder="1"/>
    <xf numFmtId="0" fontId="14" fillId="2" borderId="0" xfId="0" applyFont="1" applyFill="1" applyBorder="1"/>
    <xf numFmtId="0" fontId="13" fillId="2" borderId="15" xfId="0" applyFont="1" applyFill="1" applyBorder="1"/>
    <xf numFmtId="0" fontId="13" fillId="2" borderId="0" xfId="0" applyFont="1" applyFill="1" applyBorder="1"/>
    <xf numFmtId="0" fontId="13" fillId="2" borderId="7" xfId="0" applyFont="1" applyFill="1" applyBorder="1"/>
    <xf numFmtId="0" fontId="14" fillId="3" borderId="16" xfId="0" applyFont="1" applyFill="1" applyBorder="1"/>
    <xf numFmtId="0" fontId="14" fillId="0" borderId="0" xfId="0" applyFont="1"/>
    <xf numFmtId="3" fontId="14" fillId="0" borderId="0" xfId="0" applyNumberFormat="1" applyFont="1" applyBorder="1" applyAlignment="1">
      <alignment horizontal="center"/>
    </xf>
    <xf numFmtId="0" fontId="13" fillId="7" borderId="0" xfId="1" applyNumberFormat="1" applyFont="1" applyFill="1" applyBorder="1" applyAlignment="1">
      <alignment horizontal="center"/>
    </xf>
    <xf numFmtId="0" fontId="15" fillId="7" borderId="0" xfId="1" applyNumberFormat="1" applyFont="1" applyFill="1" applyBorder="1" applyAlignment="1">
      <alignment horizontal="center"/>
    </xf>
    <xf numFmtId="3" fontId="13" fillId="7" borderId="0" xfId="0" applyNumberFormat="1" applyFont="1" applyFill="1" applyBorder="1" applyAlignment="1">
      <alignment horizontal="center"/>
    </xf>
    <xf numFmtId="0" fontId="13" fillId="7" borderId="0" xfId="0" applyNumberFormat="1" applyFont="1" applyFill="1" applyBorder="1" applyAlignment="1">
      <alignment horizontal="center"/>
    </xf>
    <xf numFmtId="14" fontId="14" fillId="4" borderId="15" xfId="0" applyNumberFormat="1" applyFont="1" applyFill="1" applyBorder="1" applyAlignment="1">
      <alignment horizontal="center"/>
    </xf>
    <xf numFmtId="3" fontId="14" fillId="4" borderId="16" xfId="0" applyNumberFormat="1" applyFont="1" applyFill="1" applyBorder="1" applyAlignment="1">
      <alignment horizontal="center" vertical="top"/>
    </xf>
    <xf numFmtId="3" fontId="14" fillId="0" borderId="16" xfId="0" applyNumberFormat="1" applyFont="1" applyBorder="1" applyAlignment="1">
      <alignment horizontal="center" vertical="top"/>
    </xf>
    <xf numFmtId="0" fontId="14" fillId="6" borderId="0" xfId="0" applyFont="1" applyFill="1" applyAlignment="1">
      <alignment horizontal="center" vertical="center"/>
    </xf>
    <xf numFmtId="3" fontId="14" fillId="7" borderId="18" xfId="0" applyNumberFormat="1" applyFont="1" applyFill="1" applyBorder="1" applyAlignment="1">
      <alignment horizontal="center"/>
    </xf>
    <xf numFmtId="3" fontId="14" fillId="7" borderId="19" xfId="0" applyNumberFormat="1" applyFont="1" applyFill="1" applyBorder="1" applyAlignment="1">
      <alignment horizontal="center"/>
    </xf>
    <xf numFmtId="3" fontId="14" fillId="4" borderId="18" xfId="0" applyNumberFormat="1" applyFont="1" applyFill="1" applyBorder="1" applyAlignment="1">
      <alignment horizontal="center"/>
    </xf>
    <xf numFmtId="3" fontId="14" fillId="4" borderId="4" xfId="0" applyNumberFormat="1" applyFont="1" applyFill="1" applyBorder="1" applyAlignment="1">
      <alignment horizontal="center"/>
    </xf>
    <xf numFmtId="3" fontId="14" fillId="4" borderId="19" xfId="0" applyNumberFormat="1" applyFont="1" applyFill="1" applyBorder="1" applyAlignment="1">
      <alignment horizontal="center"/>
    </xf>
    <xf numFmtId="3" fontId="14" fillId="2" borderId="18" xfId="0" applyNumberFormat="1" applyFont="1" applyFill="1" applyBorder="1" applyAlignment="1">
      <alignment horizontal="center"/>
    </xf>
    <xf numFmtId="3" fontId="14" fillId="2" borderId="4" xfId="0" applyNumberFormat="1" applyFont="1" applyFill="1" applyBorder="1" applyAlignment="1">
      <alignment horizontal="center"/>
    </xf>
    <xf numFmtId="3" fontId="14" fillId="2" borderId="19" xfId="0" applyNumberFormat="1" applyFont="1" applyFill="1" applyBorder="1" applyAlignment="1">
      <alignment horizontal="center"/>
    </xf>
    <xf numFmtId="0" fontId="14" fillId="2" borderId="0" xfId="0" quotePrefix="1" applyFont="1" applyFill="1" applyBorder="1"/>
    <xf numFmtId="0" fontId="14" fillId="3" borderId="20" xfId="0" applyFont="1" applyFill="1" applyBorder="1"/>
    <xf numFmtId="3" fontId="14" fillId="7" borderId="0" xfId="0" applyNumberFormat="1" applyFont="1" applyFill="1" applyBorder="1" applyAlignment="1">
      <alignment horizontal="center"/>
    </xf>
    <xf numFmtId="3" fontId="16" fillId="7" borderId="0" xfId="0" applyNumberFormat="1" applyFont="1" applyFill="1" applyBorder="1" applyAlignment="1">
      <alignment horizontal="center"/>
    </xf>
    <xf numFmtId="0" fontId="13" fillId="0" borderId="0" xfId="0" applyFont="1"/>
    <xf numFmtId="0" fontId="8" fillId="4" borderId="15" xfId="0" applyFont="1" applyFill="1" applyBorder="1" applyAlignment="1">
      <alignment horizontal="center"/>
    </xf>
    <xf numFmtId="3" fontId="8" fillId="6" borderId="16" xfId="0" applyNumberFormat="1" applyFont="1" applyFill="1" applyBorder="1" applyAlignment="1">
      <alignment horizontal="center"/>
    </xf>
    <xf numFmtId="3" fontId="9" fillId="0" borderId="0" xfId="0" applyNumberFormat="1" applyFont="1" applyBorder="1" applyAlignment="1">
      <alignment horizontal="center"/>
    </xf>
    <xf numFmtId="9" fontId="9" fillId="0" borderId="0" xfId="2" applyFont="1" applyBorder="1" applyAlignment="1">
      <alignment horizontal="center"/>
    </xf>
    <xf numFmtId="3" fontId="17" fillId="0" borderId="0" xfId="0" applyNumberFormat="1" applyFont="1" applyBorder="1" applyAlignment="1">
      <alignment horizontal="center"/>
    </xf>
    <xf numFmtId="0" fontId="8" fillId="0" borderId="21" xfId="0" applyFont="1" applyBorder="1" applyAlignment="1">
      <alignment vertical="center"/>
    </xf>
    <xf numFmtId="165" fontId="8" fillId="0" borderId="22" xfId="1" applyNumberFormat="1" applyFont="1" applyBorder="1" applyAlignment="1">
      <alignment horizontal="center" vertical="center"/>
    </xf>
    <xf numFmtId="3" fontId="11" fillId="0" borderId="23" xfId="0" applyNumberFormat="1" applyFont="1" applyBorder="1" applyAlignment="1">
      <alignment horizontal="center" vertical="center"/>
    </xf>
    <xf numFmtId="3" fontId="11" fillId="8" borderId="23" xfId="0" applyNumberFormat="1" applyFont="1" applyFill="1" applyBorder="1" applyAlignment="1">
      <alignment horizontal="center" vertical="center"/>
    </xf>
    <xf numFmtId="0" fontId="8" fillId="0" borderId="0" xfId="0" applyFont="1" applyAlignment="1">
      <alignment vertical="center"/>
    </xf>
    <xf numFmtId="0" fontId="8" fillId="0" borderId="24" xfId="0" applyFont="1" applyBorder="1"/>
    <xf numFmtId="3" fontId="8" fillId="0" borderId="25" xfId="0" applyNumberFormat="1" applyFont="1" applyBorder="1" applyAlignment="1">
      <alignment horizontal="center"/>
    </xf>
    <xf numFmtId="3" fontId="8" fillId="0" borderId="26" xfId="0" applyNumberFormat="1" applyFont="1" applyBorder="1" applyAlignment="1">
      <alignment horizontal="center" vertical="top"/>
    </xf>
    <xf numFmtId="3" fontId="9" fillId="0" borderId="26" xfId="0" applyNumberFormat="1" applyFont="1" applyBorder="1" applyAlignment="1">
      <alignment horizontal="center"/>
    </xf>
    <xf numFmtId="3" fontId="8" fillId="0" borderId="24" xfId="0" applyNumberFormat="1" applyFont="1" applyBorder="1" applyAlignment="1">
      <alignment horizontal="right"/>
    </xf>
    <xf numFmtId="3" fontId="8" fillId="0" borderId="24" xfId="0" applyNumberFormat="1" applyFont="1" applyBorder="1" applyAlignment="1">
      <alignment horizontal="center"/>
    </xf>
    <xf numFmtId="165" fontId="8" fillId="0" borderId="24" xfId="1" applyNumberFormat="1" applyFont="1" applyBorder="1" applyAlignment="1">
      <alignment vertical="center"/>
    </xf>
    <xf numFmtId="165" fontId="8" fillId="0" borderId="27" xfId="1" applyNumberFormat="1" applyFont="1" applyBorder="1" applyAlignment="1">
      <alignment vertical="center"/>
    </xf>
    <xf numFmtId="165" fontId="8" fillId="0" borderId="24" xfId="1" applyNumberFormat="1" applyFont="1" applyBorder="1"/>
    <xf numFmtId="166" fontId="8" fillId="0" borderId="24" xfId="1" applyNumberFormat="1" applyFont="1" applyBorder="1" applyAlignment="1">
      <alignment vertical="center"/>
    </xf>
    <xf numFmtId="166" fontId="8" fillId="0" borderId="27" xfId="1" applyNumberFormat="1" applyFont="1" applyBorder="1" applyAlignment="1">
      <alignment vertical="center"/>
    </xf>
    <xf numFmtId="3" fontId="11" fillId="0" borderId="24" xfId="0" applyNumberFormat="1" applyFont="1" applyBorder="1" applyAlignment="1">
      <alignment horizontal="center"/>
    </xf>
    <xf numFmtId="0" fontId="11" fillId="0" borderId="0" xfId="0" applyFont="1" applyBorder="1"/>
    <xf numFmtId="0" fontId="8" fillId="0" borderId="4" xfId="0" applyFont="1" applyBorder="1"/>
    <xf numFmtId="3" fontId="8" fillId="0" borderId="0" xfId="0" applyNumberFormat="1" applyFont="1" applyBorder="1" applyAlignment="1">
      <alignment horizontal="center"/>
    </xf>
    <xf numFmtId="3" fontId="8" fillId="0" borderId="0" xfId="0" applyNumberFormat="1" applyFont="1" applyBorder="1" applyAlignment="1">
      <alignment horizontal="center" vertical="top"/>
    </xf>
    <xf numFmtId="3" fontId="8" fillId="0" borderId="0" xfId="0" applyNumberFormat="1" applyFont="1" applyBorder="1" applyAlignment="1">
      <alignment horizontal="right"/>
    </xf>
    <xf numFmtId="165" fontId="8" fillId="0" borderId="0" xfId="1" applyNumberFormat="1" applyFont="1" applyBorder="1" applyAlignment="1">
      <alignment vertical="center"/>
    </xf>
    <xf numFmtId="165" fontId="8" fillId="0" borderId="7" xfId="1" applyNumberFormat="1" applyFont="1" applyBorder="1" applyAlignment="1">
      <alignment vertical="center"/>
    </xf>
    <xf numFmtId="165" fontId="8" fillId="0" borderId="0" xfId="1" applyNumberFormat="1" applyFont="1" applyBorder="1"/>
    <xf numFmtId="166" fontId="8" fillId="0" borderId="0" xfId="1" applyNumberFormat="1" applyFont="1" applyBorder="1" applyAlignment="1">
      <alignment vertical="center"/>
    </xf>
    <xf numFmtId="166" fontId="8" fillId="0" borderId="7" xfId="1" applyNumberFormat="1" applyFont="1" applyBorder="1" applyAlignment="1">
      <alignment vertical="center"/>
    </xf>
    <xf numFmtId="3" fontId="11" fillId="0" borderId="0" xfId="0" applyNumberFormat="1" applyFont="1" applyBorder="1" applyAlignment="1">
      <alignment horizontal="center"/>
    </xf>
    <xf numFmtId="0" fontId="11" fillId="0" borderId="24" xfId="0" applyFont="1" applyBorder="1" applyAlignment="1">
      <alignment wrapText="1"/>
    </xf>
    <xf numFmtId="0" fontId="11" fillId="0" borderId="24" xfId="0" applyFont="1" applyBorder="1"/>
    <xf numFmtId="3" fontId="11" fillId="0" borderId="25" xfId="0" applyNumberFormat="1" applyFont="1" applyBorder="1" applyAlignment="1">
      <alignment horizontal="center"/>
    </xf>
    <xf numFmtId="3" fontId="11" fillId="0" borderId="26" xfId="0" applyNumberFormat="1" applyFont="1" applyBorder="1" applyAlignment="1">
      <alignment horizontal="center" vertical="top"/>
    </xf>
    <xf numFmtId="3" fontId="17" fillId="0" borderId="26" xfId="0" applyNumberFormat="1" applyFont="1" applyBorder="1" applyAlignment="1">
      <alignment horizontal="center"/>
    </xf>
    <xf numFmtId="3" fontId="11" fillId="0" borderId="24" xfId="0" applyNumberFormat="1" applyFont="1" applyBorder="1" applyAlignment="1">
      <alignment horizontal="right"/>
    </xf>
    <xf numFmtId="165" fontId="11" fillId="0" borderId="24" xfId="1" applyNumberFormat="1" applyFont="1" applyBorder="1" applyAlignment="1">
      <alignment vertical="center"/>
    </xf>
    <xf numFmtId="165" fontId="11" fillId="0" borderId="27" xfId="1" applyNumberFormat="1" applyFont="1" applyBorder="1" applyAlignment="1">
      <alignment vertical="center"/>
    </xf>
    <xf numFmtId="165" fontId="11" fillId="0" borderId="24" xfId="1" applyNumberFormat="1" applyFont="1" applyBorder="1"/>
    <xf numFmtId="166" fontId="11" fillId="0" borderId="24" xfId="1" applyNumberFormat="1" applyFont="1" applyBorder="1" applyAlignment="1">
      <alignment vertical="center"/>
    </xf>
    <xf numFmtId="166" fontId="11" fillId="0" borderId="27" xfId="1" applyNumberFormat="1" applyFont="1" applyBorder="1" applyAlignment="1">
      <alignment vertical="center"/>
    </xf>
    <xf numFmtId="165" fontId="8" fillId="0" borderId="0" xfId="1" applyNumberFormat="1" applyFont="1" applyAlignment="1">
      <alignment vertical="center"/>
    </xf>
    <xf numFmtId="1" fontId="8" fillId="0" borderId="0" xfId="0" applyNumberFormat="1" applyFont="1" applyAlignment="1">
      <alignment vertical="center"/>
    </xf>
    <xf numFmtId="166" fontId="8" fillId="0" borderId="0" xfId="1" applyNumberFormat="1" applyFont="1" applyAlignment="1">
      <alignment vertical="center"/>
    </xf>
    <xf numFmtId="0" fontId="9" fillId="0" borderId="7" xfId="0" applyFont="1" applyBorder="1"/>
    <xf numFmtId="0" fontId="9" fillId="0" borderId="0" xfId="0" applyFont="1" applyBorder="1"/>
    <xf numFmtId="3" fontId="0" fillId="0" borderId="0" xfId="0" applyNumberFormat="1"/>
    <xf numFmtId="3" fontId="0" fillId="0" borderId="4" xfId="0" applyNumberFormat="1" applyBorder="1"/>
    <xf numFmtId="3" fontId="2" fillId="0" borderId="0" xfId="0" applyNumberFormat="1" applyFont="1"/>
    <xf numFmtId="3" fontId="0" fillId="0" borderId="0" xfId="0" applyNumberFormat="1" applyFont="1"/>
    <xf numFmtId="3" fontId="2" fillId="0" borderId="6" xfId="0" applyNumberFormat="1" applyFont="1" applyBorder="1"/>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3" fontId="0" fillId="0" borderId="0" xfId="0" applyNumberFormat="1" applyBorder="1"/>
    <xf numFmtId="0" fontId="4" fillId="0" borderId="0" xfId="0" applyFont="1" applyAlignment="1">
      <alignment horizontal="right"/>
    </xf>
    <xf numFmtId="0" fontId="0" fillId="0" borderId="0" xfId="0" applyAlignment="1">
      <alignment horizontal="right"/>
    </xf>
    <xf numFmtId="0" fontId="2" fillId="0" borderId="0" xfId="0" applyFont="1" applyBorder="1" applyAlignment="1">
      <alignment horizontal="right"/>
    </xf>
    <xf numFmtId="0" fontId="18" fillId="0" borderId="0" xfId="3" applyAlignment="1">
      <alignment horizontal="right"/>
    </xf>
    <xf numFmtId="0" fontId="18" fillId="0" borderId="0" xfId="3" applyFont="1" applyAlignment="1">
      <alignment horizontal="right"/>
    </xf>
    <xf numFmtId="0" fontId="0" fillId="3" borderId="0" xfId="0" applyFill="1"/>
    <xf numFmtId="9" fontId="0" fillId="3" borderId="0" xfId="2" applyFont="1" applyFill="1" applyProtection="1">
      <protection locked="0"/>
    </xf>
    <xf numFmtId="167" fontId="0" fillId="3" borderId="0" xfId="2" applyNumberFormat="1" applyFont="1" applyFill="1" applyProtection="1">
      <protection locked="0"/>
    </xf>
    <xf numFmtId="0" fontId="18" fillId="0" borderId="0" xfId="3" applyAlignment="1" applyProtection="1">
      <alignment horizontal="center"/>
      <protection locked="0"/>
    </xf>
    <xf numFmtId="0" fontId="0" fillId="0" borderId="0" xfId="0" applyAlignment="1" applyProtection="1">
      <alignment horizontal="right"/>
      <protection locked="0"/>
    </xf>
    <xf numFmtId="165" fontId="8" fillId="0" borderId="24" xfId="1" applyNumberFormat="1" applyFont="1" applyFill="1" applyBorder="1" applyAlignment="1">
      <alignment vertical="center"/>
    </xf>
    <xf numFmtId="165" fontId="8" fillId="0" borderId="27" xfId="1" applyNumberFormat="1" applyFont="1" applyFill="1" applyBorder="1" applyAlignment="1">
      <alignment vertical="center"/>
    </xf>
    <xf numFmtId="165" fontId="8" fillId="0" borderId="24" xfId="1" applyNumberFormat="1" applyFont="1" applyFill="1" applyBorder="1"/>
    <xf numFmtId="166" fontId="8" fillId="0" borderId="24" xfId="1" applyNumberFormat="1" applyFont="1" applyFill="1" applyBorder="1" applyAlignment="1">
      <alignment vertical="center"/>
    </xf>
    <xf numFmtId="166" fontId="8" fillId="0" borderId="27" xfId="1" applyNumberFormat="1" applyFont="1" applyFill="1" applyBorder="1" applyAlignment="1">
      <alignment vertical="center"/>
    </xf>
    <xf numFmtId="3" fontId="8" fillId="0" borderId="24" xfId="0" applyNumberFormat="1" applyFont="1" applyFill="1" applyBorder="1" applyAlignment="1">
      <alignment horizontal="center"/>
    </xf>
    <xf numFmtId="3" fontId="11" fillId="0" borderId="24" xfId="0" applyNumberFormat="1" applyFont="1" applyFill="1" applyBorder="1" applyAlignment="1">
      <alignment horizontal="center"/>
    </xf>
    <xf numFmtId="0" fontId="0" fillId="0" borderId="0" xfId="0" applyAlignment="1" applyProtection="1">
      <alignment vertical="center"/>
    </xf>
    <xf numFmtId="0" fontId="2" fillId="0" borderId="0" xfId="0" applyFont="1" applyAlignment="1" applyProtection="1">
      <alignment vertical="center"/>
    </xf>
    <xf numFmtId="0" fontId="0" fillId="0" borderId="0" xfId="0" applyAlignment="1" applyProtection="1">
      <alignment horizontal="justify" vertical="center"/>
    </xf>
    <xf numFmtId="0" fontId="0" fillId="0" borderId="0" xfId="0" applyAlignment="1" applyProtection="1">
      <alignment vertical="center" wrapText="1"/>
    </xf>
    <xf numFmtId="0" fontId="0" fillId="0" borderId="0" xfId="0" applyFont="1" applyAlignment="1" applyProtection="1">
      <alignment vertical="center"/>
    </xf>
    <xf numFmtId="0" fontId="0" fillId="0" borderId="0" xfId="0" applyProtection="1"/>
    <xf numFmtId="0" fontId="0" fillId="0" borderId="0" xfId="0" applyAlignment="1" applyProtection="1">
      <alignment wrapText="1"/>
    </xf>
    <xf numFmtId="0" fontId="20" fillId="0" borderId="0" xfId="0" applyFont="1" applyAlignment="1">
      <alignment horizontal="center"/>
    </xf>
    <xf numFmtId="0" fontId="20" fillId="0" borderId="0" xfId="0" applyFont="1"/>
    <xf numFmtId="0" fontId="1" fillId="0" borderId="0" xfId="0" applyFont="1" applyAlignment="1">
      <alignment horizontal="center"/>
    </xf>
    <xf numFmtId="0" fontId="0" fillId="0" borderId="0" xfId="0" applyAlignment="1" applyProtection="1">
      <alignment vertical="top" wrapText="1"/>
    </xf>
    <xf numFmtId="0" fontId="2" fillId="0" borderId="0" xfId="0" applyFont="1" applyAlignment="1" applyProtection="1">
      <alignment vertical="top"/>
    </xf>
    <xf numFmtId="0" fontId="0" fillId="0" borderId="0" xfId="0" applyAlignment="1" applyProtection="1">
      <alignment vertical="top"/>
    </xf>
    <xf numFmtId="0" fontId="9" fillId="4" borderId="0" xfId="0" applyFont="1" applyFill="1" applyAlignment="1">
      <alignment horizontal="center"/>
    </xf>
    <xf numFmtId="0" fontId="9" fillId="7" borderId="12" xfId="0" applyFont="1" applyFill="1" applyBorder="1" applyAlignment="1">
      <alignment horizontal="center" vertical="top" wrapText="1"/>
    </xf>
    <xf numFmtId="0" fontId="9" fillId="7" borderId="13" xfId="0" applyFont="1" applyFill="1" applyBorder="1" applyAlignment="1">
      <alignment horizontal="center" vertical="top" wrapText="1"/>
    </xf>
    <xf numFmtId="0" fontId="9" fillId="4" borderId="12"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16" xfId="0" applyFont="1" applyFill="1" applyBorder="1" applyAlignment="1">
      <alignment horizontal="center" vertical="top" wrapText="1"/>
    </xf>
    <xf numFmtId="0" fontId="3" fillId="0" borderId="5" xfId="0" applyFont="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0" borderId="0" xfId="0" applyFont="1" applyAlignment="1" applyProtection="1">
      <alignment horizontal="left" vertical="center" wrapText="1"/>
    </xf>
    <xf numFmtId="0" fontId="0" fillId="0" borderId="0" xfId="0" applyAlignment="1" applyProtection="1">
      <alignment horizontal="left" vertical="center"/>
    </xf>
    <xf numFmtId="0" fontId="19" fillId="0" borderId="0" xfId="0" applyFont="1" applyAlignment="1" applyProtection="1">
      <alignment horizontal="left" vertical="center"/>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jura.ch/Htdocs/Files/v/44223.pdf/Departements/DFI/TRG/Budgets/B2024_complet.pdf?download=1"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6</xdr:col>
      <xdr:colOff>19050</xdr:colOff>
      <xdr:row>47</xdr:row>
      <xdr:rowOff>76200</xdr:rowOff>
    </xdr:to>
    <xdr:sp macro="" textlink="">
      <xdr:nvSpPr>
        <xdr:cNvPr id="2" name="ZoneTexte 1"/>
        <xdr:cNvSpPr txBox="1"/>
      </xdr:nvSpPr>
      <xdr:spPr>
        <a:xfrm>
          <a:off x="0" y="7553325"/>
          <a:ext cx="5172075" cy="1657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t>Remarques</a:t>
          </a:r>
        </a:p>
        <a:p>
          <a:r>
            <a:rPr lang="fr-CH" sz="1100"/>
            <a:t>Cet outil</a:t>
          </a:r>
          <a:r>
            <a:rPr lang="fr-CH" sz="1100" baseline="0"/>
            <a:t> est une </a:t>
          </a:r>
          <a:r>
            <a:rPr lang="fr-CH" sz="1100"/>
            <a:t>aide pour apprécier les incidences sur le budget 2024. Les acomptes 2024 s’effectueront lors du versement de l’impôt des frontaliers. Si le montant de l’impôt des frontaliers est négatif, cela signifie qu’un montant complémentaire sera sollicité au moyen d’une facture.</a:t>
          </a:r>
        </a:p>
        <a:p>
          <a:endParaRPr lang="fr-CH" sz="1100"/>
        </a:p>
        <a:p>
          <a:r>
            <a:rPr lang="fr-CH" sz="1100"/>
            <a:t>Une information spécifique portant sur des données plus précises sera réalisée avant la perception des montants.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3409949</xdr:colOff>
      <xdr:row>2</xdr:row>
      <xdr:rowOff>180975</xdr:rowOff>
    </xdr:from>
    <xdr:to>
      <xdr:col>2</xdr:col>
      <xdr:colOff>4352925</xdr:colOff>
      <xdr:row>3</xdr:row>
      <xdr:rowOff>171450</xdr:rowOff>
    </xdr:to>
    <xdr:sp macro="" textlink="">
      <xdr:nvSpPr>
        <xdr:cNvPr id="2" name="Rectangle 1">
          <a:hlinkClick xmlns:r="http://schemas.openxmlformats.org/officeDocument/2006/relationships" r:id="rId1"/>
        </xdr:cNvPr>
        <xdr:cNvSpPr/>
      </xdr:nvSpPr>
      <xdr:spPr>
        <a:xfrm>
          <a:off x="3905249" y="1285875"/>
          <a:ext cx="942976" cy="180975"/>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100" b="0" baseline="0">
              <a:solidFill>
                <a:sysClr val="windowText" lastClr="000000"/>
              </a:solidFill>
            </a:rPr>
            <a:t>Lien internet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3"/>
  <sheetViews>
    <sheetView zoomScale="130" zoomScaleNormal="130" workbookViewId="0">
      <selection activeCell="A3" sqref="A3"/>
    </sheetView>
  </sheetViews>
  <sheetFormatPr baseColWidth="10" defaultColWidth="11.42578125" defaultRowHeight="15" outlineLevelRow="1" outlineLevelCol="2" x14ac:dyDescent="0.25"/>
  <cols>
    <col min="1" max="1" width="24.7109375" style="12" customWidth="1"/>
    <col min="2" max="2" width="12.85546875" style="12" hidden="1" customWidth="1" outlineLevel="1"/>
    <col min="3" max="3" width="14.5703125" style="11" hidden="1" customWidth="1" outlineLevel="1"/>
    <col min="4" max="4" width="13.42578125" style="12" hidden="1" customWidth="1" outlineLevel="1"/>
    <col min="5" max="6" width="22.7109375" style="13" hidden="1" customWidth="1" outlineLevel="1"/>
    <col min="7" max="7" width="21.5703125" style="14" hidden="1" customWidth="1" outlineLevel="1"/>
    <col min="8" max="8" width="10.5703125" style="14" customWidth="1" collapsed="1"/>
    <col min="9" max="9" width="11.42578125" style="14" customWidth="1"/>
    <col min="10" max="10" width="11.28515625" style="15" customWidth="1"/>
    <col min="11" max="11" width="11" style="15" hidden="1" customWidth="1" outlineLevel="1"/>
    <col min="12" max="12" width="10.5703125" style="15" hidden="1" customWidth="1" outlineLevel="1"/>
    <col min="13" max="13" width="9.7109375" style="16" hidden="1" customWidth="1" outlineLevel="1"/>
    <col min="14" max="14" width="12.85546875" customWidth="1" collapsed="1"/>
    <col min="15" max="15" width="10.85546875" style="12" hidden="1" customWidth="1" outlineLevel="1"/>
    <col min="16" max="16" width="10.5703125" style="12" hidden="1" customWidth="1" outlineLevel="1"/>
    <col min="17" max="17" width="10.28515625" style="17" hidden="1" customWidth="1" outlineLevel="1"/>
    <col min="18" max="18" width="11.28515625" style="12" customWidth="1" collapsed="1"/>
    <col min="19" max="19" width="10.42578125" style="12" hidden="1" customWidth="1" outlineLevel="1"/>
    <col min="20" max="20" width="10" style="12" hidden="1" customWidth="1" outlineLevel="1"/>
    <col min="21" max="21" width="10.140625" style="12" hidden="1" customWidth="1" outlineLevel="1"/>
    <col min="22" max="22" width="11.28515625" style="14" hidden="1" customWidth="1" outlineLevel="1"/>
    <col min="23" max="23" width="10.28515625" style="154" hidden="1" customWidth="1" outlineLevel="1"/>
    <col min="24" max="24" width="10.28515625" style="155" hidden="1" customWidth="1" outlineLevel="1"/>
    <col min="25" max="25" width="10.7109375" style="12" customWidth="1" collapsed="1"/>
    <col min="26" max="28" width="10.7109375" style="12" hidden="1" customWidth="1" outlineLevel="1"/>
    <col min="29" max="29" width="10.85546875" style="12" customWidth="1" collapsed="1"/>
    <col min="30" max="31" width="10" style="12" hidden="1" customWidth="1" outlineLevel="1"/>
    <col min="32" max="32" width="10" style="17" hidden="1" customWidth="1" outlineLevel="1"/>
    <col min="33" max="33" width="10.5703125" style="14" customWidth="1" collapsed="1"/>
    <col min="34" max="37" width="10.5703125" style="14" hidden="1" customWidth="1" outlineLevel="1"/>
    <col min="38" max="40" width="10.5703125" style="14" hidden="1" customWidth="1" outlineLevel="2"/>
    <col min="41" max="41" width="10.5703125" style="14" customWidth="1" collapsed="1"/>
    <col min="42" max="44" width="10.5703125" style="14" hidden="1" customWidth="1" outlineLevel="1"/>
    <col min="45" max="45" width="4.42578125" style="14" hidden="1" customWidth="1" outlineLevel="1" collapsed="1"/>
    <col min="46" max="46" width="11.7109375" style="14" customWidth="1" collapsed="1"/>
    <col min="47" max="47" width="14.140625" style="14" customWidth="1"/>
    <col min="48" max="52" width="11.42578125" style="14" customWidth="1"/>
    <col min="66" max="16384" width="11.42578125" style="12"/>
  </cols>
  <sheetData>
    <row r="1" spans="1:65" ht="25.5" customHeight="1" x14ac:dyDescent="0.25">
      <c r="A1" s="10" t="s">
        <v>52</v>
      </c>
      <c r="B1" s="10"/>
      <c r="I1" s="14">
        <f>I7/H7</f>
        <v>1.2159127568731609</v>
      </c>
      <c r="V1" s="18" t="s">
        <v>53</v>
      </c>
      <c r="W1" s="19"/>
      <c r="X1" s="20"/>
      <c r="AH1" s="20"/>
      <c r="AI1" s="20"/>
      <c r="AJ1" s="20"/>
      <c r="AK1" s="20" t="s">
        <v>54</v>
      </c>
      <c r="AL1" s="20"/>
      <c r="AM1" s="20"/>
      <c r="AN1" s="21"/>
      <c r="AP1" s="22"/>
      <c r="AQ1" s="22"/>
      <c r="AR1" s="22"/>
    </row>
    <row r="2" spans="1:65" ht="27" customHeight="1" x14ac:dyDescent="0.25">
      <c r="C2" s="198" t="s">
        <v>55</v>
      </c>
      <c r="D2" s="198"/>
      <c r="E2" s="23"/>
      <c r="F2" s="23"/>
      <c r="G2" s="24" t="s">
        <v>56</v>
      </c>
      <c r="H2" s="199" t="s">
        <v>57</v>
      </c>
      <c r="I2" s="200"/>
      <c r="J2" s="201" t="s">
        <v>58</v>
      </c>
      <c r="K2" s="202"/>
      <c r="L2" s="202"/>
      <c r="M2" s="202"/>
      <c r="N2" s="202"/>
      <c r="O2" s="202"/>
      <c r="P2" s="202"/>
      <c r="Q2" s="202"/>
      <c r="R2" s="202"/>
      <c r="S2" s="202"/>
      <c r="T2" s="202"/>
      <c r="U2" s="203"/>
      <c r="V2" s="25"/>
      <c r="W2" s="26"/>
      <c r="X2" s="27"/>
      <c r="Y2" s="28" t="s">
        <v>59</v>
      </c>
      <c r="Z2" s="29"/>
      <c r="AA2" s="29"/>
      <c r="AB2" s="29"/>
      <c r="AC2" s="29"/>
      <c r="AD2" s="29"/>
      <c r="AE2" s="29"/>
      <c r="AF2" s="29"/>
      <c r="AG2" s="30"/>
      <c r="AH2" s="31">
        <v>2025</v>
      </c>
      <c r="AI2" s="31">
        <v>2026</v>
      </c>
      <c r="AJ2" s="32">
        <v>2027</v>
      </c>
      <c r="AK2" s="33">
        <v>2024</v>
      </c>
      <c r="AL2" s="33">
        <v>2025</v>
      </c>
      <c r="AM2" s="33">
        <v>2026</v>
      </c>
      <c r="AN2" s="33">
        <v>2027</v>
      </c>
      <c r="AO2" s="204" t="s">
        <v>60</v>
      </c>
      <c r="AP2" s="34">
        <v>2025</v>
      </c>
      <c r="AQ2" s="34">
        <v>2026</v>
      </c>
      <c r="AR2" s="34">
        <v>2027</v>
      </c>
      <c r="AS2" s="35"/>
      <c r="AT2" s="36" t="s">
        <v>61</v>
      </c>
      <c r="AU2" s="37"/>
      <c r="AV2" s="37"/>
      <c r="AW2" s="37"/>
      <c r="AX2" s="37"/>
      <c r="AY2" s="37"/>
      <c r="AZ2" s="37"/>
    </row>
    <row r="3" spans="1:65" ht="36.75" customHeight="1" x14ac:dyDescent="0.25">
      <c r="A3" s="38"/>
      <c r="C3" s="39" t="s">
        <v>62</v>
      </c>
      <c r="D3" s="40" t="s">
        <v>63</v>
      </c>
      <c r="E3" s="41" t="s">
        <v>64</v>
      </c>
      <c r="F3" s="41" t="s">
        <v>65</v>
      </c>
      <c r="G3" s="42" t="s">
        <v>66</v>
      </c>
      <c r="H3" s="43"/>
      <c r="I3" s="44"/>
      <c r="J3" s="45" t="s">
        <v>67</v>
      </c>
      <c r="K3" s="46"/>
      <c r="L3" s="46"/>
      <c r="M3" s="47"/>
      <c r="N3" s="48" t="s">
        <v>68</v>
      </c>
      <c r="O3" s="49"/>
      <c r="P3" s="49"/>
      <c r="Q3" s="50"/>
      <c r="R3" s="49" t="s">
        <v>69</v>
      </c>
      <c r="S3" s="51">
        <v>2025</v>
      </c>
      <c r="T3" s="51">
        <v>2026</v>
      </c>
      <c r="U3" s="52">
        <v>2027</v>
      </c>
      <c r="V3" s="53">
        <v>2024</v>
      </c>
      <c r="W3" s="54">
        <v>2025</v>
      </c>
      <c r="X3" s="53"/>
      <c r="Y3" s="55" t="s">
        <v>67</v>
      </c>
      <c r="Z3" s="56">
        <v>2025</v>
      </c>
      <c r="AA3" s="56">
        <v>2026</v>
      </c>
      <c r="AB3" s="57">
        <v>2027</v>
      </c>
      <c r="AC3" s="58" t="s">
        <v>68</v>
      </c>
      <c r="AD3" s="59"/>
      <c r="AE3" s="59"/>
      <c r="AF3" s="60"/>
      <c r="AG3" s="60" t="s">
        <v>70</v>
      </c>
      <c r="AH3" s="61"/>
      <c r="AI3" s="61"/>
      <c r="AJ3" s="62"/>
      <c r="AK3" s="61"/>
      <c r="AL3" s="61"/>
      <c r="AM3" s="61"/>
      <c r="AN3" s="61"/>
      <c r="AO3" s="205"/>
      <c r="AP3" s="63"/>
      <c r="AQ3" s="63"/>
      <c r="AR3" s="63"/>
      <c r="AS3" s="64"/>
      <c r="AT3" s="65" t="s">
        <v>71</v>
      </c>
      <c r="AU3" s="65" t="s">
        <v>72</v>
      </c>
      <c r="AV3" s="66" t="s">
        <v>72</v>
      </c>
      <c r="AW3" s="66" t="s">
        <v>73</v>
      </c>
      <c r="AX3" s="65" t="s">
        <v>74</v>
      </c>
      <c r="AY3" s="65" t="s">
        <v>75</v>
      </c>
      <c r="AZ3" s="65" t="s">
        <v>76</v>
      </c>
    </row>
    <row r="4" spans="1:65" ht="15.75" thickBot="1" x14ac:dyDescent="0.3">
      <c r="C4" s="67">
        <v>44926</v>
      </c>
      <c r="D4" s="68" t="s">
        <v>77</v>
      </c>
      <c r="E4" s="69">
        <v>870000</v>
      </c>
      <c r="F4" s="69">
        <v>2686000</v>
      </c>
      <c r="G4" s="70" t="s">
        <v>78</v>
      </c>
      <c r="H4" s="71" t="s">
        <v>79</v>
      </c>
      <c r="I4" s="72" t="s">
        <v>80</v>
      </c>
      <c r="J4" s="73" t="s">
        <v>80</v>
      </c>
      <c r="K4" s="74" t="s">
        <v>81</v>
      </c>
      <c r="L4" s="74" t="s">
        <v>82</v>
      </c>
      <c r="M4" s="74" t="s">
        <v>83</v>
      </c>
      <c r="N4" s="74" t="s">
        <v>80</v>
      </c>
      <c r="O4" s="74" t="s">
        <v>84</v>
      </c>
      <c r="P4" s="74" t="s">
        <v>85</v>
      </c>
      <c r="Q4" s="74" t="s">
        <v>86</v>
      </c>
      <c r="R4" s="75" t="s">
        <v>80</v>
      </c>
      <c r="S4" s="75"/>
      <c r="T4" s="75"/>
      <c r="U4" s="76"/>
      <c r="V4" s="77" t="s">
        <v>87</v>
      </c>
      <c r="W4" s="78" t="s">
        <v>87</v>
      </c>
      <c r="X4" s="79"/>
      <c r="Y4" s="80" t="s">
        <v>80</v>
      </c>
      <c r="Z4" s="81"/>
      <c r="AA4" s="81"/>
      <c r="AB4" s="81"/>
      <c r="AC4" s="81" t="s">
        <v>80</v>
      </c>
      <c r="AD4" s="81"/>
      <c r="AE4" s="81"/>
      <c r="AF4" s="82"/>
      <c r="AG4" s="82" t="s">
        <v>80</v>
      </c>
      <c r="AH4" s="77"/>
      <c r="AI4" s="77"/>
      <c r="AJ4" s="77"/>
      <c r="AK4" s="77"/>
      <c r="AL4" s="77"/>
      <c r="AM4" s="77"/>
      <c r="AN4" s="77"/>
      <c r="AO4" s="83"/>
      <c r="AP4" s="84"/>
      <c r="AQ4" s="84"/>
      <c r="AR4" s="84"/>
      <c r="AS4" s="85"/>
      <c r="AT4" s="86" t="s">
        <v>88</v>
      </c>
      <c r="AU4" s="86" t="s">
        <v>79</v>
      </c>
      <c r="AV4" s="87" t="s">
        <v>80</v>
      </c>
      <c r="AW4" s="87" t="s">
        <v>80</v>
      </c>
      <c r="AX4" s="86" t="s">
        <v>80</v>
      </c>
      <c r="AY4" s="88" t="s">
        <v>80</v>
      </c>
      <c r="AZ4" s="89" t="s">
        <v>80</v>
      </c>
    </row>
    <row r="5" spans="1:65" s="106" customFormat="1" ht="12" thickBot="1" x14ac:dyDescent="0.25">
      <c r="A5" s="84" t="s">
        <v>89</v>
      </c>
      <c r="B5" s="84"/>
      <c r="C5" s="90" t="s">
        <v>90</v>
      </c>
      <c r="D5" s="91" t="s">
        <v>91</v>
      </c>
      <c r="E5" s="92"/>
      <c r="F5" s="92"/>
      <c r="G5" s="93" t="s">
        <v>92</v>
      </c>
      <c r="H5" s="94"/>
      <c r="I5" s="95" t="s">
        <v>90</v>
      </c>
      <c r="J5" s="96" t="s">
        <v>91</v>
      </c>
      <c r="K5" s="97" t="s">
        <v>93</v>
      </c>
      <c r="L5" s="97" t="s">
        <v>94</v>
      </c>
      <c r="M5" s="97" t="s">
        <v>95</v>
      </c>
      <c r="N5" s="97" t="s">
        <v>92</v>
      </c>
      <c r="O5" s="97" t="s">
        <v>96</v>
      </c>
      <c r="P5" s="97" t="s">
        <v>97</v>
      </c>
      <c r="Q5" s="97" t="s">
        <v>98</v>
      </c>
      <c r="R5" s="97"/>
      <c r="S5" s="97" t="s">
        <v>99</v>
      </c>
      <c r="T5" s="97" t="s">
        <v>100</v>
      </c>
      <c r="U5" s="98" t="s">
        <v>101</v>
      </c>
      <c r="V5" s="85" t="s">
        <v>102</v>
      </c>
      <c r="W5" s="85" t="s">
        <v>103</v>
      </c>
      <c r="X5" s="85"/>
      <c r="Y5" s="99" t="s">
        <v>104</v>
      </c>
      <c r="Z5" s="100" t="s">
        <v>105</v>
      </c>
      <c r="AA5" s="100" t="s">
        <v>106</v>
      </c>
      <c r="AB5" s="100" t="s">
        <v>107</v>
      </c>
      <c r="AC5" s="100" t="s">
        <v>108</v>
      </c>
      <c r="AD5" s="100" t="s">
        <v>109</v>
      </c>
      <c r="AE5" s="100" t="s">
        <v>110</v>
      </c>
      <c r="AF5" s="100" t="s">
        <v>111</v>
      </c>
      <c r="AG5" s="101"/>
      <c r="AH5" s="102" t="s">
        <v>112</v>
      </c>
      <c r="AI5" s="102" t="s">
        <v>113</v>
      </c>
      <c r="AJ5" s="102" t="s">
        <v>114</v>
      </c>
      <c r="AK5" s="79" t="s">
        <v>115</v>
      </c>
      <c r="AL5" s="79" t="s">
        <v>116</v>
      </c>
      <c r="AM5" s="79" t="s">
        <v>117</v>
      </c>
      <c r="AN5" s="79" t="s">
        <v>118</v>
      </c>
      <c r="AO5" s="103"/>
      <c r="AP5" s="84" t="s">
        <v>119</v>
      </c>
      <c r="AQ5" s="84" t="s">
        <v>120</v>
      </c>
      <c r="AR5" s="84" t="s">
        <v>121</v>
      </c>
      <c r="AS5" s="85"/>
      <c r="AT5" s="104"/>
      <c r="AU5" s="104"/>
      <c r="AV5" s="105"/>
      <c r="AW5" s="105"/>
      <c r="AX5" s="104" t="s">
        <v>94</v>
      </c>
      <c r="AY5" s="104" t="s">
        <v>95</v>
      </c>
      <c r="AZ5" s="104" t="s">
        <v>122</v>
      </c>
      <c r="BA5" s="9"/>
      <c r="BB5" s="9"/>
      <c r="BC5" s="9"/>
      <c r="BD5" s="9"/>
      <c r="BE5" s="9"/>
      <c r="BF5" s="9"/>
      <c r="BG5" s="9"/>
      <c r="BH5" s="9"/>
      <c r="BI5" s="9"/>
      <c r="BJ5" s="9"/>
      <c r="BK5" s="9"/>
      <c r="BL5" s="9"/>
      <c r="BM5" s="9"/>
    </row>
    <row r="6" spans="1:65" ht="15.75" hidden="1" outlineLevel="1" thickBot="1" x14ac:dyDescent="0.3">
      <c r="A6" s="12" t="s">
        <v>123</v>
      </c>
      <c r="C6" s="107"/>
      <c r="D6" s="68"/>
      <c r="E6" s="69"/>
      <c r="F6" s="69">
        <f>F7/C7</f>
        <v>36.370529850645227</v>
      </c>
      <c r="G6" s="108">
        <v>4348000</v>
      </c>
      <c r="H6" s="109"/>
      <c r="I6" s="110">
        <f>(I7-H7)/H7</f>
        <v>0.21591275687316092</v>
      </c>
      <c r="J6" s="110">
        <v>4967000</v>
      </c>
      <c r="K6" s="110">
        <f>J6</f>
        <v>4967000</v>
      </c>
      <c r="L6" s="110">
        <v>667000</v>
      </c>
      <c r="M6" s="110">
        <v>667000</v>
      </c>
      <c r="N6" s="110">
        <v>1992000</v>
      </c>
      <c r="O6" s="110">
        <f>(6313.0833333333*1000)-K6</f>
        <v>1346083.3333333004</v>
      </c>
      <c r="P6" s="110">
        <f>(3083.75033333333*1000)-L6</f>
        <v>2416750.3333333302</v>
      </c>
      <c r="Q6" s="110">
        <f>(1244.5*1000)-M6</f>
        <v>577500</v>
      </c>
      <c r="R6" s="110">
        <f>J6+N6</f>
        <v>6959000</v>
      </c>
      <c r="S6" s="110">
        <f t="shared" ref="S6:U6" si="0">K6+O6</f>
        <v>6313083.3333333004</v>
      </c>
      <c r="T6" s="110">
        <f t="shared" si="0"/>
        <v>3083750.3333333302</v>
      </c>
      <c r="U6" s="110">
        <f t="shared" si="0"/>
        <v>1244500</v>
      </c>
      <c r="V6" s="110"/>
      <c r="W6" s="110"/>
      <c r="X6" s="110"/>
      <c r="Y6" s="110">
        <f>-(J6*0.9)-V7</f>
        <v>-4470300</v>
      </c>
      <c r="Z6" s="110">
        <f>-(K6*0.9)-W7</f>
        <v>-4470300</v>
      </c>
      <c r="AA6" s="110">
        <f>-667000*0.9</f>
        <v>-600300</v>
      </c>
      <c r="AB6" s="110">
        <f>-667000*0.9</f>
        <v>-600300</v>
      </c>
      <c r="AC6" s="110">
        <f>-N6*0.9</f>
        <v>-1792800</v>
      </c>
      <c r="AD6" s="110">
        <f>-O6*0.9</f>
        <v>-1211474.9999999704</v>
      </c>
      <c r="AE6" s="110">
        <f>-P6*0.9</f>
        <v>-2175075.2999999975</v>
      </c>
      <c r="AF6" s="110">
        <f>-Q6*0.9</f>
        <v>-519750</v>
      </c>
      <c r="AG6" s="110"/>
      <c r="AH6" s="109"/>
      <c r="AI6" s="109"/>
      <c r="AJ6" s="109"/>
      <c r="AK6" s="109"/>
      <c r="AL6" s="109"/>
      <c r="AM6" s="109"/>
      <c r="AN6" s="109"/>
      <c r="AS6" s="109"/>
      <c r="AT6" s="109"/>
      <c r="AU6" s="109"/>
      <c r="AV6" s="111"/>
      <c r="AW6" s="111"/>
      <c r="AX6" s="109"/>
      <c r="AY6" s="109"/>
      <c r="AZ6" s="109"/>
    </row>
    <row r="7" spans="1:65" s="116" customFormat="1" ht="20.25" customHeight="1" collapsed="1" thickTop="1" x14ac:dyDescent="0.25">
      <c r="A7" s="112" t="s">
        <v>1</v>
      </c>
      <c r="B7" s="112" t="s">
        <v>124</v>
      </c>
      <c r="C7" s="113">
        <f>SUM(C8:C26,C27:C38,C39:C59)</f>
        <v>73851</v>
      </c>
      <c r="D7" s="114">
        <f>SUM(D8:D59)</f>
        <v>1954909.9937997928</v>
      </c>
      <c r="E7" s="114">
        <f>SUM(E8:E59)</f>
        <v>870000.00000000035</v>
      </c>
      <c r="F7" s="114">
        <f>SUM(F8:F59)</f>
        <v>2686000.0000000005</v>
      </c>
      <c r="G7" s="114">
        <f>SUM(G8:G59)</f>
        <v>3556000.0000000005</v>
      </c>
      <c r="H7" s="114">
        <f t="shared" ref="H7:H59" si="1">D7</f>
        <v>1954909.9937997928</v>
      </c>
      <c r="I7" s="114">
        <v>2377000</v>
      </c>
      <c r="J7" s="114">
        <f>SUM(J8:J59)-J42</f>
        <v>4967000.0000000019</v>
      </c>
      <c r="K7" s="114">
        <f>SUM(K8:K59)</f>
        <v>5012799.944851595</v>
      </c>
      <c r="L7" s="114">
        <f t="shared" ref="L7:M7" si="2">SUM(L8:L59)</f>
        <v>673150.30465391825</v>
      </c>
      <c r="M7" s="114">
        <f t="shared" si="2"/>
        <v>673150.30465391825</v>
      </c>
      <c r="N7" s="114">
        <f>SUM(N8:N59)-N42</f>
        <v>1992000</v>
      </c>
      <c r="O7" s="114">
        <f>SUM(O8:O59)</f>
        <v>1359589.5519356204</v>
      </c>
      <c r="P7" s="114">
        <f t="shared" ref="P7:Q7" si="3">SUM(P8:P59)</f>
        <v>2440999.3211195478</v>
      </c>
      <c r="Q7" s="114">
        <f t="shared" si="3"/>
        <v>583294.47130032105</v>
      </c>
      <c r="R7" s="114">
        <f>SUM(R8:R59)-R42</f>
        <v>6958999.9999999991</v>
      </c>
      <c r="S7" s="114">
        <f>SUM(S8:S59)</f>
        <v>6372389.4967872156</v>
      </c>
      <c r="T7" s="114">
        <f t="shared" ref="T7:U7" si="4">SUM(T8:T59)</f>
        <v>3114149.6257734667</v>
      </c>
      <c r="U7" s="114">
        <f t="shared" si="4"/>
        <v>1256444.7759542388</v>
      </c>
      <c r="V7" s="114"/>
      <c r="W7" s="114"/>
      <c r="X7" s="114"/>
      <c r="Y7" s="114">
        <f>SUM(Y8:Y59)-Y42</f>
        <v>-4470300.0000000009</v>
      </c>
      <c r="Z7" s="114">
        <f t="shared" ref="Z7:AN7" si="5">SUM(Z8:Z59)</f>
        <v>-4511519.9503664346</v>
      </c>
      <c r="AA7" s="114">
        <f t="shared" si="5"/>
        <v>-605835.27418852644</v>
      </c>
      <c r="AB7" s="114">
        <f t="shared" si="5"/>
        <v>-605835.27418852644</v>
      </c>
      <c r="AC7" s="114">
        <f>SUM(AC8:AC59)-AC42</f>
        <v>-1792799.9999999995</v>
      </c>
      <c r="AD7" s="114">
        <f t="shared" si="5"/>
        <v>-1223630.5967420589</v>
      </c>
      <c r="AE7" s="114">
        <f t="shared" si="5"/>
        <v>-2196899.3890075935</v>
      </c>
      <c r="AF7" s="114">
        <f t="shared" si="5"/>
        <v>-524965.0241702887</v>
      </c>
      <c r="AG7" s="114">
        <f>SUM(AG8:AG59)-AG42</f>
        <v>-6263100.0000000009</v>
      </c>
      <c r="AH7" s="114">
        <f t="shared" si="5"/>
        <v>-5735150.5471084919</v>
      </c>
      <c r="AI7" s="114">
        <f t="shared" si="5"/>
        <v>-2802734.6631961204</v>
      </c>
      <c r="AJ7" s="114">
        <f t="shared" si="5"/>
        <v>-1130800.2983588153</v>
      </c>
      <c r="AK7" s="115">
        <f t="shared" si="5"/>
        <v>-6322308.3973746002</v>
      </c>
      <c r="AL7" s="114">
        <f t="shared" si="5"/>
        <v>-5735150.5471084919</v>
      </c>
      <c r="AM7" s="114">
        <f t="shared" si="5"/>
        <v>-2802734.6631961204</v>
      </c>
      <c r="AN7" s="114">
        <f t="shared" si="5"/>
        <v>-1130800.2983588153</v>
      </c>
      <c r="AO7" s="114">
        <f>R7+AG7</f>
        <v>695899.99999999814</v>
      </c>
      <c r="AP7" s="114">
        <f t="shared" ref="AO7:AR38" si="6">AL7+S7</f>
        <v>637238.9496787237</v>
      </c>
      <c r="AQ7" s="114">
        <f t="shared" si="6"/>
        <v>311414.96257734625</v>
      </c>
      <c r="AR7" s="114">
        <f t="shared" si="6"/>
        <v>125644.47759542358</v>
      </c>
      <c r="AS7" s="114"/>
      <c r="AT7" s="114">
        <f>SUM(AT8:AT59)-AT42</f>
        <v>21881903</v>
      </c>
      <c r="AU7" s="114">
        <f>SUM(AU8:AU59)-AU42</f>
        <v>16251359</v>
      </c>
      <c r="AV7" s="114">
        <v>17010000</v>
      </c>
      <c r="AW7" s="114">
        <f>SUM(AW8:AW59)-AW42</f>
        <v>6803999.9999999972</v>
      </c>
      <c r="AX7" s="114">
        <f>AV7+AW7</f>
        <v>23813999.999999996</v>
      </c>
      <c r="AY7" s="114">
        <f>Y7+AC7</f>
        <v>-6263100</v>
      </c>
      <c r="AZ7" s="114">
        <f>AX7+AY7</f>
        <v>17550899.999999996</v>
      </c>
    </row>
    <row r="8" spans="1:65" x14ac:dyDescent="0.25">
      <c r="A8" s="117" t="s">
        <v>2</v>
      </c>
      <c r="B8" s="117">
        <v>6702</v>
      </c>
      <c r="C8" s="118">
        <v>951</v>
      </c>
      <c r="D8" s="119">
        <v>8663.4177226087868</v>
      </c>
      <c r="E8" s="119">
        <f>$E$4/$C$7*$C8</f>
        <v>11203.233537799082</v>
      </c>
      <c r="F8" s="119">
        <f t="shared" ref="F8:F59" si="7">$F$4/$C$7*$C8</f>
        <v>34588.3738879636</v>
      </c>
      <c r="G8" s="120">
        <f t="shared" ref="G8:G59" si="8">E8+F8</f>
        <v>45791.607425762682</v>
      </c>
      <c r="H8" s="121">
        <f t="shared" si="1"/>
        <v>8663.4177226087868</v>
      </c>
      <c r="I8" s="122">
        <f t="shared" ref="I8:I59" si="9">H8/$H$7*$I$7</f>
        <v>10533.960127041051</v>
      </c>
      <c r="J8" s="123">
        <f>J$6/$I$7*$I8</f>
        <v>22011.855259155618</v>
      </c>
      <c r="K8" s="123">
        <f t="shared" ref="K8:M27" si="10">K$6/$D$7*$D8</f>
        <v>22011.855259155618</v>
      </c>
      <c r="L8" s="123">
        <f t="shared" si="10"/>
        <v>2955.8903680001604</v>
      </c>
      <c r="M8" s="124">
        <f t="shared" si="10"/>
        <v>2955.8903680001604</v>
      </c>
      <c r="N8" s="123">
        <f>(N$6/$C$7)*$C8</f>
        <v>25651.541617581344</v>
      </c>
      <c r="O8" s="123">
        <f t="shared" ref="N8:Q27" si="11">(O$6/$C$7)*$C8</f>
        <v>17333.8918904276</v>
      </c>
      <c r="P8" s="123">
        <f t="shared" si="11"/>
        <v>31121.170559640315</v>
      </c>
      <c r="Q8" s="124">
        <f t="shared" si="11"/>
        <v>7436.6291587114592</v>
      </c>
      <c r="R8" s="125">
        <f t="shared" ref="R8:U39" si="12">J8+N8</f>
        <v>47663.396876736966</v>
      </c>
      <c r="S8" s="125">
        <f t="shared" si="12"/>
        <v>39345.747149583214</v>
      </c>
      <c r="T8" s="125">
        <f t="shared" si="12"/>
        <v>34077.060927640472</v>
      </c>
      <c r="U8" s="125">
        <f t="shared" si="12"/>
        <v>10392.51952671162</v>
      </c>
      <c r="V8" s="126"/>
      <c r="W8" s="127"/>
      <c r="X8" s="126"/>
      <c r="Y8" s="126">
        <f>(Y$6/$D$7)*$D8</f>
        <v>-19810.669733240058</v>
      </c>
      <c r="Z8" s="126">
        <f>(Z$6/$D$7)*$D8</f>
        <v>-19810.669733240058</v>
      </c>
      <c r="AA8" s="126">
        <f>(AA$6/$D$7)*$D8</f>
        <v>-2660.3013312001444</v>
      </c>
      <c r="AB8" s="127">
        <f>(AB$6/$D$7)*$D8</f>
        <v>-2660.3013312001444</v>
      </c>
      <c r="AC8" s="126">
        <f t="shared" ref="AC8:AF27" si="13">(AC$6/$C$7)*$C8</f>
        <v>-23086.387455823209</v>
      </c>
      <c r="AD8" s="126">
        <f t="shared" si="13"/>
        <v>-15600.502701384839</v>
      </c>
      <c r="AE8" s="126">
        <f t="shared" si="13"/>
        <v>-28009.053503676289</v>
      </c>
      <c r="AF8" s="127">
        <f t="shared" si="13"/>
        <v>-6692.9662428403135</v>
      </c>
      <c r="AG8" s="122">
        <f t="shared" ref="AG8:AJ39" si="14">Y8+AC8</f>
        <v>-42897.057189063271</v>
      </c>
      <c r="AH8" s="122">
        <f t="shared" si="14"/>
        <v>-35411.172434624896</v>
      </c>
      <c r="AI8" s="122">
        <f t="shared" si="14"/>
        <v>-30669.354834876434</v>
      </c>
      <c r="AJ8" s="122">
        <f t="shared" si="14"/>
        <v>-9353.2675740404575</v>
      </c>
      <c r="AK8" s="122">
        <f t="shared" ref="AK8:AL39" si="15">V8+AG8</f>
        <v>-42897.057189063271</v>
      </c>
      <c r="AL8" s="122">
        <f t="shared" si="15"/>
        <v>-35411.172434624896</v>
      </c>
      <c r="AM8" s="122">
        <f>AI8</f>
        <v>-30669.354834876434</v>
      </c>
      <c r="AN8" s="122">
        <f>AJ8</f>
        <v>-9353.2675740404575</v>
      </c>
      <c r="AO8" s="122">
        <f t="shared" si="6"/>
        <v>4766.3396876736952</v>
      </c>
      <c r="AP8" s="122">
        <f t="shared" si="6"/>
        <v>3934.5747149583185</v>
      </c>
      <c r="AQ8" s="122">
        <f t="shared" si="6"/>
        <v>3407.7060927640377</v>
      </c>
      <c r="AR8" s="122">
        <f t="shared" si="6"/>
        <v>1039.2519526711621</v>
      </c>
      <c r="AS8" s="122"/>
      <c r="AT8" s="122">
        <v>348069</v>
      </c>
      <c r="AU8" s="122">
        <v>275563</v>
      </c>
      <c r="AV8" s="128">
        <f>$AU8/$AU$7*$AV$7</f>
        <v>288426.74818764388</v>
      </c>
      <c r="AW8" s="128">
        <v>87616.902381013279</v>
      </c>
      <c r="AX8" s="122">
        <f t="shared" ref="AX8:AX61" si="16">AV8+AW8</f>
        <v>376043.65056865715</v>
      </c>
      <c r="AY8" s="122">
        <f>Y8+AC8</f>
        <v>-42897.057189063271</v>
      </c>
      <c r="AZ8" s="122">
        <f t="shared" ref="AZ8:AZ61" si="17">AX8+AY8</f>
        <v>333146.59337959386</v>
      </c>
    </row>
    <row r="9" spans="1:65" x14ac:dyDescent="0.25">
      <c r="A9" s="117" t="s">
        <v>4</v>
      </c>
      <c r="B9" s="117">
        <v>6703</v>
      </c>
      <c r="C9" s="118">
        <v>258</v>
      </c>
      <c r="D9" s="119">
        <v>157.30350462885059</v>
      </c>
      <c r="E9" s="119">
        <f t="shared" ref="E9:E59" si="18">$E$4/$C$7*C9</f>
        <v>3039.3630418003818</v>
      </c>
      <c r="F9" s="119">
        <f t="shared" si="7"/>
        <v>9383.5967014664675</v>
      </c>
      <c r="G9" s="120">
        <f t="shared" si="8"/>
        <v>12422.959743266849</v>
      </c>
      <c r="H9" s="121">
        <f t="shared" si="1"/>
        <v>157.30350462885059</v>
      </c>
      <c r="I9" s="122">
        <f t="shared" si="9"/>
        <v>191.26733797907573</v>
      </c>
      <c r="J9" s="123">
        <f t="shared" ref="J9:J59" si="19">J$6/$I$7*$I9</f>
        <v>399.67390313086634</v>
      </c>
      <c r="K9" s="123">
        <f t="shared" si="10"/>
        <v>399.67390313086634</v>
      </c>
      <c r="L9" s="123">
        <f t="shared" si="10"/>
        <v>53.670725465731401</v>
      </c>
      <c r="M9" s="124">
        <f t="shared" si="10"/>
        <v>53.670725465731401</v>
      </c>
      <c r="N9" s="123">
        <f t="shared" si="11"/>
        <v>6959.0933095015635</v>
      </c>
      <c r="O9" s="123">
        <f t="shared" si="11"/>
        <v>4702.5700396743641</v>
      </c>
      <c r="P9" s="123">
        <f t="shared" si="11"/>
        <v>8442.9674073472142</v>
      </c>
      <c r="Q9" s="124">
        <f t="shared" si="11"/>
        <v>2017.5082260226673</v>
      </c>
      <c r="R9" s="125">
        <f t="shared" si="12"/>
        <v>7358.7672126324296</v>
      </c>
      <c r="S9" s="125">
        <f t="shared" si="12"/>
        <v>5102.2439428052303</v>
      </c>
      <c r="T9" s="125">
        <f t="shared" si="12"/>
        <v>8496.6381328129464</v>
      </c>
      <c r="U9" s="125">
        <f t="shared" si="12"/>
        <v>2071.1789514883985</v>
      </c>
      <c r="V9" s="126"/>
      <c r="W9" s="127"/>
      <c r="X9" s="126"/>
      <c r="Y9" s="126">
        <f t="shared" ref="Y9:AB28" si="20">(Y$6/$D$7)*$D9</f>
        <v>-359.7065128177797</v>
      </c>
      <c r="Z9" s="126">
        <f t="shared" si="20"/>
        <v>-359.7065128177797</v>
      </c>
      <c r="AA9" s="126">
        <f t="shared" si="20"/>
        <v>-48.30365291915826</v>
      </c>
      <c r="AB9" s="127">
        <f t="shared" si="20"/>
        <v>-48.30365291915826</v>
      </c>
      <c r="AC9" s="126">
        <f t="shared" si="13"/>
        <v>-6263.1839785514076</v>
      </c>
      <c r="AD9" s="126">
        <f t="shared" si="13"/>
        <v>-4232.3130357069285</v>
      </c>
      <c r="AE9" s="126">
        <f t="shared" si="13"/>
        <v>-7598.6706666124946</v>
      </c>
      <c r="AF9" s="127">
        <f t="shared" si="13"/>
        <v>-1815.7574034204006</v>
      </c>
      <c r="AG9" s="122">
        <f t="shared" si="14"/>
        <v>-6622.8904913691877</v>
      </c>
      <c r="AH9" s="122">
        <f t="shared" si="14"/>
        <v>-4592.0195485247086</v>
      </c>
      <c r="AI9" s="122">
        <f t="shared" si="14"/>
        <v>-7646.9743195316532</v>
      </c>
      <c r="AJ9" s="122">
        <f t="shared" si="14"/>
        <v>-1864.0610563395589</v>
      </c>
      <c r="AK9" s="122">
        <f t="shared" si="15"/>
        <v>-6622.8904913691877</v>
      </c>
      <c r="AL9" s="122">
        <f t="shared" si="15"/>
        <v>-4592.0195485247086</v>
      </c>
      <c r="AM9" s="122">
        <f t="shared" ref="AM9:AN59" si="21">AI9</f>
        <v>-7646.9743195316532</v>
      </c>
      <c r="AN9" s="122">
        <f t="shared" si="21"/>
        <v>-1864.0610563395589</v>
      </c>
      <c r="AO9" s="122">
        <f t="shared" si="6"/>
        <v>735.87672126324196</v>
      </c>
      <c r="AP9" s="122">
        <f t="shared" si="6"/>
        <v>510.22439428052166</v>
      </c>
      <c r="AQ9" s="122">
        <f t="shared" si="6"/>
        <v>849.66381328129319</v>
      </c>
      <c r="AR9" s="122">
        <f t="shared" si="6"/>
        <v>207.11789514883958</v>
      </c>
      <c r="AS9" s="122"/>
      <c r="AT9" s="122">
        <v>21641</v>
      </c>
      <c r="AU9" s="122">
        <v>1971</v>
      </c>
      <c r="AV9" s="128">
        <f>$AU9/$AU$7*$AV$7</f>
        <v>2063.0096227644717</v>
      </c>
      <c r="AW9" s="128">
        <v>23769.404874555639</v>
      </c>
      <c r="AX9" s="122">
        <f t="shared" si="16"/>
        <v>25832.414497320111</v>
      </c>
      <c r="AY9" s="122">
        <f t="shared" ref="AY9:AY59" si="22">Y9+AC9</f>
        <v>-6622.8904913691877</v>
      </c>
      <c r="AZ9" s="122">
        <f t="shared" si="17"/>
        <v>19209.524005950923</v>
      </c>
    </row>
    <row r="10" spans="1:65" x14ac:dyDescent="0.25">
      <c r="A10" s="117" t="s">
        <v>6</v>
      </c>
      <c r="B10" s="117">
        <v>6704</v>
      </c>
      <c r="C10" s="118">
        <v>471</v>
      </c>
      <c r="D10" s="119">
        <v>2099.6954187523688</v>
      </c>
      <c r="E10" s="119">
        <f t="shared" si="18"/>
        <v>5548.6046228216273</v>
      </c>
      <c r="F10" s="119">
        <f t="shared" si="7"/>
        <v>17130.519559653898</v>
      </c>
      <c r="G10" s="120">
        <f t="shared" si="8"/>
        <v>22679.124182475527</v>
      </c>
      <c r="H10" s="121">
        <f t="shared" si="1"/>
        <v>2099.6954187523688</v>
      </c>
      <c r="I10" s="122">
        <f t="shared" si="9"/>
        <v>2553.0464452091387</v>
      </c>
      <c r="J10" s="123">
        <f t="shared" si="19"/>
        <v>5334.8681924079901</v>
      </c>
      <c r="K10" s="123">
        <f t="shared" si="10"/>
        <v>5334.8681924079901</v>
      </c>
      <c r="L10" s="123">
        <f t="shared" si="10"/>
        <v>716.39965458750351</v>
      </c>
      <c r="M10" s="124">
        <f t="shared" si="10"/>
        <v>716.39965458750351</v>
      </c>
      <c r="N10" s="123">
        <f t="shared" si="11"/>
        <v>12704.391274322621</v>
      </c>
      <c r="O10" s="123">
        <f t="shared" si="11"/>
        <v>8584.9243747543624</v>
      </c>
      <c r="P10" s="123">
        <f t="shared" si="11"/>
        <v>15413.324220389683</v>
      </c>
      <c r="Q10" s="124">
        <f t="shared" si="11"/>
        <v>3683.1254823902182</v>
      </c>
      <c r="R10" s="125">
        <f t="shared" si="12"/>
        <v>18039.259466730611</v>
      </c>
      <c r="S10" s="125">
        <f t="shared" si="12"/>
        <v>13919.792567162352</v>
      </c>
      <c r="T10" s="125">
        <f t="shared" si="12"/>
        <v>16129.723874977186</v>
      </c>
      <c r="U10" s="125">
        <f t="shared" si="12"/>
        <v>4399.5251369777216</v>
      </c>
      <c r="V10" s="126"/>
      <c r="W10" s="127"/>
      <c r="X10" s="126"/>
      <c r="Y10" s="126">
        <f t="shared" si="20"/>
        <v>-4801.3813731671917</v>
      </c>
      <c r="Z10" s="126">
        <f t="shared" si="20"/>
        <v>-4801.3813731671917</v>
      </c>
      <c r="AA10" s="126">
        <f t="shared" si="20"/>
        <v>-644.75968912875317</v>
      </c>
      <c r="AB10" s="127">
        <f t="shared" si="20"/>
        <v>-644.75968912875317</v>
      </c>
      <c r="AC10" s="126">
        <f t="shared" si="13"/>
        <v>-11433.95214689036</v>
      </c>
      <c r="AD10" s="126">
        <f t="shared" si="13"/>
        <v>-7726.4319372789269</v>
      </c>
      <c r="AE10" s="126">
        <f t="shared" si="13"/>
        <v>-13871.991798350717</v>
      </c>
      <c r="AF10" s="127">
        <f t="shared" si="13"/>
        <v>-3314.8129341511963</v>
      </c>
      <c r="AG10" s="122">
        <f t="shared" si="14"/>
        <v>-16235.333520057553</v>
      </c>
      <c r="AH10" s="122">
        <f t="shared" si="14"/>
        <v>-12527.813310446119</v>
      </c>
      <c r="AI10" s="122">
        <f t="shared" si="14"/>
        <v>-14516.751487479471</v>
      </c>
      <c r="AJ10" s="122">
        <f t="shared" si="14"/>
        <v>-3959.5726232799493</v>
      </c>
      <c r="AK10" s="122">
        <f t="shared" si="15"/>
        <v>-16235.333520057553</v>
      </c>
      <c r="AL10" s="122">
        <f t="shared" si="15"/>
        <v>-12527.813310446119</v>
      </c>
      <c r="AM10" s="122">
        <f t="shared" si="21"/>
        <v>-14516.751487479471</v>
      </c>
      <c r="AN10" s="122">
        <f t="shared" si="21"/>
        <v>-3959.5726232799493</v>
      </c>
      <c r="AO10" s="122">
        <f t="shared" si="6"/>
        <v>1803.9259466730582</v>
      </c>
      <c r="AP10" s="122">
        <f t="shared" si="6"/>
        <v>1391.9792567162331</v>
      </c>
      <c r="AQ10" s="122">
        <f t="shared" si="6"/>
        <v>1612.9723874977153</v>
      </c>
      <c r="AR10" s="122">
        <f t="shared" si="6"/>
        <v>439.95251369777225</v>
      </c>
      <c r="AS10" s="122"/>
      <c r="AT10" s="122">
        <v>41047</v>
      </c>
      <c r="AU10" s="122">
        <v>5137</v>
      </c>
      <c r="AV10" s="128">
        <f t="shared" ref="AV10:AV59" si="23">$AU10/$AU$7*$AV$7</f>
        <v>5376.8038722177016</v>
      </c>
      <c r="AW10" s="128">
        <v>43393.966906217232</v>
      </c>
      <c r="AX10" s="122">
        <f t="shared" si="16"/>
        <v>48770.770778434933</v>
      </c>
      <c r="AY10" s="122">
        <f t="shared" si="22"/>
        <v>-16235.333520057553</v>
      </c>
      <c r="AZ10" s="122">
        <f t="shared" si="17"/>
        <v>32535.43725837738</v>
      </c>
    </row>
    <row r="11" spans="1:65" x14ac:dyDescent="0.25">
      <c r="A11" s="117" t="s">
        <v>8</v>
      </c>
      <c r="B11" s="117">
        <v>6706</v>
      </c>
      <c r="C11" s="118">
        <v>441</v>
      </c>
      <c r="D11" s="119">
        <v>2296.7045180920677</v>
      </c>
      <c r="E11" s="119">
        <f t="shared" si="18"/>
        <v>5195.1903156355365</v>
      </c>
      <c r="F11" s="119">
        <f t="shared" si="7"/>
        <v>16039.403664134541</v>
      </c>
      <c r="G11" s="120">
        <f t="shared" si="8"/>
        <v>21234.593979770078</v>
      </c>
      <c r="H11" s="121">
        <f t="shared" si="1"/>
        <v>2296.7045180920677</v>
      </c>
      <c r="I11" s="122">
        <f t="shared" si="9"/>
        <v>2792.5923223163709</v>
      </c>
      <c r="J11" s="123">
        <f t="shared" si="19"/>
        <v>5835.4253533636584</v>
      </c>
      <c r="K11" s="123">
        <f t="shared" si="10"/>
        <v>5835.4253533636575</v>
      </c>
      <c r="L11" s="123">
        <f t="shared" si="10"/>
        <v>783.61761842028579</v>
      </c>
      <c r="M11" s="124">
        <f t="shared" si="10"/>
        <v>783.61761842028579</v>
      </c>
      <c r="N11" s="123">
        <f t="shared" si="11"/>
        <v>11895.194377868951</v>
      </c>
      <c r="O11" s="123">
        <f t="shared" si="11"/>
        <v>8038.1139050247857</v>
      </c>
      <c r="P11" s="123">
        <f t="shared" si="11"/>
        <v>14431.583824186519</v>
      </c>
      <c r="Q11" s="124">
        <f t="shared" si="11"/>
        <v>3448.5315026201406</v>
      </c>
      <c r="R11" s="125">
        <f t="shared" si="12"/>
        <v>17730.619731232611</v>
      </c>
      <c r="S11" s="125">
        <f t="shared" si="12"/>
        <v>13873.539258388442</v>
      </c>
      <c r="T11" s="125">
        <f t="shared" si="12"/>
        <v>15215.201442606804</v>
      </c>
      <c r="U11" s="125">
        <f t="shared" si="12"/>
        <v>4232.1491210404265</v>
      </c>
      <c r="V11" s="126"/>
      <c r="W11" s="127"/>
      <c r="X11" s="126"/>
      <c r="Y11" s="126">
        <f t="shared" si="20"/>
        <v>-5251.8828180272913</v>
      </c>
      <c r="Z11" s="126">
        <f t="shared" si="20"/>
        <v>-5251.8828180272913</v>
      </c>
      <c r="AA11" s="126">
        <f t="shared" si="20"/>
        <v>-705.25585657825718</v>
      </c>
      <c r="AB11" s="127">
        <f t="shared" si="20"/>
        <v>-705.25585657825718</v>
      </c>
      <c r="AC11" s="126">
        <f t="shared" si="13"/>
        <v>-10705.674940082057</v>
      </c>
      <c r="AD11" s="126">
        <f t="shared" si="13"/>
        <v>-7234.3025145223073</v>
      </c>
      <c r="AE11" s="126">
        <f t="shared" si="13"/>
        <v>-12988.425441767868</v>
      </c>
      <c r="AF11" s="127">
        <f t="shared" si="13"/>
        <v>-3103.6783523581262</v>
      </c>
      <c r="AG11" s="122">
        <f t="shared" si="14"/>
        <v>-15957.557758109349</v>
      </c>
      <c r="AH11" s="122">
        <f t="shared" si="14"/>
        <v>-12486.185332549598</v>
      </c>
      <c r="AI11" s="122">
        <f t="shared" si="14"/>
        <v>-13693.681298346124</v>
      </c>
      <c r="AJ11" s="122">
        <f t="shared" si="14"/>
        <v>-3808.9342089363836</v>
      </c>
      <c r="AK11" s="122">
        <f t="shared" si="15"/>
        <v>-15957.557758109349</v>
      </c>
      <c r="AL11" s="122">
        <f t="shared" si="15"/>
        <v>-12486.185332549598</v>
      </c>
      <c r="AM11" s="122">
        <f t="shared" si="21"/>
        <v>-13693.681298346124</v>
      </c>
      <c r="AN11" s="122">
        <f t="shared" si="21"/>
        <v>-3808.9342089363836</v>
      </c>
      <c r="AO11" s="122">
        <f t="shared" si="6"/>
        <v>1773.0619731232619</v>
      </c>
      <c r="AP11" s="122">
        <f t="shared" si="6"/>
        <v>1387.3539258388446</v>
      </c>
      <c r="AQ11" s="122">
        <f t="shared" si="6"/>
        <v>1521.5201442606794</v>
      </c>
      <c r="AR11" s="122">
        <f t="shared" si="6"/>
        <v>423.21491210404292</v>
      </c>
      <c r="AS11" s="122"/>
      <c r="AT11" s="122">
        <v>74149</v>
      </c>
      <c r="AU11" s="122">
        <v>40526</v>
      </c>
      <c r="AV11" s="128">
        <f t="shared" si="23"/>
        <v>42417.822411036519</v>
      </c>
      <c r="AW11" s="128">
        <v>40630.335541290508</v>
      </c>
      <c r="AX11" s="122">
        <f t="shared" si="16"/>
        <v>83048.157952327019</v>
      </c>
      <c r="AY11" s="122">
        <f t="shared" si="22"/>
        <v>-15957.557758109349</v>
      </c>
      <c r="AZ11" s="122">
        <f t="shared" si="17"/>
        <v>67090.600194217666</v>
      </c>
    </row>
    <row r="12" spans="1:65" x14ac:dyDescent="0.25">
      <c r="A12" s="117" t="s">
        <v>9</v>
      </c>
      <c r="B12" s="117">
        <v>6708</v>
      </c>
      <c r="C12" s="118">
        <v>3686</v>
      </c>
      <c r="D12" s="119">
        <v>27693.361308895895</v>
      </c>
      <c r="E12" s="119">
        <f t="shared" si="18"/>
        <v>43422.83787626437</v>
      </c>
      <c r="F12" s="119">
        <f t="shared" si="7"/>
        <v>134061.77302947827</v>
      </c>
      <c r="G12" s="120">
        <f t="shared" si="8"/>
        <v>177484.61090574262</v>
      </c>
      <c r="H12" s="121">
        <f t="shared" si="1"/>
        <v>27693.361308895895</v>
      </c>
      <c r="I12" s="122">
        <f t="shared" si="9"/>
        <v>33672.711296184134</v>
      </c>
      <c r="J12" s="123">
        <f t="shared" si="19"/>
        <v>70362.792178437783</v>
      </c>
      <c r="K12" s="123">
        <f t="shared" si="10"/>
        <v>70362.792178437783</v>
      </c>
      <c r="L12" s="123">
        <f t="shared" si="10"/>
        <v>9448.7582812599157</v>
      </c>
      <c r="M12" s="124">
        <f t="shared" si="10"/>
        <v>9448.7582812599157</v>
      </c>
      <c r="N12" s="123">
        <f t="shared" si="11"/>
        <v>99423.325344274272</v>
      </c>
      <c r="O12" s="123">
        <f t="shared" si="11"/>
        <v>67184.779714107397</v>
      </c>
      <c r="P12" s="123">
        <f t="shared" si="11"/>
        <v>120623.17001349547</v>
      </c>
      <c r="Q12" s="124">
        <f t="shared" si="11"/>
        <v>28823.780314416868</v>
      </c>
      <c r="R12" s="125">
        <f t="shared" si="12"/>
        <v>169786.11752271204</v>
      </c>
      <c r="S12" s="125">
        <f t="shared" si="12"/>
        <v>137547.57189254518</v>
      </c>
      <c r="T12" s="125">
        <f t="shared" si="12"/>
        <v>130071.92829475539</v>
      </c>
      <c r="U12" s="125">
        <f t="shared" si="12"/>
        <v>38272.538595676786</v>
      </c>
      <c r="V12" s="126"/>
      <c r="W12" s="127"/>
      <c r="X12" s="126"/>
      <c r="Y12" s="126">
        <f t="shared" si="20"/>
        <v>-63326.512960594009</v>
      </c>
      <c r="Z12" s="126">
        <f t="shared" si="20"/>
        <v>-63326.512960594009</v>
      </c>
      <c r="AA12" s="126">
        <f t="shared" si="20"/>
        <v>-8503.8824531339251</v>
      </c>
      <c r="AB12" s="127">
        <f t="shared" si="20"/>
        <v>-8503.8824531339251</v>
      </c>
      <c r="AC12" s="126">
        <f t="shared" si="13"/>
        <v>-89480.992809846852</v>
      </c>
      <c r="AD12" s="126">
        <f t="shared" si="13"/>
        <v>-60466.301742696654</v>
      </c>
      <c r="AE12" s="126">
        <f t="shared" si="13"/>
        <v>-108560.85301214595</v>
      </c>
      <c r="AF12" s="127">
        <f t="shared" si="13"/>
        <v>-25941.402282975178</v>
      </c>
      <c r="AG12" s="122">
        <f t="shared" si="14"/>
        <v>-152807.50577044085</v>
      </c>
      <c r="AH12" s="122">
        <f t="shared" si="14"/>
        <v>-123792.81470329067</v>
      </c>
      <c r="AI12" s="122">
        <f t="shared" si="14"/>
        <v>-117064.73546527987</v>
      </c>
      <c r="AJ12" s="122">
        <f t="shared" si="14"/>
        <v>-34445.284736109104</v>
      </c>
      <c r="AK12" s="122">
        <f t="shared" si="15"/>
        <v>-152807.50577044085</v>
      </c>
      <c r="AL12" s="122">
        <f t="shared" si="15"/>
        <v>-123792.81470329067</v>
      </c>
      <c r="AM12" s="122">
        <f t="shared" si="21"/>
        <v>-117064.73546527987</v>
      </c>
      <c r="AN12" s="122">
        <f t="shared" si="21"/>
        <v>-34445.284736109104</v>
      </c>
      <c r="AO12" s="122">
        <f t="shared" si="6"/>
        <v>16978.611752271187</v>
      </c>
      <c r="AP12" s="122">
        <f t="shared" si="6"/>
        <v>13754.757189254509</v>
      </c>
      <c r="AQ12" s="122">
        <f t="shared" si="6"/>
        <v>13007.19282947552</v>
      </c>
      <c r="AR12" s="122">
        <f t="shared" si="6"/>
        <v>3827.2538595676815</v>
      </c>
      <c r="AS12" s="122"/>
      <c r="AT12" s="122">
        <v>425456</v>
      </c>
      <c r="AU12" s="122">
        <v>144428</v>
      </c>
      <c r="AV12" s="128">
        <f t="shared" si="23"/>
        <v>151170.14398611218</v>
      </c>
      <c r="AW12" s="128">
        <v>339596.762231145</v>
      </c>
      <c r="AX12" s="122">
        <f t="shared" si="16"/>
        <v>490766.90621725714</v>
      </c>
      <c r="AY12" s="122">
        <f t="shared" si="22"/>
        <v>-152807.50577044085</v>
      </c>
      <c r="AZ12" s="122">
        <f t="shared" si="17"/>
        <v>337959.40044681629</v>
      </c>
    </row>
    <row r="13" spans="1:65" x14ac:dyDescent="0.25">
      <c r="A13" s="117" t="s">
        <v>12</v>
      </c>
      <c r="B13" s="117">
        <v>6709</v>
      </c>
      <c r="C13" s="118">
        <v>3313</v>
      </c>
      <c r="D13" s="119">
        <v>23752.773630387619</v>
      </c>
      <c r="E13" s="119">
        <f t="shared" si="18"/>
        <v>39028.71999025064</v>
      </c>
      <c r="F13" s="119">
        <f t="shared" si="7"/>
        <v>120495.56539518762</v>
      </c>
      <c r="G13" s="120">
        <f t="shared" si="8"/>
        <v>159524.28538543824</v>
      </c>
      <c r="H13" s="121">
        <f t="shared" si="1"/>
        <v>23752.773630387619</v>
      </c>
      <c r="I13" s="122">
        <f t="shared" si="9"/>
        <v>28881.300468308727</v>
      </c>
      <c r="J13" s="123">
        <f t="shared" si="19"/>
        <v>60350.618185144915</v>
      </c>
      <c r="K13" s="123">
        <f t="shared" si="10"/>
        <v>60350.618185144915</v>
      </c>
      <c r="L13" s="123">
        <f t="shared" si="10"/>
        <v>8104.2605857643766</v>
      </c>
      <c r="M13" s="124">
        <f t="shared" si="10"/>
        <v>8104.2605857643766</v>
      </c>
      <c r="N13" s="123">
        <f t="shared" si="11"/>
        <v>89362.310598366981</v>
      </c>
      <c r="O13" s="123">
        <f t="shared" si="11"/>
        <v>60386.102873802985</v>
      </c>
      <c r="P13" s="123">
        <f t="shared" si="11"/>
        <v>108416.8644207028</v>
      </c>
      <c r="Q13" s="124">
        <f t="shared" si="11"/>
        <v>25906.995165942237</v>
      </c>
      <c r="R13" s="125">
        <f t="shared" si="12"/>
        <v>149712.92878351189</v>
      </c>
      <c r="S13" s="125">
        <f t="shared" si="12"/>
        <v>120736.72105894791</v>
      </c>
      <c r="T13" s="125">
        <f t="shared" si="12"/>
        <v>116521.12500646718</v>
      </c>
      <c r="U13" s="125">
        <f t="shared" si="12"/>
        <v>34011.255751706616</v>
      </c>
      <c r="V13" s="126"/>
      <c r="W13" s="127"/>
      <c r="X13" s="126"/>
      <c r="Y13" s="126">
        <f t="shared" si="20"/>
        <v>-54315.556366630422</v>
      </c>
      <c r="Z13" s="126">
        <f t="shared" si="20"/>
        <v>-54315.556366630422</v>
      </c>
      <c r="AA13" s="126">
        <f t="shared" si="20"/>
        <v>-7293.8345271879389</v>
      </c>
      <c r="AB13" s="127">
        <f t="shared" si="20"/>
        <v>-7293.8345271879389</v>
      </c>
      <c r="AC13" s="126">
        <f t="shared" si="13"/>
        <v>-80426.079538530277</v>
      </c>
      <c r="AD13" s="126">
        <f t="shared" si="13"/>
        <v>-54347.492586422683</v>
      </c>
      <c r="AE13" s="126">
        <f t="shared" si="13"/>
        <v>-97575.177978632535</v>
      </c>
      <c r="AF13" s="127">
        <f t="shared" si="13"/>
        <v>-23316.295649348012</v>
      </c>
      <c r="AG13" s="122">
        <f t="shared" si="14"/>
        <v>-134741.63590516069</v>
      </c>
      <c r="AH13" s="122">
        <f t="shared" si="14"/>
        <v>-108663.0489530531</v>
      </c>
      <c r="AI13" s="122">
        <f t="shared" si="14"/>
        <v>-104869.01250582047</v>
      </c>
      <c r="AJ13" s="122">
        <f t="shared" si="14"/>
        <v>-30610.130176535953</v>
      </c>
      <c r="AK13" s="122">
        <f t="shared" si="15"/>
        <v>-134741.63590516069</v>
      </c>
      <c r="AL13" s="122">
        <f t="shared" si="15"/>
        <v>-108663.0489530531</v>
      </c>
      <c r="AM13" s="122">
        <f t="shared" si="21"/>
        <v>-104869.01250582047</v>
      </c>
      <c r="AN13" s="122">
        <f t="shared" si="21"/>
        <v>-30610.130176535953</v>
      </c>
      <c r="AO13" s="122">
        <f t="shared" si="6"/>
        <v>14971.292878351203</v>
      </c>
      <c r="AP13" s="122">
        <f t="shared" si="6"/>
        <v>12073.672105894802</v>
      </c>
      <c r="AQ13" s="122">
        <f t="shared" si="6"/>
        <v>11652.112500646705</v>
      </c>
      <c r="AR13" s="122">
        <f t="shared" si="6"/>
        <v>3401.1255751706631</v>
      </c>
      <c r="AS13" s="122"/>
      <c r="AT13" s="122">
        <v>425127</v>
      </c>
      <c r="AU13" s="122">
        <v>172537</v>
      </c>
      <c r="AV13" s="128">
        <f t="shared" si="23"/>
        <v>180591.3197782413</v>
      </c>
      <c r="AW13" s="128">
        <v>305232.02731387946</v>
      </c>
      <c r="AX13" s="122">
        <f t="shared" si="16"/>
        <v>485823.34709212079</v>
      </c>
      <c r="AY13" s="122">
        <f t="shared" si="22"/>
        <v>-134741.63590516069</v>
      </c>
      <c r="AZ13" s="122">
        <f t="shared" si="17"/>
        <v>351081.71118696011</v>
      </c>
    </row>
    <row r="14" spans="1:65" x14ac:dyDescent="0.25">
      <c r="A14" s="117" t="s">
        <v>14</v>
      </c>
      <c r="B14" s="117">
        <v>6710</v>
      </c>
      <c r="C14" s="118">
        <v>2654</v>
      </c>
      <c r="D14" s="119">
        <v>53101.824485965553</v>
      </c>
      <c r="E14" s="119">
        <f t="shared" si="18"/>
        <v>31265.385709062844</v>
      </c>
      <c r="F14" s="119">
        <f t="shared" si="7"/>
        <v>96527.386223612411</v>
      </c>
      <c r="G14" s="120">
        <f t="shared" si="8"/>
        <v>127792.77193267526</v>
      </c>
      <c r="H14" s="121">
        <f t="shared" si="1"/>
        <v>53101.824485965553</v>
      </c>
      <c r="I14" s="122">
        <f t="shared" si="9"/>
        <v>64567.185805725094</v>
      </c>
      <c r="J14" s="123">
        <f t="shared" si="19"/>
        <v>134920.15645647311</v>
      </c>
      <c r="K14" s="123">
        <f t="shared" si="10"/>
        <v>134920.15645647311</v>
      </c>
      <c r="L14" s="123">
        <f t="shared" si="10"/>
        <v>18117.927190752478</v>
      </c>
      <c r="M14" s="124">
        <f t="shared" si="10"/>
        <v>18117.927190752478</v>
      </c>
      <c r="N14" s="123">
        <f t="shared" si="11"/>
        <v>71586.952106268029</v>
      </c>
      <c r="O14" s="123">
        <f t="shared" si="11"/>
        <v>48374.499555409937</v>
      </c>
      <c r="P14" s="123">
        <f t="shared" si="11"/>
        <v>86851.300384106624</v>
      </c>
      <c r="Q14" s="124">
        <f t="shared" si="11"/>
        <v>20753.747410326199</v>
      </c>
      <c r="R14" s="125">
        <f t="shared" si="12"/>
        <v>206507.10856274114</v>
      </c>
      <c r="S14" s="125">
        <f t="shared" si="12"/>
        <v>183294.65601188305</v>
      </c>
      <c r="T14" s="125">
        <f t="shared" si="12"/>
        <v>104969.22757485911</v>
      </c>
      <c r="U14" s="125">
        <f t="shared" si="12"/>
        <v>38871.674601078674</v>
      </c>
      <c r="V14" s="126"/>
      <c r="W14" s="127"/>
      <c r="X14" s="126"/>
      <c r="Y14" s="126">
        <f t="shared" si="20"/>
        <v>-121428.1408108258</v>
      </c>
      <c r="Z14" s="126">
        <f t="shared" si="20"/>
        <v>-121428.1408108258</v>
      </c>
      <c r="AA14" s="126">
        <f t="shared" si="20"/>
        <v>-16306.134471677231</v>
      </c>
      <c r="AB14" s="127">
        <f t="shared" si="20"/>
        <v>-16306.134471677231</v>
      </c>
      <c r="AC14" s="126">
        <f t="shared" si="13"/>
        <v>-64428.256895641221</v>
      </c>
      <c r="AD14" s="126">
        <f t="shared" si="13"/>
        <v>-43537.049599868944</v>
      </c>
      <c r="AE14" s="126">
        <f t="shared" si="13"/>
        <v>-78166.170345695966</v>
      </c>
      <c r="AF14" s="127">
        <f t="shared" si="13"/>
        <v>-18678.372669293578</v>
      </c>
      <c r="AG14" s="122">
        <f t="shared" si="14"/>
        <v>-185856.39770646702</v>
      </c>
      <c r="AH14" s="122">
        <f t="shared" si="14"/>
        <v>-164965.19041069475</v>
      </c>
      <c r="AI14" s="122">
        <f t="shared" si="14"/>
        <v>-94472.304817373195</v>
      </c>
      <c r="AJ14" s="122">
        <f t="shared" si="14"/>
        <v>-34984.507140970811</v>
      </c>
      <c r="AK14" s="122">
        <f t="shared" si="15"/>
        <v>-185856.39770646702</v>
      </c>
      <c r="AL14" s="122">
        <f t="shared" si="15"/>
        <v>-164965.19041069475</v>
      </c>
      <c r="AM14" s="122">
        <f t="shared" si="21"/>
        <v>-94472.304817373195</v>
      </c>
      <c r="AN14" s="122">
        <f t="shared" si="21"/>
        <v>-34984.507140970811</v>
      </c>
      <c r="AO14" s="122">
        <f t="shared" si="6"/>
        <v>20650.71085627412</v>
      </c>
      <c r="AP14" s="122">
        <f t="shared" si="6"/>
        <v>18329.465601188305</v>
      </c>
      <c r="AQ14" s="122">
        <f t="shared" si="6"/>
        <v>10496.922757485911</v>
      </c>
      <c r="AR14" s="122">
        <f t="shared" si="6"/>
        <v>3887.167460107863</v>
      </c>
      <c r="AS14" s="122"/>
      <c r="AT14" s="122">
        <v>590574</v>
      </c>
      <c r="AU14" s="122">
        <v>388228</v>
      </c>
      <c r="AV14" s="128">
        <f t="shared" si="23"/>
        <v>406351.14146453846</v>
      </c>
      <c r="AW14" s="128">
        <v>244516.72591493823</v>
      </c>
      <c r="AX14" s="122">
        <f t="shared" si="16"/>
        <v>650867.86737947667</v>
      </c>
      <c r="AY14" s="122">
        <f t="shared" si="22"/>
        <v>-185856.39770646702</v>
      </c>
      <c r="AZ14" s="122">
        <f t="shared" si="17"/>
        <v>465011.46967300965</v>
      </c>
    </row>
    <row r="15" spans="1:65" x14ac:dyDescent="0.25">
      <c r="A15" s="117" t="s">
        <v>10</v>
      </c>
      <c r="B15" s="117">
        <v>6711</v>
      </c>
      <c r="C15" s="118">
        <v>12632</v>
      </c>
      <c r="D15" s="119">
        <v>475378.87056459807</v>
      </c>
      <c r="E15" s="119">
        <f t="shared" si="18"/>
        <v>148810.98427915669</v>
      </c>
      <c r="F15" s="119">
        <f t="shared" si="7"/>
        <v>459432.53307335044</v>
      </c>
      <c r="G15" s="120">
        <f t="shared" si="8"/>
        <v>608243.5173525071</v>
      </c>
      <c r="H15" s="121">
        <f t="shared" si="1"/>
        <v>475378.87056459807</v>
      </c>
      <c r="I15" s="122">
        <f t="shared" si="9"/>
        <v>578019.23306745</v>
      </c>
      <c r="J15" s="123">
        <f t="shared" si="19"/>
        <v>1207834.0473899976</v>
      </c>
      <c r="K15" s="123">
        <f t="shared" si="10"/>
        <v>1207834.0473899974</v>
      </c>
      <c r="L15" s="123">
        <f t="shared" si="10"/>
        <v>162195.55256877962</v>
      </c>
      <c r="M15" s="124">
        <f t="shared" si="10"/>
        <v>162195.55256877962</v>
      </c>
      <c r="N15" s="123">
        <f t="shared" si="11"/>
        <v>340725.83986675873</v>
      </c>
      <c r="O15" s="123">
        <f t="shared" si="11"/>
        <v>230243.66178746734</v>
      </c>
      <c r="P15" s="123">
        <f t="shared" si="11"/>
        <v>413378.15616127913</v>
      </c>
      <c r="Q15" s="124">
        <f t="shared" si="11"/>
        <v>98779.705081854001</v>
      </c>
      <c r="R15" s="125">
        <f t="shared" si="12"/>
        <v>1548559.8872567564</v>
      </c>
      <c r="S15" s="125">
        <f t="shared" si="12"/>
        <v>1438077.7091774647</v>
      </c>
      <c r="T15" s="125">
        <f t="shared" si="12"/>
        <v>575573.70873005874</v>
      </c>
      <c r="U15" s="125">
        <f t="shared" si="12"/>
        <v>260975.25765063363</v>
      </c>
      <c r="V15" s="126"/>
      <c r="W15" s="127"/>
      <c r="X15" s="126"/>
      <c r="Y15" s="126">
        <f t="shared" si="20"/>
        <v>-1087050.6426509977</v>
      </c>
      <c r="Z15" s="126">
        <f t="shared" si="20"/>
        <v>-1087050.6426509977</v>
      </c>
      <c r="AA15" s="126">
        <f t="shared" si="20"/>
        <v>-145975.99731190165</v>
      </c>
      <c r="AB15" s="127">
        <f t="shared" si="20"/>
        <v>-145975.99731190165</v>
      </c>
      <c r="AC15" s="126">
        <f t="shared" si="13"/>
        <v>-306653.25588008284</v>
      </c>
      <c r="AD15" s="126">
        <f t="shared" si="13"/>
        <v>-207219.2956087206</v>
      </c>
      <c r="AE15" s="126">
        <f t="shared" si="13"/>
        <v>-372040.34054515127</v>
      </c>
      <c r="AF15" s="127">
        <f t="shared" si="13"/>
        <v>-88901.734573668597</v>
      </c>
      <c r="AG15" s="122">
        <f t="shared" si="14"/>
        <v>-1393703.8985310807</v>
      </c>
      <c r="AH15" s="122">
        <f t="shared" si="14"/>
        <v>-1294269.9382597182</v>
      </c>
      <c r="AI15" s="122">
        <f t="shared" si="14"/>
        <v>-518016.33785705292</v>
      </c>
      <c r="AJ15" s="122">
        <f t="shared" si="14"/>
        <v>-234877.73188557025</v>
      </c>
      <c r="AK15" s="122">
        <f t="shared" si="15"/>
        <v>-1393703.8985310807</v>
      </c>
      <c r="AL15" s="122">
        <f t="shared" si="15"/>
        <v>-1294269.9382597182</v>
      </c>
      <c r="AM15" s="122">
        <f t="shared" si="21"/>
        <v>-518016.33785705292</v>
      </c>
      <c r="AN15" s="122">
        <f t="shared" si="21"/>
        <v>-234877.73188557025</v>
      </c>
      <c r="AO15" s="122">
        <f t="shared" si="6"/>
        <v>154855.98872567574</v>
      </c>
      <c r="AP15" s="122">
        <f t="shared" si="6"/>
        <v>143807.77091774647</v>
      </c>
      <c r="AQ15" s="122">
        <f t="shared" si="6"/>
        <v>57557.370873005828</v>
      </c>
      <c r="AR15" s="122">
        <f t="shared" si="6"/>
        <v>26097.525765063387</v>
      </c>
      <c r="AS15" s="122"/>
      <c r="AT15" s="122">
        <v>4343333</v>
      </c>
      <c r="AU15" s="122">
        <v>3380248</v>
      </c>
      <c r="AV15" s="128">
        <f t="shared" si="23"/>
        <v>3538043.709452237</v>
      </c>
      <c r="AW15" s="128">
        <v>1163800.5741541137</v>
      </c>
      <c r="AX15" s="122">
        <f t="shared" si="16"/>
        <v>4701844.2836063504</v>
      </c>
      <c r="AY15" s="122">
        <f t="shared" si="22"/>
        <v>-1393703.8985310807</v>
      </c>
      <c r="AZ15" s="122">
        <f t="shared" si="17"/>
        <v>3308140.3850752697</v>
      </c>
    </row>
    <row r="16" spans="1:65" x14ac:dyDescent="0.25">
      <c r="A16" s="117" t="s">
        <v>17</v>
      </c>
      <c r="B16" s="117">
        <v>6712</v>
      </c>
      <c r="C16" s="118">
        <v>1359</v>
      </c>
      <c r="D16" s="119">
        <v>19690.492679600844</v>
      </c>
      <c r="E16" s="119">
        <f t="shared" si="18"/>
        <v>16009.668115529919</v>
      </c>
      <c r="F16" s="119">
        <f t="shared" si="7"/>
        <v>49427.550067026852</v>
      </c>
      <c r="G16" s="120">
        <f t="shared" si="8"/>
        <v>65437.218182556768</v>
      </c>
      <c r="H16" s="121">
        <f t="shared" si="1"/>
        <v>19690.492679600844</v>
      </c>
      <c r="I16" s="122">
        <f t="shared" si="9"/>
        <v>23941.921238244257</v>
      </c>
      <c r="J16" s="123">
        <f t="shared" si="19"/>
        <v>50029.248123836449</v>
      </c>
      <c r="K16" s="123">
        <f t="shared" si="10"/>
        <v>50029.248123836442</v>
      </c>
      <c r="L16" s="123">
        <f t="shared" si="10"/>
        <v>6718.2420975637024</v>
      </c>
      <c r="M16" s="124">
        <f t="shared" si="10"/>
        <v>6718.2420975637024</v>
      </c>
      <c r="N16" s="123">
        <f t="shared" si="11"/>
        <v>36656.61940935126</v>
      </c>
      <c r="O16" s="123">
        <f t="shared" si="11"/>
        <v>24770.514278749852</v>
      </c>
      <c r="P16" s="123">
        <f t="shared" si="11"/>
        <v>44472.839948003355</v>
      </c>
      <c r="Q16" s="124">
        <f t="shared" si="11"/>
        <v>10627.107283584515</v>
      </c>
      <c r="R16" s="125">
        <f t="shared" si="12"/>
        <v>86685.867533187702</v>
      </c>
      <c r="S16" s="125">
        <f t="shared" si="12"/>
        <v>74799.76240258629</v>
      </c>
      <c r="T16" s="125">
        <f t="shared" si="12"/>
        <v>51191.082045567055</v>
      </c>
      <c r="U16" s="125">
        <f t="shared" si="12"/>
        <v>17345.349381148219</v>
      </c>
      <c r="V16" s="126"/>
      <c r="W16" s="127"/>
      <c r="X16" s="126"/>
      <c r="Y16" s="126">
        <f t="shared" si="20"/>
        <v>-45026.323311452797</v>
      </c>
      <c r="Z16" s="126">
        <f t="shared" si="20"/>
        <v>-45026.323311452797</v>
      </c>
      <c r="AA16" s="126">
        <f t="shared" si="20"/>
        <v>-6046.4178878073317</v>
      </c>
      <c r="AB16" s="127">
        <f t="shared" si="20"/>
        <v>-6046.4178878073317</v>
      </c>
      <c r="AC16" s="126">
        <f t="shared" si="13"/>
        <v>-32990.957468416134</v>
      </c>
      <c r="AD16" s="126">
        <f t="shared" si="13"/>
        <v>-22293.462850874865</v>
      </c>
      <c r="AE16" s="126">
        <f t="shared" si="13"/>
        <v>-40025.555953203024</v>
      </c>
      <c r="AF16" s="127">
        <f t="shared" si="13"/>
        <v>-9564.3965552260634</v>
      </c>
      <c r="AG16" s="122">
        <f t="shared" si="14"/>
        <v>-78017.280779868932</v>
      </c>
      <c r="AH16" s="122">
        <f t="shared" si="14"/>
        <v>-67319.786162327655</v>
      </c>
      <c r="AI16" s="122">
        <f t="shared" si="14"/>
        <v>-46071.973841010353</v>
      </c>
      <c r="AJ16" s="122">
        <f t="shared" si="14"/>
        <v>-15610.814443033396</v>
      </c>
      <c r="AK16" s="122">
        <f t="shared" si="15"/>
        <v>-78017.280779868932</v>
      </c>
      <c r="AL16" s="122">
        <f t="shared" si="15"/>
        <v>-67319.786162327655</v>
      </c>
      <c r="AM16" s="122">
        <f t="shared" si="21"/>
        <v>-46071.973841010353</v>
      </c>
      <c r="AN16" s="122">
        <f t="shared" si="21"/>
        <v>-15610.814443033396</v>
      </c>
      <c r="AO16" s="122">
        <f t="shared" si="6"/>
        <v>8668.5867533187702</v>
      </c>
      <c r="AP16" s="122">
        <f t="shared" si="6"/>
        <v>7479.9762402586348</v>
      </c>
      <c r="AQ16" s="122">
        <f t="shared" si="6"/>
        <v>5119.1082045567018</v>
      </c>
      <c r="AR16" s="122">
        <f t="shared" si="6"/>
        <v>1734.5349381148226</v>
      </c>
      <c r="AS16" s="122"/>
      <c r="AT16" s="122">
        <v>402779</v>
      </c>
      <c r="AU16" s="122">
        <v>299166</v>
      </c>
      <c r="AV16" s="128">
        <f t="shared" si="23"/>
        <v>313131.57625771483</v>
      </c>
      <c r="AW16" s="128">
        <v>125206.88089818675</v>
      </c>
      <c r="AX16" s="122">
        <f t="shared" si="16"/>
        <v>438338.45715590159</v>
      </c>
      <c r="AY16" s="122">
        <f t="shared" si="22"/>
        <v>-78017.280779868932</v>
      </c>
      <c r="AZ16" s="122">
        <f t="shared" si="17"/>
        <v>360321.17637603264</v>
      </c>
    </row>
    <row r="17" spans="1:52" x14ac:dyDescent="0.25">
      <c r="A17" s="117" t="s">
        <v>18</v>
      </c>
      <c r="B17" s="117">
        <v>6713</v>
      </c>
      <c r="C17" s="118">
        <v>112</v>
      </c>
      <c r="D17" s="119">
        <v>306.24208736396218</v>
      </c>
      <c r="E17" s="119">
        <f t="shared" si="18"/>
        <v>1319.4134134947394</v>
      </c>
      <c r="F17" s="119">
        <f t="shared" si="7"/>
        <v>4073.4993432722645</v>
      </c>
      <c r="G17" s="120">
        <f t="shared" si="8"/>
        <v>5392.9127567670039</v>
      </c>
      <c r="H17" s="121">
        <f t="shared" si="1"/>
        <v>306.24208736396218</v>
      </c>
      <c r="I17" s="122">
        <f t="shared" si="9"/>
        <v>372.36366071730663</v>
      </c>
      <c r="J17" s="123">
        <f t="shared" si="19"/>
        <v>778.09436381273122</v>
      </c>
      <c r="K17" s="123">
        <f t="shared" si="10"/>
        <v>778.09436381273122</v>
      </c>
      <c r="L17" s="123">
        <f t="shared" si="10"/>
        <v>104.48740500565569</v>
      </c>
      <c r="M17" s="124">
        <f t="shared" si="10"/>
        <v>104.48740500565569</v>
      </c>
      <c r="N17" s="123">
        <f t="shared" si="11"/>
        <v>3021.0017467603689</v>
      </c>
      <c r="O17" s="123">
        <f t="shared" si="11"/>
        <v>2041.4257536570885</v>
      </c>
      <c r="P17" s="123">
        <f t="shared" si="11"/>
        <v>3665.1641458251474</v>
      </c>
      <c r="Q17" s="124">
        <f t="shared" si="11"/>
        <v>875.81752447495637</v>
      </c>
      <c r="R17" s="125">
        <f t="shared" si="12"/>
        <v>3799.0961105731003</v>
      </c>
      <c r="S17" s="125">
        <f t="shared" si="12"/>
        <v>2819.5201174698195</v>
      </c>
      <c r="T17" s="125">
        <f t="shared" si="12"/>
        <v>3769.651550830803</v>
      </c>
      <c r="U17" s="125">
        <f t="shared" si="12"/>
        <v>980.30492948061203</v>
      </c>
      <c r="V17" s="126"/>
      <c r="W17" s="127"/>
      <c r="X17" s="126"/>
      <c r="Y17" s="126">
        <f t="shared" si="20"/>
        <v>-700.28492743145819</v>
      </c>
      <c r="Z17" s="126">
        <f t="shared" si="20"/>
        <v>-700.28492743145819</v>
      </c>
      <c r="AA17" s="126">
        <f t="shared" si="20"/>
        <v>-94.038664505090111</v>
      </c>
      <c r="AB17" s="127">
        <f t="shared" si="20"/>
        <v>-94.038664505090111</v>
      </c>
      <c r="AC17" s="126">
        <f t="shared" si="13"/>
        <v>-2718.9015720843317</v>
      </c>
      <c r="AD17" s="126">
        <f t="shared" si="13"/>
        <v>-1837.2831782913797</v>
      </c>
      <c r="AE17" s="126">
        <f t="shared" si="13"/>
        <v>-3298.6477312426332</v>
      </c>
      <c r="AF17" s="127">
        <f t="shared" si="13"/>
        <v>-788.23577202746071</v>
      </c>
      <c r="AG17" s="122">
        <f t="shared" si="14"/>
        <v>-3419.1864995157898</v>
      </c>
      <c r="AH17" s="122">
        <f t="shared" si="14"/>
        <v>-2537.568105722838</v>
      </c>
      <c r="AI17" s="122">
        <f t="shared" si="14"/>
        <v>-3392.6863957477235</v>
      </c>
      <c r="AJ17" s="122">
        <f t="shared" si="14"/>
        <v>-882.27443653255079</v>
      </c>
      <c r="AK17" s="122">
        <f t="shared" si="15"/>
        <v>-3419.1864995157898</v>
      </c>
      <c r="AL17" s="122">
        <f t="shared" si="15"/>
        <v>-2537.568105722838</v>
      </c>
      <c r="AM17" s="122">
        <f t="shared" si="21"/>
        <v>-3392.6863957477235</v>
      </c>
      <c r="AN17" s="122">
        <f t="shared" si="21"/>
        <v>-882.27443653255079</v>
      </c>
      <c r="AO17" s="122">
        <f t="shared" si="6"/>
        <v>379.90961105731049</v>
      </c>
      <c r="AP17" s="122">
        <f t="shared" si="6"/>
        <v>281.9520117469815</v>
      </c>
      <c r="AQ17" s="122">
        <f t="shared" si="6"/>
        <v>376.96515508307948</v>
      </c>
      <c r="AR17" s="122">
        <f t="shared" si="6"/>
        <v>98.030492948061237</v>
      </c>
      <c r="AS17" s="122"/>
      <c r="AT17" s="122">
        <v>10775</v>
      </c>
      <c r="AU17" s="122">
        <v>2236</v>
      </c>
      <c r="AV17" s="128">
        <f t="shared" si="23"/>
        <v>2340.3802721975435</v>
      </c>
      <c r="AW17" s="128">
        <v>10318.604383519603</v>
      </c>
      <c r="AX17" s="122">
        <f t="shared" si="16"/>
        <v>12658.984655717148</v>
      </c>
      <c r="AY17" s="122">
        <f t="shared" si="22"/>
        <v>-3419.1864995157898</v>
      </c>
      <c r="AZ17" s="122">
        <f t="shared" si="17"/>
        <v>9239.7981562013574</v>
      </c>
    </row>
    <row r="18" spans="1:52" x14ac:dyDescent="0.25">
      <c r="A18" s="117" t="s">
        <v>20</v>
      </c>
      <c r="B18" s="117">
        <v>6729</v>
      </c>
      <c r="C18" s="118">
        <v>7318</v>
      </c>
      <c r="D18" s="119">
        <v>65821.947779622365</v>
      </c>
      <c r="E18" s="119">
        <f t="shared" si="18"/>
        <v>86209.529999593782</v>
      </c>
      <c r="F18" s="119">
        <f t="shared" si="7"/>
        <v>266159.53744702169</v>
      </c>
      <c r="G18" s="120">
        <f t="shared" si="8"/>
        <v>352369.06744661549</v>
      </c>
      <c r="H18" s="121">
        <f t="shared" si="1"/>
        <v>65821.947779622365</v>
      </c>
      <c r="I18" s="122">
        <f t="shared" si="9"/>
        <v>80033.74598748186</v>
      </c>
      <c r="J18" s="123">
        <f t="shared" si="19"/>
        <v>167239.21595280708</v>
      </c>
      <c r="K18" s="123">
        <f t="shared" si="10"/>
        <v>167239.21595280708</v>
      </c>
      <c r="L18" s="123">
        <f t="shared" si="10"/>
        <v>22457.933770993019</v>
      </c>
      <c r="M18" s="124">
        <f t="shared" si="10"/>
        <v>22457.933770993019</v>
      </c>
      <c r="N18" s="123">
        <f t="shared" si="11"/>
        <v>197390.09627493194</v>
      </c>
      <c r="O18" s="123">
        <f t="shared" si="11"/>
        <v>133385.30058270154</v>
      </c>
      <c r="P18" s="123">
        <f t="shared" si="11"/>
        <v>239479.20731382526</v>
      </c>
      <c r="Q18" s="124">
        <f t="shared" si="11"/>
        <v>57225.291465247596</v>
      </c>
      <c r="R18" s="125">
        <f t="shared" si="12"/>
        <v>364629.31222773902</v>
      </c>
      <c r="S18" s="125">
        <f t="shared" si="12"/>
        <v>300624.51653550862</v>
      </c>
      <c r="T18" s="125">
        <f t="shared" si="12"/>
        <v>261937.14108481829</v>
      </c>
      <c r="U18" s="125">
        <f t="shared" si="12"/>
        <v>79683.225236240614</v>
      </c>
      <c r="V18" s="126"/>
      <c r="W18" s="127"/>
      <c r="X18" s="126"/>
      <c r="Y18" s="126">
        <f t="shared" si="20"/>
        <v>-150515.29435752638</v>
      </c>
      <c r="Z18" s="126">
        <f t="shared" si="20"/>
        <v>-150515.29435752638</v>
      </c>
      <c r="AA18" s="126">
        <f t="shared" si="20"/>
        <v>-20212.140393893718</v>
      </c>
      <c r="AB18" s="127">
        <f t="shared" si="20"/>
        <v>-20212.140393893718</v>
      </c>
      <c r="AC18" s="126">
        <f t="shared" si="13"/>
        <v>-177651.08664743876</v>
      </c>
      <c r="AD18" s="126">
        <f t="shared" si="13"/>
        <v>-120046.7705244314</v>
      </c>
      <c r="AE18" s="126">
        <f t="shared" si="13"/>
        <v>-215531.28658244276</v>
      </c>
      <c r="AF18" s="127">
        <f t="shared" si="13"/>
        <v>-51502.762318722831</v>
      </c>
      <c r="AG18" s="122">
        <f t="shared" si="14"/>
        <v>-328166.38100496517</v>
      </c>
      <c r="AH18" s="122">
        <f t="shared" si="14"/>
        <v>-270562.06488195778</v>
      </c>
      <c r="AI18" s="122">
        <f t="shared" si="14"/>
        <v>-235743.42697633649</v>
      </c>
      <c r="AJ18" s="122">
        <f t="shared" si="14"/>
        <v>-71714.902712616546</v>
      </c>
      <c r="AK18" s="122">
        <f t="shared" si="15"/>
        <v>-328166.38100496517</v>
      </c>
      <c r="AL18" s="122">
        <f t="shared" si="15"/>
        <v>-270562.06488195778</v>
      </c>
      <c r="AM18" s="122">
        <f t="shared" si="21"/>
        <v>-235743.42697633649</v>
      </c>
      <c r="AN18" s="122">
        <f t="shared" si="21"/>
        <v>-71714.902712616546</v>
      </c>
      <c r="AO18" s="122">
        <f t="shared" si="6"/>
        <v>36462.931222773856</v>
      </c>
      <c r="AP18" s="122">
        <f t="shared" si="6"/>
        <v>30062.451653550845</v>
      </c>
      <c r="AQ18" s="122">
        <f t="shared" si="6"/>
        <v>26193.714108481799</v>
      </c>
      <c r="AR18" s="122">
        <f t="shared" si="6"/>
        <v>7968.3225236240687</v>
      </c>
      <c r="AS18" s="122"/>
      <c r="AT18" s="122">
        <v>1924205</v>
      </c>
      <c r="AU18" s="122">
        <v>1366266</v>
      </c>
      <c r="AV18" s="128">
        <f t="shared" si="23"/>
        <v>1430045.6140314173</v>
      </c>
      <c r="AW18" s="128">
        <v>674218.50464182498</v>
      </c>
      <c r="AX18" s="122">
        <f t="shared" si="16"/>
        <v>2104264.1186732422</v>
      </c>
      <c r="AY18" s="122">
        <f t="shared" si="22"/>
        <v>-328166.38100496517</v>
      </c>
      <c r="AZ18" s="122">
        <f t="shared" si="17"/>
        <v>1776097.737668277</v>
      </c>
    </row>
    <row r="19" spans="1:52" x14ac:dyDescent="0.25">
      <c r="A19" s="117" t="s">
        <v>22</v>
      </c>
      <c r="B19" s="117">
        <v>6715</v>
      </c>
      <c r="C19" s="118">
        <v>522</v>
      </c>
      <c r="D19" s="119">
        <v>67.47506083815847</v>
      </c>
      <c r="E19" s="119">
        <f t="shared" si="18"/>
        <v>6149.4089450379824</v>
      </c>
      <c r="F19" s="119">
        <f t="shared" si="7"/>
        <v>18985.416582036803</v>
      </c>
      <c r="G19" s="120">
        <f t="shared" si="8"/>
        <v>25134.825527074787</v>
      </c>
      <c r="H19" s="121">
        <f t="shared" si="1"/>
        <v>67.47506083815847</v>
      </c>
      <c r="I19" s="122">
        <f t="shared" si="9"/>
        <v>82.04378724390952</v>
      </c>
      <c r="J19" s="123">
        <f t="shared" si="19"/>
        <v>171.43941575115633</v>
      </c>
      <c r="K19" s="123">
        <f t="shared" si="10"/>
        <v>171.43941575115633</v>
      </c>
      <c r="L19" s="123">
        <f t="shared" si="10"/>
        <v>23.02196301711723</v>
      </c>
      <c r="M19" s="124">
        <f t="shared" si="10"/>
        <v>23.02196301711723</v>
      </c>
      <c r="N19" s="123">
        <f t="shared" si="11"/>
        <v>14080.025998293861</v>
      </c>
      <c r="O19" s="123">
        <f t="shared" si="11"/>
        <v>9514.5021732946443</v>
      </c>
      <c r="P19" s="123">
        <f t="shared" si="11"/>
        <v>17082.282893935062</v>
      </c>
      <c r="Q19" s="124">
        <f t="shared" si="11"/>
        <v>4081.9352479993499</v>
      </c>
      <c r="R19" s="125">
        <f t="shared" si="12"/>
        <v>14251.465414045017</v>
      </c>
      <c r="S19" s="125">
        <f t="shared" si="12"/>
        <v>9685.9415890458004</v>
      </c>
      <c r="T19" s="125">
        <f t="shared" si="12"/>
        <v>17105.304856952178</v>
      </c>
      <c r="U19" s="125">
        <f t="shared" si="12"/>
        <v>4104.9572110164672</v>
      </c>
      <c r="V19" s="126"/>
      <c r="W19" s="127"/>
      <c r="X19" s="126"/>
      <c r="Y19" s="126">
        <f t="shared" si="20"/>
        <v>-154.2954741760407</v>
      </c>
      <c r="Z19" s="126">
        <f t="shared" si="20"/>
        <v>-154.2954741760407</v>
      </c>
      <c r="AA19" s="126">
        <f t="shared" si="20"/>
        <v>-20.719766715405505</v>
      </c>
      <c r="AB19" s="127">
        <f t="shared" si="20"/>
        <v>-20.719766715405505</v>
      </c>
      <c r="AC19" s="126">
        <f t="shared" si="13"/>
        <v>-12672.023398464475</v>
      </c>
      <c r="AD19" s="126">
        <f t="shared" si="13"/>
        <v>-8563.0519559651802</v>
      </c>
      <c r="AE19" s="126">
        <f t="shared" si="13"/>
        <v>-15374.054604541559</v>
      </c>
      <c r="AF19" s="127">
        <f t="shared" si="13"/>
        <v>-3673.741723199415</v>
      </c>
      <c r="AG19" s="122">
        <f t="shared" si="14"/>
        <v>-12826.318872640515</v>
      </c>
      <c r="AH19" s="122">
        <f t="shared" si="14"/>
        <v>-8717.3474301412207</v>
      </c>
      <c r="AI19" s="122">
        <f t="shared" si="14"/>
        <v>-15394.774371256965</v>
      </c>
      <c r="AJ19" s="122">
        <f t="shared" si="14"/>
        <v>-3694.4614899148205</v>
      </c>
      <c r="AK19" s="122">
        <f t="shared" si="15"/>
        <v>-12826.318872640515</v>
      </c>
      <c r="AL19" s="122">
        <f t="shared" si="15"/>
        <v>-8717.3474301412207</v>
      </c>
      <c r="AM19" s="122">
        <f t="shared" si="21"/>
        <v>-15394.774371256965</v>
      </c>
      <c r="AN19" s="122">
        <f t="shared" si="21"/>
        <v>-3694.4614899148205</v>
      </c>
      <c r="AO19" s="122">
        <f t="shared" si="6"/>
        <v>1425.1465414045015</v>
      </c>
      <c r="AP19" s="122">
        <f t="shared" si="6"/>
        <v>968.59415890457967</v>
      </c>
      <c r="AQ19" s="122">
        <f t="shared" si="6"/>
        <v>1710.5304856952134</v>
      </c>
      <c r="AR19" s="122">
        <f t="shared" si="6"/>
        <v>410.49572110164672</v>
      </c>
      <c r="AS19" s="122"/>
      <c r="AT19" s="122">
        <v>39798</v>
      </c>
      <c r="AU19" s="122">
        <v>0</v>
      </c>
      <c r="AV19" s="128">
        <f t="shared" si="23"/>
        <v>0</v>
      </c>
      <c r="AW19" s="128">
        <v>48092.261067491883</v>
      </c>
      <c r="AX19" s="122">
        <f t="shared" si="16"/>
        <v>48092.261067491883</v>
      </c>
      <c r="AY19" s="122">
        <f t="shared" si="22"/>
        <v>-12826.318872640515</v>
      </c>
      <c r="AZ19" s="122">
        <f t="shared" si="17"/>
        <v>35265.94219485137</v>
      </c>
    </row>
    <row r="20" spans="1:52" x14ac:dyDescent="0.25">
      <c r="A20" s="117" t="s">
        <v>24</v>
      </c>
      <c r="B20" s="117">
        <v>6716</v>
      </c>
      <c r="C20" s="118">
        <v>106</v>
      </c>
      <c r="D20" s="119">
        <v>32.48925829575434</v>
      </c>
      <c r="E20" s="119">
        <f t="shared" si="18"/>
        <v>1248.7305520575212</v>
      </c>
      <c r="F20" s="119">
        <f t="shared" si="7"/>
        <v>3855.2761641683933</v>
      </c>
      <c r="G20" s="120">
        <f t="shared" si="8"/>
        <v>5104.0067162259147</v>
      </c>
      <c r="H20" s="121">
        <f t="shared" si="1"/>
        <v>32.48925829575434</v>
      </c>
      <c r="I20" s="122">
        <f t="shared" si="9"/>
        <v>39.504103623154869</v>
      </c>
      <c r="J20" s="123">
        <f t="shared" si="19"/>
        <v>82.548120612625269</v>
      </c>
      <c r="K20" s="123">
        <f t="shared" si="10"/>
        <v>82.548120612625269</v>
      </c>
      <c r="L20" s="123">
        <f t="shared" si="10"/>
        <v>11.085080823157048</v>
      </c>
      <c r="M20" s="124">
        <f t="shared" si="10"/>
        <v>11.085080823157048</v>
      </c>
      <c r="N20" s="123">
        <f t="shared" si="11"/>
        <v>2859.1623674696348</v>
      </c>
      <c r="O20" s="123">
        <f t="shared" si="11"/>
        <v>1932.0636597111729</v>
      </c>
      <c r="P20" s="123">
        <f t="shared" si="11"/>
        <v>3468.8160665845144</v>
      </c>
      <c r="Q20" s="124">
        <f t="shared" si="11"/>
        <v>828.89872852094084</v>
      </c>
      <c r="R20" s="125">
        <f t="shared" si="12"/>
        <v>2941.7104880822599</v>
      </c>
      <c r="S20" s="125">
        <f t="shared" si="12"/>
        <v>2014.6117803237983</v>
      </c>
      <c r="T20" s="125">
        <f t="shared" si="12"/>
        <v>3479.9011474076715</v>
      </c>
      <c r="U20" s="125">
        <f t="shared" si="12"/>
        <v>839.98380934409784</v>
      </c>
      <c r="V20" s="126"/>
      <c r="W20" s="127"/>
      <c r="X20" s="126"/>
      <c r="Y20" s="126">
        <f t="shared" si="20"/>
        <v>-74.293308551362742</v>
      </c>
      <c r="Z20" s="126">
        <f t="shared" si="20"/>
        <v>-74.293308551362742</v>
      </c>
      <c r="AA20" s="126">
        <f t="shared" si="20"/>
        <v>-9.9765727408413429</v>
      </c>
      <c r="AB20" s="127">
        <f t="shared" si="20"/>
        <v>-9.9765727408413429</v>
      </c>
      <c r="AC20" s="126">
        <f t="shared" si="13"/>
        <v>-2573.2461307226713</v>
      </c>
      <c r="AD20" s="126">
        <f t="shared" si="13"/>
        <v>-1738.8572937400559</v>
      </c>
      <c r="AE20" s="126">
        <f t="shared" si="13"/>
        <v>-3121.9344599260635</v>
      </c>
      <c r="AF20" s="127">
        <f t="shared" si="13"/>
        <v>-746.00885566884665</v>
      </c>
      <c r="AG20" s="122">
        <f t="shared" si="14"/>
        <v>-2647.5394392740341</v>
      </c>
      <c r="AH20" s="122">
        <f t="shared" si="14"/>
        <v>-1813.1506022914186</v>
      </c>
      <c r="AI20" s="122">
        <f t="shared" si="14"/>
        <v>-3131.9110326669047</v>
      </c>
      <c r="AJ20" s="122">
        <f t="shared" si="14"/>
        <v>-755.98542840968798</v>
      </c>
      <c r="AK20" s="122">
        <f t="shared" si="15"/>
        <v>-2647.5394392740341</v>
      </c>
      <c r="AL20" s="122">
        <f t="shared" si="15"/>
        <v>-1813.1506022914186</v>
      </c>
      <c r="AM20" s="122">
        <f t="shared" si="21"/>
        <v>-3131.9110326669047</v>
      </c>
      <c r="AN20" s="122">
        <f t="shared" si="21"/>
        <v>-755.98542840968798</v>
      </c>
      <c r="AO20" s="122">
        <f t="shared" si="6"/>
        <v>294.17104880822581</v>
      </c>
      <c r="AP20" s="122">
        <f t="shared" si="6"/>
        <v>201.46117803237962</v>
      </c>
      <c r="AQ20" s="122">
        <f t="shared" si="6"/>
        <v>347.99011474076678</v>
      </c>
      <c r="AR20" s="122">
        <f t="shared" si="6"/>
        <v>83.998380934409852</v>
      </c>
      <c r="AS20" s="122"/>
      <c r="AT20" s="122">
        <v>8556</v>
      </c>
      <c r="AU20" s="122">
        <v>474</v>
      </c>
      <c r="AV20" s="128">
        <f t="shared" si="23"/>
        <v>496.12712389160811</v>
      </c>
      <c r="AW20" s="128">
        <v>9766.3614741310957</v>
      </c>
      <c r="AX20" s="122">
        <f t="shared" si="16"/>
        <v>10262.488598022705</v>
      </c>
      <c r="AY20" s="122">
        <f t="shared" si="22"/>
        <v>-2647.5394392740341</v>
      </c>
      <c r="AZ20" s="122">
        <f t="shared" si="17"/>
        <v>7614.94915874867</v>
      </c>
    </row>
    <row r="21" spans="1:52" x14ac:dyDescent="0.25">
      <c r="A21" s="117" t="s">
        <v>25</v>
      </c>
      <c r="B21" s="117">
        <v>6718</v>
      </c>
      <c r="C21" s="118">
        <v>425</v>
      </c>
      <c r="D21" s="119">
        <v>340.76498688909658</v>
      </c>
      <c r="E21" s="119">
        <f t="shared" si="18"/>
        <v>5006.702685136288</v>
      </c>
      <c r="F21" s="119">
        <f t="shared" si="7"/>
        <v>15457.475186524218</v>
      </c>
      <c r="G21" s="120">
        <f t="shared" si="8"/>
        <v>20464.177871660504</v>
      </c>
      <c r="H21" s="121">
        <f t="shared" si="1"/>
        <v>340.76498688909658</v>
      </c>
      <c r="I21" s="122">
        <f t="shared" si="9"/>
        <v>414.34049465416797</v>
      </c>
      <c r="J21" s="123">
        <f t="shared" si="19"/>
        <v>865.80952332656818</v>
      </c>
      <c r="K21" s="123">
        <f t="shared" si="10"/>
        <v>865.80952332656807</v>
      </c>
      <c r="L21" s="123">
        <f t="shared" si="10"/>
        <v>116.26634831061423</v>
      </c>
      <c r="M21" s="124">
        <f t="shared" si="10"/>
        <v>116.26634831061423</v>
      </c>
      <c r="N21" s="123">
        <f t="shared" si="11"/>
        <v>11463.622699760328</v>
      </c>
      <c r="O21" s="123">
        <f t="shared" si="11"/>
        <v>7746.481654502345</v>
      </c>
      <c r="P21" s="123">
        <f t="shared" si="11"/>
        <v>13907.988946211497</v>
      </c>
      <c r="Q21" s="124">
        <f t="shared" si="11"/>
        <v>3323.4147134094324</v>
      </c>
      <c r="R21" s="125">
        <f t="shared" si="12"/>
        <v>12329.432223086897</v>
      </c>
      <c r="S21" s="125">
        <f t="shared" si="12"/>
        <v>8612.2911778289126</v>
      </c>
      <c r="T21" s="125">
        <f t="shared" si="12"/>
        <v>14024.25529452211</v>
      </c>
      <c r="U21" s="125">
        <f t="shared" si="12"/>
        <v>3439.6810617200467</v>
      </c>
      <c r="V21" s="126"/>
      <c r="W21" s="127"/>
      <c r="X21" s="126"/>
      <c r="Y21" s="126">
        <f t="shared" si="20"/>
        <v>-779.22857099391126</v>
      </c>
      <c r="Z21" s="126">
        <f t="shared" si="20"/>
        <v>-779.22857099391126</v>
      </c>
      <c r="AA21" s="126">
        <f t="shared" si="20"/>
        <v>-104.63971347955281</v>
      </c>
      <c r="AB21" s="127">
        <f t="shared" si="20"/>
        <v>-104.63971347955281</v>
      </c>
      <c r="AC21" s="126">
        <f t="shared" si="13"/>
        <v>-10317.260429784295</v>
      </c>
      <c r="AD21" s="126">
        <f t="shared" si="13"/>
        <v>-6971.8334890521101</v>
      </c>
      <c r="AE21" s="126">
        <f t="shared" si="13"/>
        <v>-12517.190051590349</v>
      </c>
      <c r="AF21" s="127">
        <f t="shared" si="13"/>
        <v>-2991.073242068489</v>
      </c>
      <c r="AG21" s="122">
        <f t="shared" si="14"/>
        <v>-11096.489000778207</v>
      </c>
      <c r="AH21" s="122">
        <f t="shared" si="14"/>
        <v>-7751.0620600460215</v>
      </c>
      <c r="AI21" s="122">
        <f t="shared" si="14"/>
        <v>-12621.829765069902</v>
      </c>
      <c r="AJ21" s="122">
        <f t="shared" si="14"/>
        <v>-3095.7129555480419</v>
      </c>
      <c r="AK21" s="122">
        <f t="shared" si="15"/>
        <v>-11096.489000778207</v>
      </c>
      <c r="AL21" s="122">
        <f t="shared" si="15"/>
        <v>-7751.0620600460215</v>
      </c>
      <c r="AM21" s="122">
        <f t="shared" si="21"/>
        <v>-12621.829765069902</v>
      </c>
      <c r="AN21" s="122">
        <f t="shared" si="21"/>
        <v>-3095.7129555480419</v>
      </c>
      <c r="AO21" s="122">
        <f t="shared" si="6"/>
        <v>1232.9432223086897</v>
      </c>
      <c r="AP21" s="122">
        <f t="shared" si="6"/>
        <v>861.22911778289108</v>
      </c>
      <c r="AQ21" s="122">
        <f t="shared" si="6"/>
        <v>1402.4255294522081</v>
      </c>
      <c r="AR21" s="122">
        <f t="shared" si="6"/>
        <v>343.96810617200481</v>
      </c>
      <c r="AS21" s="122"/>
      <c r="AT21" s="122">
        <v>34259</v>
      </c>
      <c r="AU21" s="122">
        <v>1856</v>
      </c>
      <c r="AV21" s="128">
        <f t="shared" si="23"/>
        <v>1942.6412277274781</v>
      </c>
      <c r="AW21" s="128">
        <v>39156.076570931691</v>
      </c>
      <c r="AX21" s="122">
        <f t="shared" si="16"/>
        <v>41098.717798659171</v>
      </c>
      <c r="AY21" s="122">
        <f t="shared" si="22"/>
        <v>-11096.489000778207</v>
      </c>
      <c r="AZ21" s="122">
        <f t="shared" si="17"/>
        <v>30002.228797880962</v>
      </c>
    </row>
    <row r="22" spans="1:52" x14ac:dyDescent="0.25">
      <c r="A22" s="117" t="s">
        <v>27</v>
      </c>
      <c r="B22" s="117">
        <v>6719</v>
      </c>
      <c r="C22" s="118">
        <v>350</v>
      </c>
      <c r="D22" s="119">
        <v>243.04580632530261</v>
      </c>
      <c r="E22" s="119">
        <f t="shared" si="18"/>
        <v>4123.166917171061</v>
      </c>
      <c r="F22" s="119">
        <f t="shared" si="7"/>
        <v>12729.685447725828</v>
      </c>
      <c r="G22" s="120">
        <f t="shared" si="8"/>
        <v>16852.852364896888</v>
      </c>
      <c r="H22" s="121">
        <f t="shared" si="1"/>
        <v>243.04580632530261</v>
      </c>
      <c r="I22" s="122">
        <f t="shared" si="9"/>
        <v>295.52249641545899</v>
      </c>
      <c r="J22" s="123">
        <f t="shared" si="19"/>
        <v>617.52639448699404</v>
      </c>
      <c r="K22" s="123">
        <f t="shared" si="10"/>
        <v>617.52639448699415</v>
      </c>
      <c r="L22" s="123">
        <f t="shared" si="10"/>
        <v>82.925328190623134</v>
      </c>
      <c r="M22" s="124">
        <f t="shared" si="10"/>
        <v>82.925328190623134</v>
      </c>
      <c r="N22" s="123">
        <f t="shared" si="11"/>
        <v>9440.6304586261522</v>
      </c>
      <c r="O22" s="123">
        <f t="shared" si="11"/>
        <v>6379.4554801784016</v>
      </c>
      <c r="P22" s="123">
        <f t="shared" si="11"/>
        <v>11453.637955703585</v>
      </c>
      <c r="Q22" s="124">
        <f t="shared" si="11"/>
        <v>2736.9297639842384</v>
      </c>
      <c r="R22" s="125">
        <f t="shared" si="12"/>
        <v>10058.156853113147</v>
      </c>
      <c r="S22" s="125">
        <f t="shared" si="12"/>
        <v>6996.9818746653955</v>
      </c>
      <c r="T22" s="125">
        <f t="shared" si="12"/>
        <v>11536.563283894209</v>
      </c>
      <c r="U22" s="125">
        <f t="shared" si="12"/>
        <v>2819.8550921748615</v>
      </c>
      <c r="V22" s="126"/>
      <c r="W22" s="127"/>
      <c r="X22" s="126"/>
      <c r="Y22" s="126">
        <f t="shared" si="20"/>
        <v>-555.77375503829478</v>
      </c>
      <c r="Z22" s="126">
        <f t="shared" si="20"/>
        <v>-555.77375503829478</v>
      </c>
      <c r="AA22" s="126">
        <f t="shared" si="20"/>
        <v>-74.632795371560817</v>
      </c>
      <c r="AB22" s="127">
        <f t="shared" si="20"/>
        <v>-74.632795371560817</v>
      </c>
      <c r="AC22" s="126">
        <f t="shared" si="13"/>
        <v>-8496.5674127635375</v>
      </c>
      <c r="AD22" s="126">
        <f t="shared" si="13"/>
        <v>-5741.5099321605612</v>
      </c>
      <c r="AE22" s="126">
        <f t="shared" si="13"/>
        <v>-10308.274160133229</v>
      </c>
      <c r="AF22" s="127">
        <f t="shared" si="13"/>
        <v>-2463.2367875858145</v>
      </c>
      <c r="AG22" s="122">
        <f t="shared" si="14"/>
        <v>-9052.3411678018329</v>
      </c>
      <c r="AH22" s="122">
        <f t="shared" si="14"/>
        <v>-6297.2836871988557</v>
      </c>
      <c r="AI22" s="122">
        <f t="shared" si="14"/>
        <v>-10382.90695550479</v>
      </c>
      <c r="AJ22" s="122">
        <f t="shared" si="14"/>
        <v>-2537.8695829573753</v>
      </c>
      <c r="AK22" s="122">
        <f t="shared" si="15"/>
        <v>-9052.3411678018329</v>
      </c>
      <c r="AL22" s="122">
        <f t="shared" si="15"/>
        <v>-6297.2836871988557</v>
      </c>
      <c r="AM22" s="122">
        <f t="shared" si="21"/>
        <v>-10382.90695550479</v>
      </c>
      <c r="AN22" s="122">
        <f t="shared" si="21"/>
        <v>-2537.8695829573753</v>
      </c>
      <c r="AO22" s="122">
        <f t="shared" si="6"/>
        <v>1005.8156853113142</v>
      </c>
      <c r="AP22" s="122">
        <f t="shared" si="6"/>
        <v>699.69818746653982</v>
      </c>
      <c r="AQ22" s="122">
        <f t="shared" si="6"/>
        <v>1153.6563283894193</v>
      </c>
      <c r="AR22" s="122">
        <f t="shared" si="6"/>
        <v>281.9855092174862</v>
      </c>
      <c r="AS22" s="122"/>
      <c r="AT22" s="122">
        <v>38995</v>
      </c>
      <c r="AU22" s="122">
        <v>12310</v>
      </c>
      <c r="AV22" s="128">
        <f t="shared" si="23"/>
        <v>12884.651677438176</v>
      </c>
      <c r="AW22" s="128">
        <v>32246.393954118819</v>
      </c>
      <c r="AX22" s="122">
        <f t="shared" si="16"/>
        <v>45131.045631556997</v>
      </c>
      <c r="AY22" s="122">
        <f t="shared" si="22"/>
        <v>-9052.3411678018329</v>
      </c>
      <c r="AZ22" s="122">
        <f t="shared" si="17"/>
        <v>36078.704463755166</v>
      </c>
    </row>
    <row r="23" spans="1:52" x14ac:dyDescent="0.25">
      <c r="A23" s="117" t="s">
        <v>29</v>
      </c>
      <c r="B23" s="117">
        <v>6721</v>
      </c>
      <c r="C23" s="118">
        <v>733</v>
      </c>
      <c r="D23" s="119">
        <v>682.63764058343145</v>
      </c>
      <c r="E23" s="119">
        <f t="shared" si="18"/>
        <v>8635.0895722468213</v>
      </c>
      <c r="F23" s="119">
        <f t="shared" si="7"/>
        <v>26659.598380522944</v>
      </c>
      <c r="G23" s="120">
        <f t="shared" si="8"/>
        <v>35294.687952769767</v>
      </c>
      <c r="H23" s="121">
        <f t="shared" si="1"/>
        <v>682.63764058343145</v>
      </c>
      <c r="I23" s="122">
        <f t="shared" si="9"/>
        <v>830.0278155071901</v>
      </c>
      <c r="J23" s="123">
        <f t="shared" si="19"/>
        <v>1734.4333864636994</v>
      </c>
      <c r="K23" s="123">
        <f t="shared" si="10"/>
        <v>1734.4333864636994</v>
      </c>
      <c r="L23" s="123">
        <f t="shared" si="10"/>
        <v>232.91062387181145</v>
      </c>
      <c r="M23" s="124">
        <f t="shared" si="10"/>
        <v>232.91062387181145</v>
      </c>
      <c r="N23" s="123">
        <f t="shared" si="11"/>
        <v>19771.377503351341</v>
      </c>
      <c r="O23" s="123">
        <f t="shared" si="11"/>
        <v>13360.402477059339</v>
      </c>
      <c r="P23" s="123">
        <f t="shared" si="11"/>
        <v>23987.190347230651</v>
      </c>
      <c r="Q23" s="124">
        <f t="shared" si="11"/>
        <v>5731.9129057155624</v>
      </c>
      <c r="R23" s="125">
        <f t="shared" si="12"/>
        <v>21505.810889815042</v>
      </c>
      <c r="S23" s="125">
        <f t="shared" si="12"/>
        <v>15094.835863523038</v>
      </c>
      <c r="T23" s="125">
        <f t="shared" si="12"/>
        <v>24220.100971102464</v>
      </c>
      <c r="U23" s="125">
        <f t="shared" si="12"/>
        <v>5964.8235295873737</v>
      </c>
      <c r="V23" s="126"/>
      <c r="W23" s="127"/>
      <c r="X23" s="126"/>
      <c r="Y23" s="126">
        <f t="shared" si="20"/>
        <v>-1560.9900478173295</v>
      </c>
      <c r="Z23" s="126">
        <f t="shared" si="20"/>
        <v>-1560.9900478173295</v>
      </c>
      <c r="AA23" s="126">
        <f t="shared" si="20"/>
        <v>-209.61956148463031</v>
      </c>
      <c r="AB23" s="127">
        <f t="shared" si="20"/>
        <v>-209.61956148463031</v>
      </c>
      <c r="AC23" s="126">
        <f t="shared" si="13"/>
        <v>-17794.239753016209</v>
      </c>
      <c r="AD23" s="126">
        <f t="shared" si="13"/>
        <v>-12024.362229353404</v>
      </c>
      <c r="AE23" s="126">
        <f t="shared" si="13"/>
        <v>-21588.47131250759</v>
      </c>
      <c r="AF23" s="127">
        <f t="shared" si="13"/>
        <v>-5158.7216151440061</v>
      </c>
      <c r="AG23" s="122">
        <f t="shared" si="14"/>
        <v>-19355.229800833538</v>
      </c>
      <c r="AH23" s="122">
        <f t="shared" si="14"/>
        <v>-13585.352277170734</v>
      </c>
      <c r="AI23" s="122">
        <f t="shared" si="14"/>
        <v>-21798.09087399222</v>
      </c>
      <c r="AJ23" s="122">
        <f t="shared" si="14"/>
        <v>-5368.3411766286363</v>
      </c>
      <c r="AK23" s="122">
        <f t="shared" si="15"/>
        <v>-19355.229800833538</v>
      </c>
      <c r="AL23" s="122">
        <f t="shared" si="15"/>
        <v>-13585.352277170734</v>
      </c>
      <c r="AM23" s="122">
        <f t="shared" si="21"/>
        <v>-21798.09087399222</v>
      </c>
      <c r="AN23" s="122">
        <f t="shared" si="21"/>
        <v>-5368.3411766286363</v>
      </c>
      <c r="AO23" s="122">
        <f t="shared" si="6"/>
        <v>2150.5810889815039</v>
      </c>
      <c r="AP23" s="122">
        <f t="shared" si="6"/>
        <v>1509.483586352304</v>
      </c>
      <c r="AQ23" s="122">
        <f t="shared" si="6"/>
        <v>2422.0100971102438</v>
      </c>
      <c r="AR23" s="122">
        <f t="shared" si="6"/>
        <v>596.48235295873747</v>
      </c>
      <c r="AS23" s="122"/>
      <c r="AT23" s="122">
        <v>70658</v>
      </c>
      <c r="AU23" s="122">
        <v>14773</v>
      </c>
      <c r="AV23" s="128">
        <f t="shared" si="23"/>
        <v>15462.628694621786</v>
      </c>
      <c r="AW23" s="128">
        <v>67531.936523362572</v>
      </c>
      <c r="AX23" s="122">
        <f t="shared" si="16"/>
        <v>82994.56521798436</v>
      </c>
      <c r="AY23" s="122">
        <f t="shared" si="22"/>
        <v>-19355.229800833538</v>
      </c>
      <c r="AZ23" s="122">
        <f t="shared" si="17"/>
        <v>63639.335417150825</v>
      </c>
    </row>
    <row r="24" spans="1:52" x14ac:dyDescent="0.25">
      <c r="A24" s="117" t="s">
        <v>30</v>
      </c>
      <c r="B24" s="117">
        <v>6722</v>
      </c>
      <c r="C24" s="118">
        <v>270</v>
      </c>
      <c r="D24" s="119">
        <v>301.46319044504133</v>
      </c>
      <c r="E24" s="119">
        <f t="shared" si="18"/>
        <v>3180.7287646748182</v>
      </c>
      <c r="F24" s="119">
        <f t="shared" si="7"/>
        <v>9820.0430596742099</v>
      </c>
      <c r="G24" s="120">
        <f t="shared" si="8"/>
        <v>13000.771824349027</v>
      </c>
      <c r="H24" s="121">
        <f t="shared" si="1"/>
        <v>301.46319044504133</v>
      </c>
      <c r="I24" s="122">
        <f t="shared" si="9"/>
        <v>366.55293898980898</v>
      </c>
      <c r="J24" s="123">
        <f t="shared" si="19"/>
        <v>765.95222884408133</v>
      </c>
      <c r="K24" s="123">
        <f t="shared" si="10"/>
        <v>765.95222884408122</v>
      </c>
      <c r="L24" s="123">
        <f t="shared" si="10"/>
        <v>102.85688275397669</v>
      </c>
      <c r="M24" s="124">
        <f t="shared" si="10"/>
        <v>102.85688275397669</v>
      </c>
      <c r="N24" s="123">
        <f t="shared" si="11"/>
        <v>7282.7720680830316</v>
      </c>
      <c r="O24" s="123">
        <f t="shared" si="11"/>
        <v>4921.2942275661953</v>
      </c>
      <c r="P24" s="123">
        <f t="shared" si="11"/>
        <v>8835.6635658284813</v>
      </c>
      <c r="Q24" s="124">
        <f t="shared" si="11"/>
        <v>2111.3458179306981</v>
      </c>
      <c r="R24" s="125">
        <f t="shared" si="12"/>
        <v>8048.7242969271128</v>
      </c>
      <c r="S24" s="125">
        <f t="shared" si="12"/>
        <v>5687.2464564102766</v>
      </c>
      <c r="T24" s="125">
        <f t="shared" si="12"/>
        <v>8938.5204485824579</v>
      </c>
      <c r="U24" s="125">
        <f t="shared" si="12"/>
        <v>2214.2027006846747</v>
      </c>
      <c r="V24" s="126"/>
      <c r="W24" s="127"/>
      <c r="X24" s="126"/>
      <c r="Y24" s="126">
        <f t="shared" si="20"/>
        <v>-689.35700595967319</v>
      </c>
      <c r="Z24" s="126">
        <f t="shared" si="20"/>
        <v>-689.35700595967319</v>
      </c>
      <c r="AA24" s="126">
        <f t="shared" si="20"/>
        <v>-92.571194478579017</v>
      </c>
      <c r="AB24" s="127">
        <f t="shared" si="20"/>
        <v>-92.571194478579017</v>
      </c>
      <c r="AC24" s="126">
        <f t="shared" si="13"/>
        <v>-6554.4948612747285</v>
      </c>
      <c r="AD24" s="126">
        <f t="shared" si="13"/>
        <v>-4429.1648048095758</v>
      </c>
      <c r="AE24" s="126">
        <f t="shared" si="13"/>
        <v>-7952.0972092456341</v>
      </c>
      <c r="AF24" s="127">
        <f t="shared" si="13"/>
        <v>-1900.2112361376285</v>
      </c>
      <c r="AG24" s="122">
        <f t="shared" si="14"/>
        <v>-7243.8518672344017</v>
      </c>
      <c r="AH24" s="122">
        <f t="shared" si="14"/>
        <v>-5118.521810769249</v>
      </c>
      <c r="AI24" s="122">
        <f t="shared" si="14"/>
        <v>-8044.668403724213</v>
      </c>
      <c r="AJ24" s="122">
        <f t="shared" si="14"/>
        <v>-1992.7824306162074</v>
      </c>
      <c r="AK24" s="122">
        <f t="shared" si="15"/>
        <v>-7243.8518672344017</v>
      </c>
      <c r="AL24" s="122">
        <f t="shared" si="15"/>
        <v>-5118.521810769249</v>
      </c>
      <c r="AM24" s="122">
        <f t="shared" si="21"/>
        <v>-8044.668403724213</v>
      </c>
      <c r="AN24" s="122">
        <f t="shared" si="21"/>
        <v>-1992.7824306162074</v>
      </c>
      <c r="AO24" s="122">
        <f t="shared" si="6"/>
        <v>804.87242969271119</v>
      </c>
      <c r="AP24" s="122">
        <f t="shared" si="6"/>
        <v>568.72464564102756</v>
      </c>
      <c r="AQ24" s="122">
        <f t="shared" si="6"/>
        <v>893.85204485824488</v>
      </c>
      <c r="AR24" s="122">
        <f t="shared" si="6"/>
        <v>221.42027006846729</v>
      </c>
      <c r="AS24" s="122"/>
      <c r="AT24" s="122">
        <v>44433</v>
      </c>
      <c r="AU24" s="122">
        <v>23848</v>
      </c>
      <c r="AV24" s="128">
        <f t="shared" si="23"/>
        <v>24961.265085584535</v>
      </c>
      <c r="AW24" s="128">
        <v>24875.099102324748</v>
      </c>
      <c r="AX24" s="122">
        <f t="shared" si="16"/>
        <v>49836.364187909283</v>
      </c>
      <c r="AY24" s="122">
        <f t="shared" si="22"/>
        <v>-7243.8518672344017</v>
      </c>
      <c r="AZ24" s="122">
        <f t="shared" si="17"/>
        <v>42592.512320674883</v>
      </c>
    </row>
    <row r="25" spans="1:52" x14ac:dyDescent="0.25">
      <c r="A25" s="117" t="s">
        <v>32</v>
      </c>
      <c r="B25" s="117">
        <v>6724</v>
      </c>
      <c r="C25" s="118">
        <v>417</v>
      </c>
      <c r="D25" s="119">
        <v>16346.779734933345</v>
      </c>
      <c r="E25" s="119">
        <f t="shared" si="18"/>
        <v>4912.4588698866637</v>
      </c>
      <c r="F25" s="119">
        <f t="shared" si="7"/>
        <v>15166.510947719056</v>
      </c>
      <c r="G25" s="120">
        <f t="shared" si="8"/>
        <v>20078.969817605721</v>
      </c>
      <c r="H25" s="121">
        <f t="shared" si="1"/>
        <v>16346.779734933345</v>
      </c>
      <c r="I25" s="122">
        <f t="shared" si="9"/>
        <v>19876.258013501119</v>
      </c>
      <c r="J25" s="123">
        <f t="shared" si="19"/>
        <v>41533.602672721951</v>
      </c>
      <c r="K25" s="123">
        <f t="shared" si="10"/>
        <v>41533.602672721951</v>
      </c>
      <c r="L25" s="123">
        <f t="shared" si="10"/>
        <v>5577.3933929344757</v>
      </c>
      <c r="M25" s="124">
        <f t="shared" si="10"/>
        <v>5577.3933929344757</v>
      </c>
      <c r="N25" s="123">
        <f t="shared" si="11"/>
        <v>11247.836860706015</v>
      </c>
      <c r="O25" s="123">
        <f t="shared" si="11"/>
        <v>7600.6655292411242</v>
      </c>
      <c r="P25" s="123">
        <f t="shared" si="11"/>
        <v>13646.191507223986</v>
      </c>
      <c r="Q25" s="124">
        <f t="shared" si="11"/>
        <v>3260.8563188040785</v>
      </c>
      <c r="R25" s="125">
        <f t="shared" si="12"/>
        <v>52781.439533427969</v>
      </c>
      <c r="S25" s="125">
        <f t="shared" si="12"/>
        <v>49134.268201963074</v>
      </c>
      <c r="T25" s="125">
        <f t="shared" si="12"/>
        <v>19223.584900158461</v>
      </c>
      <c r="U25" s="125">
        <f t="shared" si="12"/>
        <v>8838.2497117385537</v>
      </c>
      <c r="V25" s="126"/>
      <c r="W25" s="127"/>
      <c r="X25" s="126"/>
      <c r="Y25" s="126">
        <f t="shared" si="20"/>
        <v>-37380.242405449761</v>
      </c>
      <c r="Z25" s="126">
        <f t="shared" si="20"/>
        <v>-37380.242405449761</v>
      </c>
      <c r="AA25" s="126">
        <f t="shared" si="20"/>
        <v>-5019.6540536410284</v>
      </c>
      <c r="AB25" s="127">
        <f t="shared" si="20"/>
        <v>-5019.6540536410284</v>
      </c>
      <c r="AC25" s="126">
        <f t="shared" si="13"/>
        <v>-10123.053174635414</v>
      </c>
      <c r="AD25" s="126">
        <f t="shared" si="13"/>
        <v>-6840.5989763170119</v>
      </c>
      <c r="AE25" s="126">
        <f t="shared" si="13"/>
        <v>-12281.572356501591</v>
      </c>
      <c r="AF25" s="127">
        <f t="shared" si="13"/>
        <v>-2934.7706869236704</v>
      </c>
      <c r="AG25" s="122">
        <f t="shared" si="14"/>
        <v>-47503.295580085178</v>
      </c>
      <c r="AH25" s="122">
        <f t="shared" si="14"/>
        <v>-44220.841381766775</v>
      </c>
      <c r="AI25" s="122">
        <f t="shared" si="14"/>
        <v>-17301.226410142619</v>
      </c>
      <c r="AJ25" s="122">
        <f t="shared" si="14"/>
        <v>-7954.4247405646984</v>
      </c>
      <c r="AK25" s="122">
        <f t="shared" si="15"/>
        <v>-47503.295580085178</v>
      </c>
      <c r="AL25" s="122">
        <f t="shared" si="15"/>
        <v>-44220.841381766775</v>
      </c>
      <c r="AM25" s="122">
        <f t="shared" si="21"/>
        <v>-17301.226410142619</v>
      </c>
      <c r="AN25" s="122">
        <f t="shared" si="21"/>
        <v>-7954.4247405646984</v>
      </c>
      <c r="AO25" s="122">
        <f t="shared" si="6"/>
        <v>5278.1439533427911</v>
      </c>
      <c r="AP25" s="122">
        <f t="shared" si="6"/>
        <v>4913.4268201962986</v>
      </c>
      <c r="AQ25" s="122">
        <f t="shared" si="6"/>
        <v>1922.3584900158421</v>
      </c>
      <c r="AR25" s="122">
        <f t="shared" si="6"/>
        <v>883.82497117385537</v>
      </c>
      <c r="AS25" s="122"/>
      <c r="AT25" s="122">
        <v>39373</v>
      </c>
      <c r="AU25" s="122">
        <v>7580</v>
      </c>
      <c r="AV25" s="128">
        <f t="shared" si="23"/>
        <v>7933.8472554818336</v>
      </c>
      <c r="AW25" s="128">
        <v>38418.947085752283</v>
      </c>
      <c r="AX25" s="122">
        <f t="shared" si="16"/>
        <v>46352.794341234119</v>
      </c>
      <c r="AY25" s="122">
        <f t="shared" si="22"/>
        <v>-47503.295580085178</v>
      </c>
      <c r="AZ25" s="122">
        <f t="shared" si="17"/>
        <v>-1150.5012388510586</v>
      </c>
    </row>
    <row r="26" spans="1:52" x14ac:dyDescent="0.25">
      <c r="A26" s="117" t="s">
        <v>33</v>
      </c>
      <c r="B26" s="117">
        <v>6730</v>
      </c>
      <c r="C26" s="118">
        <v>3285</v>
      </c>
      <c r="D26" s="119">
        <v>21888.211053759915</v>
      </c>
      <c r="E26" s="119">
        <f t="shared" si="18"/>
        <v>38698.866636876955</v>
      </c>
      <c r="F26" s="119">
        <f t="shared" si="7"/>
        <v>119477.19055936954</v>
      </c>
      <c r="G26" s="120">
        <f t="shared" si="8"/>
        <v>158176.05719624649</v>
      </c>
      <c r="H26" s="121">
        <f t="shared" si="1"/>
        <v>21888.211053759915</v>
      </c>
      <c r="I26" s="122">
        <f t="shared" si="9"/>
        <v>26614.155045398809</v>
      </c>
      <c r="J26" s="123">
        <f t="shared" si="19"/>
        <v>55613.17127071767</v>
      </c>
      <c r="K26" s="123">
        <f t="shared" si="10"/>
        <v>55613.17127071767</v>
      </c>
      <c r="L26" s="123">
        <f t="shared" si="10"/>
        <v>7468.0864178716911</v>
      </c>
      <c r="M26" s="124">
        <f t="shared" si="10"/>
        <v>7468.0864178716911</v>
      </c>
      <c r="N26" s="123">
        <f t="shared" si="11"/>
        <v>88607.060161676884</v>
      </c>
      <c r="O26" s="123">
        <f t="shared" si="11"/>
        <v>59875.746435388712</v>
      </c>
      <c r="P26" s="123">
        <f t="shared" si="11"/>
        <v>107500.57338424651</v>
      </c>
      <c r="Q26" s="124">
        <f t="shared" si="11"/>
        <v>25688.040784823497</v>
      </c>
      <c r="R26" s="125">
        <f t="shared" si="12"/>
        <v>144220.23143239456</v>
      </c>
      <c r="S26" s="125">
        <f t="shared" si="12"/>
        <v>115488.91770610638</v>
      </c>
      <c r="T26" s="125">
        <f t="shared" si="12"/>
        <v>114968.6598021182</v>
      </c>
      <c r="U26" s="125">
        <f t="shared" si="12"/>
        <v>33156.127202695192</v>
      </c>
      <c r="V26" s="126"/>
      <c r="W26" s="127"/>
      <c r="X26" s="126"/>
      <c r="Y26" s="126">
        <f t="shared" si="20"/>
        <v>-50051.854143645905</v>
      </c>
      <c r="Z26" s="126">
        <f t="shared" si="20"/>
        <v>-50051.854143645905</v>
      </c>
      <c r="AA26" s="126">
        <f t="shared" si="20"/>
        <v>-6721.277776084522</v>
      </c>
      <c r="AB26" s="127">
        <f t="shared" si="20"/>
        <v>-6721.277776084522</v>
      </c>
      <c r="AC26" s="126">
        <f t="shared" si="13"/>
        <v>-79746.354145509191</v>
      </c>
      <c r="AD26" s="126">
        <f t="shared" si="13"/>
        <v>-53888.17179184984</v>
      </c>
      <c r="AE26" s="126">
        <f t="shared" si="13"/>
        <v>-96750.516045821874</v>
      </c>
      <c r="AF26" s="127">
        <f t="shared" si="13"/>
        <v>-23119.236706341144</v>
      </c>
      <c r="AG26" s="122">
        <f t="shared" si="14"/>
        <v>-129798.2082891551</v>
      </c>
      <c r="AH26" s="122">
        <f t="shared" si="14"/>
        <v>-103940.02593549574</v>
      </c>
      <c r="AI26" s="122">
        <f t="shared" si="14"/>
        <v>-103471.79382190639</v>
      </c>
      <c r="AJ26" s="122">
        <f t="shared" si="14"/>
        <v>-29840.514482425664</v>
      </c>
      <c r="AK26" s="122">
        <f t="shared" si="15"/>
        <v>-129798.2082891551</v>
      </c>
      <c r="AL26" s="122">
        <f t="shared" si="15"/>
        <v>-103940.02593549574</v>
      </c>
      <c r="AM26" s="122">
        <f t="shared" si="21"/>
        <v>-103471.79382190639</v>
      </c>
      <c r="AN26" s="122">
        <f t="shared" si="21"/>
        <v>-29840.514482425664</v>
      </c>
      <c r="AO26" s="122">
        <f t="shared" si="6"/>
        <v>14422.023143239465</v>
      </c>
      <c r="AP26" s="122">
        <f t="shared" si="6"/>
        <v>11548.891770610644</v>
      </c>
      <c r="AQ26" s="122">
        <f t="shared" si="6"/>
        <v>11496.865980211805</v>
      </c>
      <c r="AR26" s="122">
        <f t="shared" si="6"/>
        <v>3315.6127202695279</v>
      </c>
      <c r="AS26" s="122"/>
      <c r="AT26" s="122">
        <v>331707</v>
      </c>
      <c r="AU26" s="122">
        <v>81252</v>
      </c>
      <c r="AV26" s="128">
        <f t="shared" si="23"/>
        <v>85044.981161267802</v>
      </c>
      <c r="AW26" s="128">
        <v>302652.07411575154</v>
      </c>
      <c r="AX26" s="122">
        <f t="shared" si="16"/>
        <v>387697.05527701933</v>
      </c>
      <c r="AY26" s="122">
        <f t="shared" si="22"/>
        <v>-129798.2082891551</v>
      </c>
      <c r="AZ26" s="122">
        <f t="shared" si="17"/>
        <v>257898.84698786424</v>
      </c>
    </row>
    <row r="27" spans="1:52" x14ac:dyDescent="0.25">
      <c r="A27" s="117" t="s">
        <v>34</v>
      </c>
      <c r="B27" s="117">
        <v>6741</v>
      </c>
      <c r="C27" s="118">
        <v>308</v>
      </c>
      <c r="D27" s="119">
        <v>131.10848128490534</v>
      </c>
      <c r="E27" s="119">
        <f t="shared" si="18"/>
        <v>3628.3868871105337</v>
      </c>
      <c r="F27" s="119">
        <f t="shared" si="7"/>
        <v>11202.123193998728</v>
      </c>
      <c r="G27" s="120">
        <f t="shared" si="8"/>
        <v>14830.510081109262</v>
      </c>
      <c r="H27" s="121">
        <f t="shared" si="1"/>
        <v>131.10848128490534</v>
      </c>
      <c r="I27" s="122">
        <f t="shared" si="9"/>
        <v>159.41647492858249</v>
      </c>
      <c r="J27" s="123">
        <f t="shared" si="19"/>
        <v>333.11806098875445</v>
      </c>
      <c r="K27" s="123">
        <f t="shared" si="10"/>
        <v>333.11806098875439</v>
      </c>
      <c r="L27" s="123">
        <f t="shared" si="10"/>
        <v>44.733188379202574</v>
      </c>
      <c r="M27" s="124">
        <f t="shared" si="10"/>
        <v>44.733188379202574</v>
      </c>
      <c r="N27" s="123">
        <f t="shared" si="11"/>
        <v>8307.7548035910131</v>
      </c>
      <c r="O27" s="123">
        <f t="shared" si="11"/>
        <v>5613.9208225569937</v>
      </c>
      <c r="P27" s="123">
        <f t="shared" si="11"/>
        <v>10079.201401019156</v>
      </c>
      <c r="Q27" s="124">
        <f t="shared" si="11"/>
        <v>2408.49819230613</v>
      </c>
      <c r="R27" s="125">
        <f t="shared" si="12"/>
        <v>8640.8728645797673</v>
      </c>
      <c r="S27" s="125">
        <f t="shared" si="12"/>
        <v>5947.0388835457479</v>
      </c>
      <c r="T27" s="125">
        <f t="shared" si="12"/>
        <v>10123.934589398359</v>
      </c>
      <c r="U27" s="125">
        <f t="shared" si="12"/>
        <v>2453.2313806853326</v>
      </c>
      <c r="V27" s="126"/>
      <c r="W27" s="127"/>
      <c r="X27" s="126"/>
      <c r="Y27" s="126">
        <f t="shared" si="20"/>
        <v>-299.80625488987897</v>
      </c>
      <c r="Z27" s="126">
        <f t="shared" si="20"/>
        <v>-299.80625488987897</v>
      </c>
      <c r="AA27" s="126">
        <f t="shared" si="20"/>
        <v>-40.259869541282313</v>
      </c>
      <c r="AB27" s="127">
        <f t="shared" si="20"/>
        <v>-40.259869541282313</v>
      </c>
      <c r="AC27" s="126">
        <f t="shared" si="13"/>
        <v>-7476.9793232319125</v>
      </c>
      <c r="AD27" s="126">
        <f t="shared" si="13"/>
        <v>-5052.5287403012944</v>
      </c>
      <c r="AE27" s="126">
        <f t="shared" si="13"/>
        <v>-9071.2812609172415</v>
      </c>
      <c r="AF27" s="127">
        <f t="shared" si="13"/>
        <v>-2167.6483730755167</v>
      </c>
      <c r="AG27" s="122">
        <f t="shared" si="14"/>
        <v>-7776.7855781217913</v>
      </c>
      <c r="AH27" s="122">
        <f t="shared" si="14"/>
        <v>-5352.3349951911732</v>
      </c>
      <c r="AI27" s="122">
        <f t="shared" si="14"/>
        <v>-9111.5411304585232</v>
      </c>
      <c r="AJ27" s="122">
        <f t="shared" si="14"/>
        <v>-2207.9082426167988</v>
      </c>
      <c r="AK27" s="122">
        <f t="shared" si="15"/>
        <v>-7776.7855781217913</v>
      </c>
      <c r="AL27" s="122">
        <f t="shared" si="15"/>
        <v>-5352.3349951911732</v>
      </c>
      <c r="AM27" s="122">
        <f t="shared" si="21"/>
        <v>-9111.5411304585232</v>
      </c>
      <c r="AN27" s="122">
        <f t="shared" si="21"/>
        <v>-2207.9082426167988</v>
      </c>
      <c r="AO27" s="122">
        <f t="shared" si="6"/>
        <v>864.08728645797601</v>
      </c>
      <c r="AP27" s="122">
        <f t="shared" si="6"/>
        <v>594.7038883545747</v>
      </c>
      <c r="AQ27" s="122">
        <f t="shared" si="6"/>
        <v>1012.3934589398359</v>
      </c>
      <c r="AR27" s="122">
        <f t="shared" si="6"/>
        <v>245.32313806853381</v>
      </c>
      <c r="AS27" s="122"/>
      <c r="AT27" s="122">
        <v>25414</v>
      </c>
      <c r="AU27" s="122">
        <v>1931</v>
      </c>
      <c r="AV27" s="128">
        <f t="shared" si="23"/>
        <v>2021.1423549255173</v>
      </c>
      <c r="AW27" s="128">
        <v>28377.068361422982</v>
      </c>
      <c r="AX27" s="122">
        <f t="shared" si="16"/>
        <v>30398.210716348498</v>
      </c>
      <c r="AY27" s="122">
        <f t="shared" si="22"/>
        <v>-7776.7855781217913</v>
      </c>
      <c r="AZ27" s="122">
        <f t="shared" si="17"/>
        <v>22621.425138226707</v>
      </c>
    </row>
    <row r="28" spans="1:52" x14ac:dyDescent="0.25">
      <c r="A28" s="117" t="s">
        <v>35</v>
      </c>
      <c r="B28" s="117">
        <v>6742</v>
      </c>
      <c r="C28" s="118">
        <v>1258</v>
      </c>
      <c r="D28" s="119">
        <v>9159.2004936624126</v>
      </c>
      <c r="E28" s="119">
        <f t="shared" si="18"/>
        <v>14819.839948003413</v>
      </c>
      <c r="F28" s="119">
        <f t="shared" si="7"/>
        <v>45754.126552111687</v>
      </c>
      <c r="G28" s="120">
        <f t="shared" si="8"/>
        <v>60573.966500115101</v>
      </c>
      <c r="H28" s="121">
        <f t="shared" si="1"/>
        <v>9159.2004936624126</v>
      </c>
      <c r="I28" s="122">
        <f t="shared" si="9"/>
        <v>11136.788723003081</v>
      </c>
      <c r="J28" s="123">
        <f t="shared" si="19"/>
        <v>23271.531168345104</v>
      </c>
      <c r="K28" s="123">
        <f t="shared" ref="K28:M48" si="24">K$6/$D$7*$D28</f>
        <v>23271.5311683451</v>
      </c>
      <c r="L28" s="123">
        <f t="shared" si="24"/>
        <v>3125.0475718313232</v>
      </c>
      <c r="M28" s="124">
        <f t="shared" si="24"/>
        <v>3125.0475718313232</v>
      </c>
      <c r="N28" s="123">
        <f t="shared" ref="N28:Q48" si="25">(N$6/$C$7)*$C28</f>
        <v>33932.323191290569</v>
      </c>
      <c r="O28" s="123">
        <f t="shared" si="25"/>
        <v>22929.58569732694</v>
      </c>
      <c r="P28" s="123">
        <f t="shared" si="25"/>
        <v>41167.647280786034</v>
      </c>
      <c r="Q28" s="124">
        <f t="shared" si="25"/>
        <v>9837.3075516919198</v>
      </c>
      <c r="R28" s="125">
        <f t="shared" si="12"/>
        <v>57203.854359635676</v>
      </c>
      <c r="S28" s="125">
        <f t="shared" si="12"/>
        <v>46201.11686567204</v>
      </c>
      <c r="T28" s="125">
        <f t="shared" si="12"/>
        <v>44292.694852617358</v>
      </c>
      <c r="U28" s="125">
        <f t="shared" si="12"/>
        <v>12962.355123523243</v>
      </c>
      <c r="V28" s="126"/>
      <c r="W28" s="127"/>
      <c r="X28" s="126"/>
      <c r="Y28" s="126">
        <f t="shared" si="20"/>
        <v>-20944.37805151059</v>
      </c>
      <c r="Z28" s="126">
        <f t="shared" si="20"/>
        <v>-20944.37805151059</v>
      </c>
      <c r="AA28" s="126">
        <f t="shared" si="20"/>
        <v>-2812.5428146481909</v>
      </c>
      <c r="AB28" s="127">
        <f t="shared" si="20"/>
        <v>-2812.5428146481909</v>
      </c>
      <c r="AC28" s="126">
        <f t="shared" ref="AC28:AF48" si="26">(AC$6/$C$7)*$C28</f>
        <v>-30539.090872161512</v>
      </c>
      <c r="AD28" s="126">
        <f t="shared" si="26"/>
        <v>-20636.627127594245</v>
      </c>
      <c r="AE28" s="126">
        <f t="shared" si="26"/>
        <v>-37050.882552707437</v>
      </c>
      <c r="AF28" s="127">
        <f t="shared" si="26"/>
        <v>-8853.5767965227278</v>
      </c>
      <c r="AG28" s="122">
        <f t="shared" si="14"/>
        <v>-51483.468923672102</v>
      </c>
      <c r="AH28" s="122">
        <f t="shared" si="14"/>
        <v>-41581.005179104832</v>
      </c>
      <c r="AI28" s="122">
        <f t="shared" si="14"/>
        <v>-39863.42536735563</v>
      </c>
      <c r="AJ28" s="122">
        <f t="shared" si="14"/>
        <v>-11666.119611170918</v>
      </c>
      <c r="AK28" s="122">
        <f t="shared" si="15"/>
        <v>-51483.468923672102</v>
      </c>
      <c r="AL28" s="122">
        <f t="shared" si="15"/>
        <v>-41581.005179104832</v>
      </c>
      <c r="AM28" s="122">
        <f t="shared" si="21"/>
        <v>-39863.42536735563</v>
      </c>
      <c r="AN28" s="122">
        <f t="shared" si="21"/>
        <v>-11666.119611170918</v>
      </c>
      <c r="AO28" s="122">
        <f t="shared" si="6"/>
        <v>5720.3854359635734</v>
      </c>
      <c r="AP28" s="122">
        <f t="shared" si="6"/>
        <v>4620.1116865672084</v>
      </c>
      <c r="AQ28" s="122">
        <f t="shared" si="6"/>
        <v>4429.2694852617278</v>
      </c>
      <c r="AR28" s="122">
        <f t="shared" si="6"/>
        <v>1296.2355123523248</v>
      </c>
      <c r="AS28" s="122"/>
      <c r="AT28" s="122">
        <v>255707</v>
      </c>
      <c r="AU28" s="122">
        <v>159795</v>
      </c>
      <c r="AV28" s="128">
        <f t="shared" si="23"/>
        <v>167254.50160814243</v>
      </c>
      <c r="AW28" s="128">
        <v>115900.92325004475</v>
      </c>
      <c r="AX28" s="122">
        <f t="shared" si="16"/>
        <v>283155.42485818721</v>
      </c>
      <c r="AY28" s="122">
        <f t="shared" si="22"/>
        <v>-51483.468923672102</v>
      </c>
      <c r="AZ28" s="122">
        <f t="shared" si="17"/>
        <v>231671.95593451511</v>
      </c>
    </row>
    <row r="29" spans="1:52" x14ac:dyDescent="0.25">
      <c r="A29" s="117" t="s">
        <v>36</v>
      </c>
      <c r="B29" s="117">
        <v>6743</v>
      </c>
      <c r="C29" s="118">
        <v>1611</v>
      </c>
      <c r="D29" s="119">
        <v>469339.08206876187</v>
      </c>
      <c r="E29" s="119">
        <f t="shared" si="18"/>
        <v>18978.348295893084</v>
      </c>
      <c r="F29" s="119">
        <f t="shared" si="7"/>
        <v>58592.923589389451</v>
      </c>
      <c r="G29" s="120">
        <f t="shared" si="8"/>
        <v>77571.271885282535</v>
      </c>
      <c r="H29" s="121">
        <f t="shared" si="1"/>
        <v>469339.08206876187</v>
      </c>
      <c r="I29" s="122">
        <f t="shared" si="9"/>
        <v>570675.37718654692</v>
      </c>
      <c r="J29" s="123">
        <f t="shared" si="19"/>
        <v>1192488.2618786616</v>
      </c>
      <c r="K29" s="123">
        <f t="shared" si="24"/>
        <v>1192488.2618786618</v>
      </c>
      <c r="L29" s="123">
        <f t="shared" si="24"/>
        <v>160134.82397283419</v>
      </c>
      <c r="M29" s="124">
        <f t="shared" si="24"/>
        <v>160134.82397283419</v>
      </c>
      <c r="N29" s="123">
        <f t="shared" si="25"/>
        <v>43453.873339562087</v>
      </c>
      <c r="O29" s="123">
        <f t="shared" si="25"/>
        <v>29363.722224478301</v>
      </c>
      <c r="P29" s="123">
        <f t="shared" si="25"/>
        <v>52719.459276109934</v>
      </c>
      <c r="Q29" s="124">
        <f t="shared" si="25"/>
        <v>12597.696713653168</v>
      </c>
      <c r="R29" s="125">
        <f t="shared" si="12"/>
        <v>1235942.1352182236</v>
      </c>
      <c r="S29" s="125">
        <f t="shared" si="12"/>
        <v>1221851.9841031402</v>
      </c>
      <c r="T29" s="125">
        <f t="shared" si="12"/>
        <v>212854.28324894412</v>
      </c>
      <c r="U29" s="125">
        <f t="shared" si="12"/>
        <v>172732.52068648735</v>
      </c>
      <c r="V29" s="126"/>
      <c r="W29" s="127"/>
      <c r="X29" s="126"/>
      <c r="Y29" s="126">
        <f t="shared" ref="Y29:AB49" si="27">(Y$6/$D$7)*$D29</f>
        <v>-1073239.4356907955</v>
      </c>
      <c r="Z29" s="126">
        <f t="shared" si="27"/>
        <v>-1073239.4356907955</v>
      </c>
      <c r="AA29" s="126">
        <f t="shared" si="27"/>
        <v>-144121.34157555076</v>
      </c>
      <c r="AB29" s="127">
        <f t="shared" si="27"/>
        <v>-144121.34157555076</v>
      </c>
      <c r="AC29" s="126">
        <f t="shared" si="26"/>
        <v>-39108.486005605882</v>
      </c>
      <c r="AD29" s="126">
        <f t="shared" si="26"/>
        <v>-26427.350002030471</v>
      </c>
      <c r="AE29" s="126">
        <f t="shared" si="26"/>
        <v>-47447.513348498949</v>
      </c>
      <c r="AF29" s="127">
        <f t="shared" si="26"/>
        <v>-11337.927042287849</v>
      </c>
      <c r="AG29" s="122">
        <f t="shared" si="14"/>
        <v>-1112347.9216964014</v>
      </c>
      <c r="AH29" s="122">
        <f t="shared" si="14"/>
        <v>-1099666.7856928259</v>
      </c>
      <c r="AI29" s="122">
        <f t="shared" si="14"/>
        <v>-191568.85492404969</v>
      </c>
      <c r="AJ29" s="122">
        <f t="shared" si="14"/>
        <v>-155459.26861783862</v>
      </c>
      <c r="AK29" s="122">
        <f t="shared" si="15"/>
        <v>-1112347.9216964014</v>
      </c>
      <c r="AL29" s="122">
        <f t="shared" si="15"/>
        <v>-1099666.7856928259</v>
      </c>
      <c r="AM29" s="122">
        <f t="shared" si="21"/>
        <v>-191568.85492404969</v>
      </c>
      <c r="AN29" s="122">
        <f t="shared" si="21"/>
        <v>-155459.26861783862</v>
      </c>
      <c r="AO29" s="122">
        <f t="shared" si="6"/>
        <v>123594.21352182212</v>
      </c>
      <c r="AP29" s="122">
        <f t="shared" si="6"/>
        <v>122185.19841031427</v>
      </c>
      <c r="AQ29" s="122">
        <f t="shared" si="6"/>
        <v>21285.428324894427</v>
      </c>
      <c r="AR29" s="122">
        <f t="shared" si="6"/>
        <v>17273.252068648726</v>
      </c>
      <c r="AS29" s="122"/>
      <c r="AT29" s="122">
        <v>923569</v>
      </c>
      <c r="AU29" s="122">
        <v>800743</v>
      </c>
      <c r="AV29" s="128">
        <f t="shared" si="23"/>
        <v>838123.04127919395</v>
      </c>
      <c r="AW29" s="128">
        <v>148424.04286335388</v>
      </c>
      <c r="AX29" s="122">
        <f t="shared" si="16"/>
        <v>986547.0841425478</v>
      </c>
      <c r="AY29" s="122">
        <f t="shared" si="22"/>
        <v>-1112347.9216964014</v>
      </c>
      <c r="AZ29" s="122">
        <f t="shared" si="17"/>
        <v>-125800.83755385363</v>
      </c>
    </row>
    <row r="30" spans="1:52" x14ac:dyDescent="0.25">
      <c r="A30" s="117" t="s">
        <v>39</v>
      </c>
      <c r="B30" s="117">
        <v>6745</v>
      </c>
      <c r="C30" s="118">
        <v>156</v>
      </c>
      <c r="D30" s="119">
        <v>418.54986952985718</v>
      </c>
      <c r="E30" s="119">
        <f t="shared" si="18"/>
        <v>1837.7543973676729</v>
      </c>
      <c r="F30" s="119">
        <f t="shared" si="7"/>
        <v>5673.8026567006546</v>
      </c>
      <c r="G30" s="120">
        <f t="shared" si="8"/>
        <v>7511.5570540683275</v>
      </c>
      <c r="H30" s="121">
        <f t="shared" si="1"/>
        <v>418.54986952985718</v>
      </c>
      <c r="I30" s="122">
        <f t="shared" si="9"/>
        <v>508.92012574895045</v>
      </c>
      <c r="J30" s="123">
        <f t="shared" si="19"/>
        <v>1063.4439480837345</v>
      </c>
      <c r="K30" s="123">
        <f t="shared" si="24"/>
        <v>1063.4439480837345</v>
      </c>
      <c r="L30" s="123">
        <f t="shared" si="24"/>
        <v>142.80594189084979</v>
      </c>
      <c r="M30" s="124">
        <f t="shared" si="24"/>
        <v>142.80594189084979</v>
      </c>
      <c r="N30" s="123">
        <f t="shared" si="25"/>
        <v>4207.8238615590853</v>
      </c>
      <c r="O30" s="123">
        <f t="shared" si="25"/>
        <v>2843.4144425938016</v>
      </c>
      <c r="P30" s="123">
        <f t="shared" si="25"/>
        <v>5105.0500602564553</v>
      </c>
      <c r="Q30" s="124">
        <f t="shared" si="25"/>
        <v>1219.8886948044035</v>
      </c>
      <c r="R30" s="125">
        <f t="shared" si="12"/>
        <v>5271.2678096428199</v>
      </c>
      <c r="S30" s="125">
        <f t="shared" si="12"/>
        <v>3906.8583906775361</v>
      </c>
      <c r="T30" s="125">
        <f t="shared" si="12"/>
        <v>5247.8560021473049</v>
      </c>
      <c r="U30" s="125">
        <f t="shared" si="12"/>
        <v>1362.6946366952534</v>
      </c>
      <c r="V30" s="126"/>
      <c r="W30" s="127"/>
      <c r="X30" s="126"/>
      <c r="Y30" s="126">
        <f t="shared" si="27"/>
        <v>-957.09955327536113</v>
      </c>
      <c r="Z30" s="126">
        <f t="shared" si="27"/>
        <v>-957.09955327536113</v>
      </c>
      <c r="AA30" s="126">
        <f t="shared" si="27"/>
        <v>-128.52534770176482</v>
      </c>
      <c r="AB30" s="127">
        <f t="shared" si="27"/>
        <v>-128.52534770176482</v>
      </c>
      <c r="AC30" s="126">
        <f t="shared" si="26"/>
        <v>-3787.0414754031767</v>
      </c>
      <c r="AD30" s="126">
        <f t="shared" si="26"/>
        <v>-2559.0729983344218</v>
      </c>
      <c r="AE30" s="126">
        <f t="shared" si="26"/>
        <v>-4594.5450542308108</v>
      </c>
      <c r="AF30" s="127">
        <f t="shared" si="26"/>
        <v>-1097.8998253239631</v>
      </c>
      <c r="AG30" s="122">
        <f t="shared" si="14"/>
        <v>-4744.1410286785376</v>
      </c>
      <c r="AH30" s="122">
        <f t="shared" si="14"/>
        <v>-3516.1725516097831</v>
      </c>
      <c r="AI30" s="122">
        <f t="shared" si="14"/>
        <v>-4723.0704019325758</v>
      </c>
      <c r="AJ30" s="122">
        <f t="shared" si="14"/>
        <v>-1226.4251730257279</v>
      </c>
      <c r="AK30" s="122">
        <f t="shared" si="15"/>
        <v>-4744.1410286785376</v>
      </c>
      <c r="AL30" s="122">
        <f t="shared" si="15"/>
        <v>-3516.1725516097831</v>
      </c>
      <c r="AM30" s="122">
        <f t="shared" si="21"/>
        <v>-4723.0704019325758</v>
      </c>
      <c r="AN30" s="122">
        <f t="shared" si="21"/>
        <v>-1226.4251730257279</v>
      </c>
      <c r="AO30" s="122">
        <f t="shared" si="6"/>
        <v>527.12678096428226</v>
      </c>
      <c r="AP30" s="122">
        <f t="shared" si="6"/>
        <v>390.68583906775302</v>
      </c>
      <c r="AQ30" s="122">
        <f t="shared" si="6"/>
        <v>524.78560021472913</v>
      </c>
      <c r="AR30" s="122">
        <f t="shared" si="6"/>
        <v>136.26946366952552</v>
      </c>
      <c r="AS30" s="122"/>
      <c r="AT30" s="122">
        <v>15747</v>
      </c>
      <c r="AU30" s="122">
        <v>3853</v>
      </c>
      <c r="AV30" s="128">
        <f t="shared" si="23"/>
        <v>4032.86457458727</v>
      </c>
      <c r="AW30" s="128">
        <v>14372.816552006343</v>
      </c>
      <c r="AX30" s="122">
        <f t="shared" si="16"/>
        <v>18405.681126593612</v>
      </c>
      <c r="AY30" s="122">
        <f t="shared" si="22"/>
        <v>-4744.1410286785376</v>
      </c>
      <c r="AZ30" s="122">
        <f t="shared" si="17"/>
        <v>13661.540097915075</v>
      </c>
    </row>
    <row r="31" spans="1:52" x14ac:dyDescent="0.25">
      <c r="A31" s="117" t="s">
        <v>41</v>
      </c>
      <c r="B31" s="117">
        <v>6748</v>
      </c>
      <c r="C31" s="118">
        <v>510</v>
      </c>
      <c r="D31" s="119">
        <v>5073.0173780723399</v>
      </c>
      <c r="E31" s="119">
        <f t="shared" si="18"/>
        <v>6008.0432221635456</v>
      </c>
      <c r="F31" s="119">
        <f t="shared" si="7"/>
        <v>18548.970223829063</v>
      </c>
      <c r="G31" s="120">
        <f t="shared" si="8"/>
        <v>24557.013445992608</v>
      </c>
      <c r="H31" s="121">
        <f t="shared" si="1"/>
        <v>5073.0173780723399</v>
      </c>
      <c r="I31" s="122">
        <f t="shared" si="9"/>
        <v>6168.3465458373939</v>
      </c>
      <c r="J31" s="123">
        <f t="shared" si="19"/>
        <v>12889.430918457861</v>
      </c>
      <c r="K31" s="123">
        <f t="shared" si="24"/>
        <v>12889.43091845786</v>
      </c>
      <c r="L31" s="123">
        <f t="shared" si="24"/>
        <v>1730.8738519451163</v>
      </c>
      <c r="M31" s="124">
        <f t="shared" si="24"/>
        <v>1730.8738519451163</v>
      </c>
      <c r="N31" s="123">
        <f t="shared" si="25"/>
        <v>13756.347239712393</v>
      </c>
      <c r="O31" s="123">
        <f t="shared" si="25"/>
        <v>9295.777985402814</v>
      </c>
      <c r="P31" s="123">
        <f t="shared" si="25"/>
        <v>16689.586735453795</v>
      </c>
      <c r="Q31" s="124">
        <f t="shared" si="25"/>
        <v>3988.0976560913191</v>
      </c>
      <c r="R31" s="125">
        <f t="shared" si="12"/>
        <v>26645.778158170255</v>
      </c>
      <c r="S31" s="125">
        <f t="shared" si="12"/>
        <v>22185.208903860672</v>
      </c>
      <c r="T31" s="125">
        <f t="shared" si="12"/>
        <v>18420.460587398913</v>
      </c>
      <c r="U31" s="125">
        <f t="shared" si="12"/>
        <v>5718.9715080364349</v>
      </c>
      <c r="V31" s="126"/>
      <c r="W31" s="127"/>
      <c r="X31" s="126"/>
      <c r="Y31" s="126">
        <f t="shared" si="27"/>
        <v>-11600.487826612074</v>
      </c>
      <c r="Z31" s="126">
        <f t="shared" si="27"/>
        <v>-11600.487826612074</v>
      </c>
      <c r="AA31" s="126">
        <f t="shared" si="27"/>
        <v>-1557.7864667506046</v>
      </c>
      <c r="AB31" s="127">
        <f t="shared" si="27"/>
        <v>-1557.7864667506046</v>
      </c>
      <c r="AC31" s="126">
        <f t="shared" si="26"/>
        <v>-12380.712515741154</v>
      </c>
      <c r="AD31" s="126">
        <f t="shared" si="26"/>
        <v>-8366.2001868625321</v>
      </c>
      <c r="AE31" s="126">
        <f t="shared" si="26"/>
        <v>-15020.628061908419</v>
      </c>
      <c r="AF31" s="127">
        <f t="shared" si="26"/>
        <v>-3589.2878904821869</v>
      </c>
      <c r="AG31" s="122">
        <f t="shared" si="14"/>
        <v>-23981.20034235323</v>
      </c>
      <c r="AH31" s="122">
        <f t="shared" si="14"/>
        <v>-19966.688013474606</v>
      </c>
      <c r="AI31" s="122">
        <f t="shared" si="14"/>
        <v>-16578.414528659025</v>
      </c>
      <c r="AJ31" s="122">
        <f t="shared" si="14"/>
        <v>-5147.074357232792</v>
      </c>
      <c r="AK31" s="122">
        <f t="shared" si="15"/>
        <v>-23981.20034235323</v>
      </c>
      <c r="AL31" s="122">
        <f t="shared" si="15"/>
        <v>-19966.688013474606</v>
      </c>
      <c r="AM31" s="122">
        <f t="shared" si="21"/>
        <v>-16578.414528659025</v>
      </c>
      <c r="AN31" s="122">
        <f t="shared" si="21"/>
        <v>-5147.074357232792</v>
      </c>
      <c r="AO31" s="122">
        <f t="shared" si="6"/>
        <v>2664.5778158170251</v>
      </c>
      <c r="AP31" s="122">
        <f t="shared" si="6"/>
        <v>2218.5208903860657</v>
      </c>
      <c r="AQ31" s="122">
        <f t="shared" si="6"/>
        <v>1842.0460587398884</v>
      </c>
      <c r="AR31" s="122">
        <f t="shared" si="6"/>
        <v>571.89715080364294</v>
      </c>
      <c r="AS31" s="122"/>
      <c r="AT31" s="122">
        <v>129988</v>
      </c>
      <c r="AU31" s="122">
        <v>91105</v>
      </c>
      <c r="AV31" s="128">
        <f t="shared" si="23"/>
        <v>95357.935911698209</v>
      </c>
      <c r="AW31" s="128">
        <v>46986.566839722771</v>
      </c>
      <c r="AX31" s="122">
        <f t="shared" si="16"/>
        <v>142344.50275142098</v>
      </c>
      <c r="AY31" s="122">
        <f t="shared" si="22"/>
        <v>-23981.20034235323</v>
      </c>
      <c r="AZ31" s="122">
        <f t="shared" si="17"/>
        <v>118363.30240906775</v>
      </c>
    </row>
    <row r="32" spans="1:52" x14ac:dyDescent="0.25">
      <c r="A32" s="117" t="s">
        <v>43</v>
      </c>
      <c r="B32" s="117">
        <v>6750</v>
      </c>
      <c r="C32" s="118">
        <v>705</v>
      </c>
      <c r="D32" s="119">
        <v>3042.5273260003933</v>
      </c>
      <c r="E32" s="119">
        <f t="shared" si="18"/>
        <v>8305.2362188731367</v>
      </c>
      <c r="F32" s="119">
        <f t="shared" si="7"/>
        <v>25641.223544704881</v>
      </c>
      <c r="G32" s="120">
        <f t="shared" si="8"/>
        <v>33946.459763578016</v>
      </c>
      <c r="H32" s="121">
        <f t="shared" si="1"/>
        <v>3042.5273260003933</v>
      </c>
      <c r="I32" s="122">
        <f t="shared" si="9"/>
        <v>3699.447788819065</v>
      </c>
      <c r="J32" s="123">
        <f t="shared" si="19"/>
        <v>7730.3984716299101</v>
      </c>
      <c r="K32" s="123">
        <f t="shared" si="24"/>
        <v>7730.3984716299092</v>
      </c>
      <c r="L32" s="123">
        <f t="shared" si="24"/>
        <v>1038.0865271949165</v>
      </c>
      <c r="M32" s="124">
        <f t="shared" si="24"/>
        <v>1038.0865271949165</v>
      </c>
      <c r="N32" s="123">
        <f t="shared" si="25"/>
        <v>19016.127066661251</v>
      </c>
      <c r="O32" s="123">
        <f t="shared" si="25"/>
        <v>12850.046038645065</v>
      </c>
      <c r="P32" s="123">
        <f t="shared" si="25"/>
        <v>23070.899310774366</v>
      </c>
      <c r="Q32" s="124">
        <f t="shared" si="25"/>
        <v>5512.9585245968237</v>
      </c>
      <c r="R32" s="125">
        <f t="shared" si="12"/>
        <v>26746.52553829116</v>
      </c>
      <c r="S32" s="125">
        <f t="shared" si="12"/>
        <v>20580.444510274974</v>
      </c>
      <c r="T32" s="125">
        <f t="shared" si="12"/>
        <v>24108.985837969281</v>
      </c>
      <c r="U32" s="125">
        <f t="shared" si="12"/>
        <v>6551.0450517917398</v>
      </c>
      <c r="V32" s="126"/>
      <c r="W32" s="127"/>
      <c r="X32" s="126"/>
      <c r="Y32" s="126">
        <f t="shared" si="27"/>
        <v>-6957.3586244669186</v>
      </c>
      <c r="Z32" s="126">
        <f t="shared" si="27"/>
        <v>-6957.3586244669186</v>
      </c>
      <c r="AA32" s="126">
        <f t="shared" si="27"/>
        <v>-934.27787447542471</v>
      </c>
      <c r="AB32" s="127">
        <f t="shared" si="27"/>
        <v>-934.27787447542471</v>
      </c>
      <c r="AC32" s="126">
        <f t="shared" si="26"/>
        <v>-17114.514359995126</v>
      </c>
      <c r="AD32" s="126">
        <f t="shared" si="26"/>
        <v>-11565.04143478056</v>
      </c>
      <c r="AE32" s="126">
        <f t="shared" si="26"/>
        <v>-20763.809379696933</v>
      </c>
      <c r="AF32" s="127">
        <f t="shared" si="26"/>
        <v>-4961.6626721371413</v>
      </c>
      <c r="AG32" s="122">
        <f t="shared" si="14"/>
        <v>-24071.872984462047</v>
      </c>
      <c r="AH32" s="122">
        <f t="shared" si="14"/>
        <v>-18522.400059247477</v>
      </c>
      <c r="AI32" s="122">
        <f t="shared" si="14"/>
        <v>-21698.087254172358</v>
      </c>
      <c r="AJ32" s="122">
        <f t="shared" si="14"/>
        <v>-5895.9405466125663</v>
      </c>
      <c r="AK32" s="122">
        <f t="shared" si="15"/>
        <v>-24071.872984462047</v>
      </c>
      <c r="AL32" s="122">
        <f t="shared" si="15"/>
        <v>-18522.400059247477</v>
      </c>
      <c r="AM32" s="122">
        <f t="shared" si="21"/>
        <v>-21698.087254172358</v>
      </c>
      <c r="AN32" s="122">
        <f t="shared" si="21"/>
        <v>-5895.9405466125663</v>
      </c>
      <c r="AO32" s="122">
        <f t="shared" si="6"/>
        <v>2674.6525538291135</v>
      </c>
      <c r="AP32" s="122">
        <f t="shared" si="6"/>
        <v>2058.0444510274974</v>
      </c>
      <c r="AQ32" s="122">
        <f t="shared" si="6"/>
        <v>2410.898583796923</v>
      </c>
      <c r="AR32" s="122">
        <f t="shared" si="6"/>
        <v>655.10450517917343</v>
      </c>
      <c r="AS32" s="122"/>
      <c r="AT32" s="122">
        <v>80604</v>
      </c>
      <c r="AU32" s="122">
        <v>26853</v>
      </c>
      <c r="AV32" s="128">
        <f t="shared" si="23"/>
        <v>28106.543581985974</v>
      </c>
      <c r="AW32" s="128">
        <v>64953.191734226748</v>
      </c>
      <c r="AX32" s="122">
        <f t="shared" si="16"/>
        <v>93059.735316212726</v>
      </c>
      <c r="AY32" s="122">
        <f t="shared" si="22"/>
        <v>-24071.872984462047</v>
      </c>
      <c r="AZ32" s="122">
        <f t="shared" si="17"/>
        <v>68987.862331750686</v>
      </c>
    </row>
    <row r="33" spans="1:52" x14ac:dyDescent="0.25">
      <c r="A33" s="117" t="s">
        <v>44</v>
      </c>
      <c r="B33" s="117">
        <v>6751</v>
      </c>
      <c r="C33" s="118">
        <v>551</v>
      </c>
      <c r="D33" s="119">
        <v>1288.1646304945082</v>
      </c>
      <c r="E33" s="119">
        <f t="shared" si="18"/>
        <v>6491.0427753178701</v>
      </c>
      <c r="F33" s="119">
        <f t="shared" si="7"/>
        <v>20040.161947705517</v>
      </c>
      <c r="G33" s="120">
        <f t="shared" si="8"/>
        <v>26531.204723023387</v>
      </c>
      <c r="H33" s="121">
        <f t="shared" si="1"/>
        <v>1288.1646304945082</v>
      </c>
      <c r="I33" s="122">
        <f t="shared" si="9"/>
        <v>1566.2958071710741</v>
      </c>
      <c r="J33" s="123">
        <f t="shared" si="19"/>
        <v>3272.9454245766619</v>
      </c>
      <c r="K33" s="123">
        <f t="shared" si="24"/>
        <v>3272.9454245766619</v>
      </c>
      <c r="L33" s="123">
        <f t="shared" si="24"/>
        <v>439.51169683765522</v>
      </c>
      <c r="M33" s="124">
        <f t="shared" si="24"/>
        <v>439.51169683765522</v>
      </c>
      <c r="N33" s="123">
        <f t="shared" si="25"/>
        <v>14862.249664865742</v>
      </c>
      <c r="O33" s="123">
        <f t="shared" si="25"/>
        <v>10043.085627366569</v>
      </c>
      <c r="P33" s="123">
        <f t="shared" si="25"/>
        <v>18031.298610264788</v>
      </c>
      <c r="Q33" s="124">
        <f t="shared" si="25"/>
        <v>4308.709428443758</v>
      </c>
      <c r="R33" s="125">
        <f t="shared" si="12"/>
        <v>18135.195089442404</v>
      </c>
      <c r="S33" s="125">
        <f t="shared" si="12"/>
        <v>13316.031051943231</v>
      </c>
      <c r="T33" s="125">
        <f t="shared" si="12"/>
        <v>18470.810307102445</v>
      </c>
      <c r="U33" s="125">
        <f t="shared" si="12"/>
        <v>4748.2211252814132</v>
      </c>
      <c r="V33" s="126"/>
      <c r="W33" s="127"/>
      <c r="X33" s="126"/>
      <c r="Y33" s="126">
        <f t="shared" si="27"/>
        <v>-2945.6508821189959</v>
      </c>
      <c r="Z33" s="126">
        <f t="shared" si="27"/>
        <v>-2945.6508821189959</v>
      </c>
      <c r="AA33" s="126">
        <f t="shared" si="27"/>
        <v>-395.56052715388972</v>
      </c>
      <c r="AB33" s="127">
        <f t="shared" si="27"/>
        <v>-395.56052715388972</v>
      </c>
      <c r="AC33" s="126">
        <f t="shared" si="26"/>
        <v>-13376.024698379168</v>
      </c>
      <c r="AD33" s="126">
        <f t="shared" si="26"/>
        <v>-9038.7770646299123</v>
      </c>
      <c r="AE33" s="126">
        <f t="shared" si="26"/>
        <v>-16228.168749238312</v>
      </c>
      <c r="AF33" s="127">
        <f t="shared" si="26"/>
        <v>-3877.8384855993822</v>
      </c>
      <c r="AG33" s="122">
        <f t="shared" si="14"/>
        <v>-16321.675580498164</v>
      </c>
      <c r="AH33" s="122">
        <f t="shared" si="14"/>
        <v>-11984.427946748909</v>
      </c>
      <c r="AI33" s="122">
        <f t="shared" si="14"/>
        <v>-16623.729276392201</v>
      </c>
      <c r="AJ33" s="122">
        <f t="shared" si="14"/>
        <v>-4273.3990127532716</v>
      </c>
      <c r="AK33" s="122">
        <f t="shared" si="15"/>
        <v>-16321.675580498164</v>
      </c>
      <c r="AL33" s="122">
        <f t="shared" si="15"/>
        <v>-11984.427946748909</v>
      </c>
      <c r="AM33" s="122">
        <f t="shared" si="21"/>
        <v>-16623.729276392201</v>
      </c>
      <c r="AN33" s="122">
        <f t="shared" si="21"/>
        <v>-4273.3990127532716</v>
      </c>
      <c r="AO33" s="122">
        <f t="shared" si="6"/>
        <v>1813.5195089442404</v>
      </c>
      <c r="AP33" s="122">
        <f t="shared" si="6"/>
        <v>1331.6031051943228</v>
      </c>
      <c r="AQ33" s="122">
        <f t="shared" si="6"/>
        <v>1847.0810307102438</v>
      </c>
      <c r="AR33" s="122">
        <f t="shared" si="6"/>
        <v>474.82211252814159</v>
      </c>
      <c r="AS33" s="122"/>
      <c r="AT33" s="122">
        <v>59816</v>
      </c>
      <c r="AU33" s="122">
        <v>17807</v>
      </c>
      <c r="AV33" s="128">
        <f t="shared" si="23"/>
        <v>18638.260960206466</v>
      </c>
      <c r="AW33" s="128">
        <v>50764.05334901921</v>
      </c>
      <c r="AX33" s="122">
        <f t="shared" si="16"/>
        <v>69402.31430922568</v>
      </c>
      <c r="AY33" s="122">
        <f t="shared" si="22"/>
        <v>-16321.675580498164</v>
      </c>
      <c r="AZ33" s="122">
        <f t="shared" si="17"/>
        <v>53080.638728727514</v>
      </c>
    </row>
    <row r="34" spans="1:52" x14ac:dyDescent="0.25">
      <c r="A34" s="117" t="s">
        <v>46</v>
      </c>
      <c r="B34" s="117">
        <v>6753</v>
      </c>
      <c r="C34" s="118">
        <v>511</v>
      </c>
      <c r="D34" s="119">
        <v>2559.3326880711802</v>
      </c>
      <c r="E34" s="119">
        <f t="shared" si="18"/>
        <v>6019.8236990697487</v>
      </c>
      <c r="F34" s="119">
        <f t="shared" si="7"/>
        <v>18585.340753679706</v>
      </c>
      <c r="G34" s="120">
        <f t="shared" si="8"/>
        <v>24605.164452749454</v>
      </c>
      <c r="H34" s="121">
        <f t="shared" si="1"/>
        <v>2559.3326880711802</v>
      </c>
      <c r="I34" s="122">
        <f t="shared" si="9"/>
        <v>3111.9252645082261</v>
      </c>
      <c r="J34" s="123">
        <f t="shared" si="19"/>
        <v>6502.7062636989313</v>
      </c>
      <c r="K34" s="123">
        <f t="shared" si="24"/>
        <v>6502.7062636989313</v>
      </c>
      <c r="L34" s="123">
        <f t="shared" si="24"/>
        <v>873.22429593057939</v>
      </c>
      <c r="M34" s="124">
        <f t="shared" si="24"/>
        <v>873.22429593057939</v>
      </c>
      <c r="N34" s="123">
        <f t="shared" si="25"/>
        <v>13783.320469594182</v>
      </c>
      <c r="O34" s="123">
        <f t="shared" si="25"/>
        <v>9314.0050010604664</v>
      </c>
      <c r="P34" s="123">
        <f t="shared" si="25"/>
        <v>16722.311415327236</v>
      </c>
      <c r="Q34" s="124">
        <f t="shared" si="25"/>
        <v>3995.9174554169881</v>
      </c>
      <c r="R34" s="125">
        <f t="shared" si="12"/>
        <v>20286.026733293114</v>
      </c>
      <c r="S34" s="125">
        <f t="shared" si="12"/>
        <v>15816.711264759397</v>
      </c>
      <c r="T34" s="125">
        <f t="shared" si="12"/>
        <v>17595.535711257817</v>
      </c>
      <c r="U34" s="125">
        <f t="shared" si="12"/>
        <v>4869.1417513475672</v>
      </c>
      <c r="V34" s="126"/>
      <c r="W34" s="127"/>
      <c r="X34" s="126"/>
      <c r="Y34" s="126">
        <f t="shared" si="27"/>
        <v>-5852.4356373290384</v>
      </c>
      <c r="Z34" s="126">
        <f t="shared" si="27"/>
        <v>-5852.4356373290384</v>
      </c>
      <c r="AA34" s="126">
        <f t="shared" si="27"/>
        <v>-785.90186633752137</v>
      </c>
      <c r="AB34" s="127">
        <f t="shared" si="27"/>
        <v>-785.90186633752137</v>
      </c>
      <c r="AC34" s="126">
        <f t="shared" si="26"/>
        <v>-12404.988422634764</v>
      </c>
      <c r="AD34" s="126">
        <f t="shared" si="26"/>
        <v>-8382.6045009544196</v>
      </c>
      <c r="AE34" s="126">
        <f t="shared" si="26"/>
        <v>-15050.080273794514</v>
      </c>
      <c r="AF34" s="127">
        <f t="shared" si="26"/>
        <v>-3596.3257098752892</v>
      </c>
      <c r="AG34" s="122">
        <f t="shared" si="14"/>
        <v>-18257.424059963803</v>
      </c>
      <c r="AH34" s="122">
        <f t="shared" si="14"/>
        <v>-14235.040138283457</v>
      </c>
      <c r="AI34" s="122">
        <f t="shared" si="14"/>
        <v>-15835.982140132035</v>
      </c>
      <c r="AJ34" s="122">
        <f t="shared" si="14"/>
        <v>-4382.2275762128102</v>
      </c>
      <c r="AK34" s="122">
        <f t="shared" si="15"/>
        <v>-18257.424059963803</v>
      </c>
      <c r="AL34" s="122">
        <f t="shared" si="15"/>
        <v>-14235.040138283457</v>
      </c>
      <c r="AM34" s="122">
        <f t="shared" si="21"/>
        <v>-15835.982140132035</v>
      </c>
      <c r="AN34" s="122">
        <f t="shared" si="21"/>
        <v>-4382.2275762128102</v>
      </c>
      <c r="AO34" s="122">
        <f t="shared" si="6"/>
        <v>2028.6026733293111</v>
      </c>
      <c r="AP34" s="122">
        <f t="shared" si="6"/>
        <v>1581.6711264759397</v>
      </c>
      <c r="AQ34" s="122">
        <f t="shared" si="6"/>
        <v>1759.5535711257817</v>
      </c>
      <c r="AR34" s="122">
        <f t="shared" si="6"/>
        <v>486.91417513475699</v>
      </c>
      <c r="AS34" s="122"/>
      <c r="AT34" s="122">
        <v>71926</v>
      </c>
      <c r="AU34" s="122">
        <v>32966</v>
      </c>
      <c r="AV34" s="128">
        <f t="shared" si="23"/>
        <v>34504.908789474161</v>
      </c>
      <c r="AW34" s="128">
        <v>47079.614332114266</v>
      </c>
      <c r="AX34" s="122">
        <f t="shared" si="16"/>
        <v>81584.523121588427</v>
      </c>
      <c r="AY34" s="122">
        <f t="shared" si="22"/>
        <v>-18257.424059963803</v>
      </c>
      <c r="AZ34" s="122">
        <f t="shared" si="17"/>
        <v>63327.099061624627</v>
      </c>
    </row>
    <row r="35" spans="1:52" x14ac:dyDescent="0.25">
      <c r="A35" s="117" t="s">
        <v>47</v>
      </c>
      <c r="B35" s="117">
        <v>6754</v>
      </c>
      <c r="C35" s="118">
        <v>1903</v>
      </c>
      <c r="D35" s="119">
        <v>105605.4295756944</v>
      </c>
      <c r="E35" s="119">
        <f t="shared" si="18"/>
        <v>22418.247552504366</v>
      </c>
      <c r="F35" s="119">
        <f t="shared" si="7"/>
        <v>69213.118305777854</v>
      </c>
      <c r="G35" s="120">
        <f t="shared" si="8"/>
        <v>91631.365858282225</v>
      </c>
      <c r="H35" s="121">
        <f t="shared" si="1"/>
        <v>105605.4295756944</v>
      </c>
      <c r="I35" s="122">
        <f t="shared" si="9"/>
        <v>128406.98901615704</v>
      </c>
      <c r="J35" s="123">
        <f t="shared" si="19"/>
        <v>268320.3678768414</v>
      </c>
      <c r="K35" s="123">
        <f t="shared" si="24"/>
        <v>268320.3678768414</v>
      </c>
      <c r="L35" s="123">
        <f t="shared" si="24"/>
        <v>36031.746602346124</v>
      </c>
      <c r="M35" s="124">
        <f t="shared" si="24"/>
        <v>36031.746602346124</v>
      </c>
      <c r="N35" s="123">
        <f t="shared" si="25"/>
        <v>51330.056465044479</v>
      </c>
      <c r="O35" s="123">
        <f t="shared" si="25"/>
        <v>34686.010796512848</v>
      </c>
      <c r="P35" s="123">
        <f t="shared" si="25"/>
        <v>62275.065799154065</v>
      </c>
      <c r="Q35" s="124">
        <f t="shared" si="25"/>
        <v>14881.078116748589</v>
      </c>
      <c r="R35" s="125">
        <f t="shared" si="12"/>
        <v>319650.4243418859</v>
      </c>
      <c r="S35" s="125">
        <f t="shared" si="12"/>
        <v>303006.37867335422</v>
      </c>
      <c r="T35" s="125">
        <f t="shared" si="12"/>
        <v>98306.812401500181</v>
      </c>
      <c r="U35" s="125">
        <f t="shared" si="12"/>
        <v>50912.824719094715</v>
      </c>
      <c r="V35" s="126"/>
      <c r="W35" s="127"/>
      <c r="X35" s="126"/>
      <c r="Y35" s="126">
        <f t="shared" si="27"/>
        <v>-241488.33108915726</v>
      </c>
      <c r="Z35" s="126">
        <f t="shared" si="27"/>
        <v>-241488.33108915726</v>
      </c>
      <c r="AA35" s="126">
        <f t="shared" si="27"/>
        <v>-32428.571942111514</v>
      </c>
      <c r="AB35" s="127">
        <f t="shared" si="27"/>
        <v>-32428.571942111514</v>
      </c>
      <c r="AC35" s="126">
        <f t="shared" si="26"/>
        <v>-46197.050818540032</v>
      </c>
      <c r="AD35" s="126">
        <f t="shared" si="26"/>
        <v>-31217.409716861566</v>
      </c>
      <c r="AE35" s="126">
        <f t="shared" si="26"/>
        <v>-56047.559219238668</v>
      </c>
      <c r="AF35" s="127">
        <f t="shared" si="26"/>
        <v>-13392.97030507373</v>
      </c>
      <c r="AG35" s="122">
        <f t="shared" si="14"/>
        <v>-287685.3819076973</v>
      </c>
      <c r="AH35" s="122">
        <f t="shared" si="14"/>
        <v>-272705.74080601882</v>
      </c>
      <c r="AI35" s="122">
        <f t="shared" si="14"/>
        <v>-88476.131161350175</v>
      </c>
      <c r="AJ35" s="122">
        <f t="shared" si="14"/>
        <v>-45821.542247185243</v>
      </c>
      <c r="AK35" s="122">
        <f t="shared" si="15"/>
        <v>-287685.3819076973</v>
      </c>
      <c r="AL35" s="122">
        <f t="shared" si="15"/>
        <v>-272705.74080601882</v>
      </c>
      <c r="AM35" s="122">
        <f t="shared" si="21"/>
        <v>-88476.131161350175</v>
      </c>
      <c r="AN35" s="122">
        <f t="shared" si="21"/>
        <v>-45821.542247185243</v>
      </c>
      <c r="AO35" s="122">
        <f t="shared" si="6"/>
        <v>31965.042434188596</v>
      </c>
      <c r="AP35" s="122">
        <f t="shared" si="6"/>
        <v>30300.637867335405</v>
      </c>
      <c r="AQ35" s="122">
        <f t="shared" si="6"/>
        <v>9830.6812401500065</v>
      </c>
      <c r="AR35" s="122">
        <f t="shared" si="6"/>
        <v>5091.2824719094715</v>
      </c>
      <c r="AS35" s="122"/>
      <c r="AT35" s="122">
        <v>1116117</v>
      </c>
      <c r="AU35" s="122">
        <v>971029</v>
      </c>
      <c r="AV35" s="128">
        <f t="shared" si="23"/>
        <v>1016358.2805597981</v>
      </c>
      <c r="AW35" s="128">
        <v>175325.64384542595</v>
      </c>
      <c r="AX35" s="122">
        <f t="shared" si="16"/>
        <v>1191683.9244052242</v>
      </c>
      <c r="AY35" s="122">
        <f t="shared" si="22"/>
        <v>-287685.3819076973</v>
      </c>
      <c r="AZ35" s="122">
        <f t="shared" si="17"/>
        <v>903998.54249752685</v>
      </c>
    </row>
    <row r="36" spans="1:52" x14ac:dyDescent="0.25">
      <c r="A36" s="117" t="s">
        <v>48</v>
      </c>
      <c r="B36" s="117">
        <v>6757</v>
      </c>
      <c r="C36" s="118">
        <v>2573</v>
      </c>
      <c r="D36" s="119">
        <v>33312.004841876253</v>
      </c>
      <c r="E36" s="119">
        <f t="shared" si="18"/>
        <v>30311.167079660398</v>
      </c>
      <c r="F36" s="119">
        <f t="shared" si="7"/>
        <v>93581.373305710149</v>
      </c>
      <c r="G36" s="120">
        <f t="shared" si="8"/>
        <v>123892.54038537055</v>
      </c>
      <c r="H36" s="121">
        <f t="shared" si="1"/>
        <v>33312.004841876253</v>
      </c>
      <c r="I36" s="122">
        <f t="shared" si="9"/>
        <v>40504.49164425784</v>
      </c>
      <c r="J36" s="123">
        <f t="shared" si="19"/>
        <v>84638.540175443297</v>
      </c>
      <c r="K36" s="123">
        <f t="shared" si="24"/>
        <v>84638.540175443282</v>
      </c>
      <c r="L36" s="123">
        <f t="shared" si="24"/>
        <v>11365.795509768608</v>
      </c>
      <c r="M36" s="124">
        <f t="shared" si="24"/>
        <v>11365.795509768608</v>
      </c>
      <c r="N36" s="123">
        <f t="shared" si="25"/>
        <v>69402.120485843116</v>
      </c>
      <c r="O36" s="123">
        <f t="shared" si="25"/>
        <v>46898.111287140076</v>
      </c>
      <c r="P36" s="123">
        <f t="shared" si="25"/>
        <v>84200.601314358079</v>
      </c>
      <c r="Q36" s="124">
        <f t="shared" si="25"/>
        <v>20120.343664946988</v>
      </c>
      <c r="R36" s="125">
        <f t="shared" si="12"/>
        <v>154040.66066128641</v>
      </c>
      <c r="S36" s="125">
        <f t="shared" si="12"/>
        <v>131536.65146258337</v>
      </c>
      <c r="T36" s="125">
        <f t="shared" si="12"/>
        <v>95566.396824126685</v>
      </c>
      <c r="U36" s="125">
        <f t="shared" si="12"/>
        <v>31486.139174715594</v>
      </c>
      <c r="V36" s="126"/>
      <c r="W36" s="127"/>
      <c r="X36" s="126"/>
      <c r="Y36" s="126">
        <f t="shared" si="27"/>
        <v>-76174.686157898963</v>
      </c>
      <c r="Z36" s="126">
        <f t="shared" si="27"/>
        <v>-76174.686157898963</v>
      </c>
      <c r="AA36" s="126">
        <f t="shared" si="27"/>
        <v>-10229.215958791747</v>
      </c>
      <c r="AB36" s="127">
        <f t="shared" si="27"/>
        <v>-10229.215958791747</v>
      </c>
      <c r="AC36" s="126">
        <f t="shared" si="26"/>
        <v>-62461.908437258804</v>
      </c>
      <c r="AD36" s="126">
        <f t="shared" si="26"/>
        <v>-42208.300158426071</v>
      </c>
      <c r="AE36" s="126">
        <f t="shared" si="26"/>
        <v>-75780.541182922287</v>
      </c>
      <c r="AF36" s="127">
        <f t="shared" si="26"/>
        <v>-18108.309298452288</v>
      </c>
      <c r="AG36" s="122">
        <f t="shared" si="14"/>
        <v>-138636.59459515777</v>
      </c>
      <c r="AH36" s="122">
        <f t="shared" si="14"/>
        <v>-118382.98631632503</v>
      </c>
      <c r="AI36" s="122">
        <f t="shared" si="14"/>
        <v>-86009.757141714028</v>
      </c>
      <c r="AJ36" s="122">
        <f t="shared" si="14"/>
        <v>-28337.525257244037</v>
      </c>
      <c r="AK36" s="122">
        <f t="shared" si="15"/>
        <v>-138636.59459515777</v>
      </c>
      <c r="AL36" s="122">
        <f t="shared" si="15"/>
        <v>-118382.98631632503</v>
      </c>
      <c r="AM36" s="122">
        <f t="shared" si="21"/>
        <v>-86009.757141714028</v>
      </c>
      <c r="AN36" s="122">
        <f t="shared" si="21"/>
        <v>-28337.525257244037</v>
      </c>
      <c r="AO36" s="122">
        <f t="shared" si="6"/>
        <v>15404.066066128638</v>
      </c>
      <c r="AP36" s="122">
        <f t="shared" si="6"/>
        <v>13153.66514625834</v>
      </c>
      <c r="AQ36" s="122">
        <f t="shared" si="6"/>
        <v>9556.6396824126568</v>
      </c>
      <c r="AR36" s="122">
        <f t="shared" si="6"/>
        <v>3148.6139174715572</v>
      </c>
      <c r="AS36" s="122"/>
      <c r="AT36" s="122">
        <v>630935</v>
      </c>
      <c r="AU36" s="122">
        <v>434764</v>
      </c>
      <c r="AV36" s="128">
        <f t="shared" si="23"/>
        <v>455059.52086837782</v>
      </c>
      <c r="AW36" s="128">
        <v>237054.80038873685</v>
      </c>
      <c r="AX36" s="122">
        <f t="shared" si="16"/>
        <v>692114.32125711464</v>
      </c>
      <c r="AY36" s="122">
        <f t="shared" si="22"/>
        <v>-138636.59459515777</v>
      </c>
      <c r="AZ36" s="122">
        <f t="shared" si="17"/>
        <v>553477.72666195687</v>
      </c>
    </row>
    <row r="37" spans="1:52" x14ac:dyDescent="0.25">
      <c r="A37" s="117" t="s">
        <v>49</v>
      </c>
      <c r="B37" s="117">
        <v>6758</v>
      </c>
      <c r="C37" s="118">
        <v>228</v>
      </c>
      <c r="D37" s="119">
        <v>955.66824664652131</v>
      </c>
      <c r="E37" s="119">
        <f t="shared" si="18"/>
        <v>2685.948734614291</v>
      </c>
      <c r="F37" s="119">
        <f t="shared" si="7"/>
        <v>8292.4808059471106</v>
      </c>
      <c r="G37" s="120">
        <f t="shared" si="8"/>
        <v>10978.429540561401</v>
      </c>
      <c r="H37" s="121">
        <f t="shared" si="1"/>
        <v>955.66824664652131</v>
      </c>
      <c r="I37" s="122">
        <f t="shared" si="9"/>
        <v>1162.0092124361115</v>
      </c>
      <c r="J37" s="123">
        <f t="shared" si="19"/>
        <v>2428.1446184981769</v>
      </c>
      <c r="K37" s="123">
        <f t="shared" si="24"/>
        <v>2428.1446184981769</v>
      </c>
      <c r="L37" s="123">
        <f t="shared" si="24"/>
        <v>326.06653121366702</v>
      </c>
      <c r="M37" s="124">
        <f t="shared" si="24"/>
        <v>326.06653121366702</v>
      </c>
      <c r="N37" s="123">
        <f t="shared" si="25"/>
        <v>6149.8964130478935</v>
      </c>
      <c r="O37" s="123">
        <f t="shared" si="25"/>
        <v>4155.7595699447875</v>
      </c>
      <c r="P37" s="123">
        <f t="shared" si="25"/>
        <v>7461.2270111440503</v>
      </c>
      <c r="Q37" s="124">
        <f t="shared" si="25"/>
        <v>1782.9142462525897</v>
      </c>
      <c r="R37" s="125">
        <f t="shared" si="12"/>
        <v>8578.0410315460704</v>
      </c>
      <c r="S37" s="125">
        <f t="shared" si="12"/>
        <v>6583.9041884429644</v>
      </c>
      <c r="T37" s="125">
        <f t="shared" si="12"/>
        <v>7787.2935423577173</v>
      </c>
      <c r="U37" s="125">
        <f t="shared" si="12"/>
        <v>2108.9807774662568</v>
      </c>
      <c r="V37" s="126"/>
      <c r="W37" s="127"/>
      <c r="X37" s="126"/>
      <c r="Y37" s="126">
        <f t="shared" si="27"/>
        <v>-2185.3301566483592</v>
      </c>
      <c r="Z37" s="126">
        <f t="shared" si="27"/>
        <v>-2185.3301566483592</v>
      </c>
      <c r="AA37" s="126">
        <f t="shared" si="27"/>
        <v>-293.4598780923003</v>
      </c>
      <c r="AB37" s="127">
        <f t="shared" si="27"/>
        <v>-293.4598780923003</v>
      </c>
      <c r="AC37" s="126">
        <f t="shared" si="26"/>
        <v>-5534.9067717431044</v>
      </c>
      <c r="AD37" s="126">
        <f t="shared" si="26"/>
        <v>-3740.1836129503085</v>
      </c>
      <c r="AE37" s="126">
        <f t="shared" si="26"/>
        <v>-6715.1043100296465</v>
      </c>
      <c r="AF37" s="127">
        <f t="shared" si="26"/>
        <v>-1604.6228216273307</v>
      </c>
      <c r="AG37" s="122">
        <f t="shared" si="14"/>
        <v>-7720.2369283914632</v>
      </c>
      <c r="AH37" s="122">
        <f t="shared" si="14"/>
        <v>-5925.5137695986677</v>
      </c>
      <c r="AI37" s="122">
        <f t="shared" si="14"/>
        <v>-7008.5641881219472</v>
      </c>
      <c r="AJ37" s="122">
        <f t="shared" si="14"/>
        <v>-1898.0826997196309</v>
      </c>
      <c r="AK37" s="122">
        <f t="shared" si="15"/>
        <v>-7720.2369283914632</v>
      </c>
      <c r="AL37" s="122">
        <f t="shared" si="15"/>
        <v>-5925.5137695986677</v>
      </c>
      <c r="AM37" s="122">
        <f t="shared" si="21"/>
        <v>-7008.5641881219472</v>
      </c>
      <c r="AN37" s="122">
        <f t="shared" si="21"/>
        <v>-1898.0826997196309</v>
      </c>
      <c r="AO37" s="122">
        <f t="shared" si="6"/>
        <v>857.80410315460722</v>
      </c>
      <c r="AP37" s="122">
        <f t="shared" si="6"/>
        <v>658.39041884429662</v>
      </c>
      <c r="AQ37" s="122">
        <f t="shared" si="6"/>
        <v>778.72935423577019</v>
      </c>
      <c r="AR37" s="122">
        <f t="shared" si="6"/>
        <v>210.89807774662586</v>
      </c>
      <c r="AS37" s="122"/>
      <c r="AT37" s="122">
        <v>20123</v>
      </c>
      <c r="AU37" s="122">
        <v>2740</v>
      </c>
      <c r="AV37" s="128">
        <f t="shared" si="23"/>
        <v>2867.9078469683673</v>
      </c>
      <c r="AW37" s="128">
        <v>21005.773509628911</v>
      </c>
      <c r="AX37" s="122">
        <f t="shared" si="16"/>
        <v>23873.681356597277</v>
      </c>
      <c r="AY37" s="122">
        <f t="shared" si="22"/>
        <v>-7720.2369283914632</v>
      </c>
      <c r="AZ37" s="122">
        <f t="shared" si="17"/>
        <v>16153.444428205814</v>
      </c>
    </row>
    <row r="38" spans="1:52" x14ac:dyDescent="0.25">
      <c r="A38" s="117" t="s">
        <v>50</v>
      </c>
      <c r="B38" s="117">
        <v>6759</v>
      </c>
      <c r="C38" s="118">
        <v>118</v>
      </c>
      <c r="D38" s="119">
        <v>81.156042482790014</v>
      </c>
      <c r="E38" s="119">
        <f t="shared" si="18"/>
        <v>1390.0962749319576</v>
      </c>
      <c r="F38" s="119">
        <f t="shared" si="7"/>
        <v>4291.7225223761361</v>
      </c>
      <c r="G38" s="120">
        <f t="shared" si="8"/>
        <v>5681.818797308094</v>
      </c>
      <c r="H38" s="121">
        <f t="shared" si="1"/>
        <v>81.156042482790014</v>
      </c>
      <c r="I38" s="122">
        <f t="shared" si="9"/>
        <v>98.678667352164567</v>
      </c>
      <c r="J38" s="123">
        <f t="shared" si="19"/>
        <v>206.19980678931486</v>
      </c>
      <c r="K38" s="123">
        <f t="shared" si="24"/>
        <v>206.19980678931486</v>
      </c>
      <c r="L38" s="123">
        <f t="shared" si="24"/>
        <v>27.689806951575001</v>
      </c>
      <c r="M38" s="124">
        <f t="shared" si="24"/>
        <v>27.689806951575001</v>
      </c>
      <c r="N38" s="123">
        <f t="shared" si="25"/>
        <v>3182.8411260511029</v>
      </c>
      <c r="O38" s="123">
        <f t="shared" si="25"/>
        <v>2150.7878476030041</v>
      </c>
      <c r="P38" s="123">
        <f t="shared" si="25"/>
        <v>3861.5122250657805</v>
      </c>
      <c r="Q38" s="124">
        <f t="shared" si="25"/>
        <v>922.73632042897191</v>
      </c>
      <c r="R38" s="125">
        <f t="shared" si="12"/>
        <v>3389.040932840418</v>
      </c>
      <c r="S38" s="125">
        <f t="shared" si="12"/>
        <v>2356.9876543923192</v>
      </c>
      <c r="T38" s="125">
        <f t="shared" si="12"/>
        <v>3889.2020320173556</v>
      </c>
      <c r="U38" s="125">
        <f t="shared" si="12"/>
        <v>950.42612738054686</v>
      </c>
      <c r="V38" s="126"/>
      <c r="W38" s="127"/>
      <c r="X38" s="126"/>
      <c r="Y38" s="126">
        <f t="shared" si="27"/>
        <v>-185.57982611038338</v>
      </c>
      <c r="Z38" s="126">
        <f t="shared" si="27"/>
        <v>-185.57982611038338</v>
      </c>
      <c r="AA38" s="126">
        <f t="shared" si="27"/>
        <v>-24.920826256417499</v>
      </c>
      <c r="AB38" s="127">
        <f t="shared" si="27"/>
        <v>-24.920826256417499</v>
      </c>
      <c r="AC38" s="126">
        <f t="shared" si="26"/>
        <v>-2864.5570134459927</v>
      </c>
      <c r="AD38" s="126">
        <f t="shared" si="26"/>
        <v>-1935.7090628427036</v>
      </c>
      <c r="AE38" s="126">
        <f t="shared" si="26"/>
        <v>-3475.3610025592029</v>
      </c>
      <c r="AF38" s="127">
        <f t="shared" si="26"/>
        <v>-830.46268838607466</v>
      </c>
      <c r="AG38" s="122">
        <f t="shared" si="14"/>
        <v>-3050.1368395563759</v>
      </c>
      <c r="AH38" s="122">
        <f t="shared" si="14"/>
        <v>-2121.2888889530868</v>
      </c>
      <c r="AI38" s="122">
        <f t="shared" si="14"/>
        <v>-3500.2818288156204</v>
      </c>
      <c r="AJ38" s="122">
        <f t="shared" si="14"/>
        <v>-855.38351464249217</v>
      </c>
      <c r="AK38" s="122">
        <f t="shared" si="15"/>
        <v>-3050.1368395563759</v>
      </c>
      <c r="AL38" s="122">
        <f t="shared" si="15"/>
        <v>-2121.2888889530868</v>
      </c>
      <c r="AM38" s="122">
        <f t="shared" si="21"/>
        <v>-3500.2818288156204</v>
      </c>
      <c r="AN38" s="122">
        <f t="shared" si="21"/>
        <v>-855.38351464249217</v>
      </c>
      <c r="AO38" s="122">
        <f t="shared" si="6"/>
        <v>338.90409328404212</v>
      </c>
      <c r="AP38" s="122">
        <f t="shared" si="6"/>
        <v>235.69876543923237</v>
      </c>
      <c r="AQ38" s="122">
        <f t="shared" si="6"/>
        <v>388.92020320173515</v>
      </c>
      <c r="AR38" s="122">
        <f t="shared" si="6"/>
        <v>95.042612738054686</v>
      </c>
      <c r="AS38" s="122"/>
      <c r="AT38" s="122">
        <v>11715</v>
      </c>
      <c r="AU38" s="122">
        <v>2718</v>
      </c>
      <c r="AV38" s="128">
        <f t="shared" si="23"/>
        <v>2844.8808496569422</v>
      </c>
      <c r="AW38" s="128">
        <v>10872.055701900208</v>
      </c>
      <c r="AX38" s="122">
        <f t="shared" si="16"/>
        <v>13716.93655155715</v>
      </c>
      <c r="AY38" s="122">
        <f t="shared" si="22"/>
        <v>-3050.1368395563759</v>
      </c>
      <c r="AZ38" s="122">
        <f t="shared" si="17"/>
        <v>10666.799712000775</v>
      </c>
    </row>
    <row r="39" spans="1:52" x14ac:dyDescent="0.25">
      <c r="A39" s="117" t="s">
        <v>3</v>
      </c>
      <c r="B39" s="117">
        <v>6771</v>
      </c>
      <c r="C39" s="118">
        <v>1882</v>
      </c>
      <c r="D39" s="119">
        <v>24548.700764519512</v>
      </c>
      <c r="E39" s="119">
        <f t="shared" si="18"/>
        <v>22170.857537474105</v>
      </c>
      <c r="F39" s="119">
        <f t="shared" si="7"/>
        <v>68449.337178914298</v>
      </c>
      <c r="G39" s="120">
        <f t="shared" si="8"/>
        <v>90620.194716388403</v>
      </c>
      <c r="H39" s="121">
        <f t="shared" si="1"/>
        <v>24548.700764519512</v>
      </c>
      <c r="I39" s="122">
        <f t="shared" si="9"/>
        <v>29849.078424241194</v>
      </c>
      <c r="J39" s="123">
        <f t="shared" si="19"/>
        <v>62372.895470427437</v>
      </c>
      <c r="K39" s="123">
        <f t="shared" si="24"/>
        <v>62372.895470427437</v>
      </c>
      <c r="L39" s="123">
        <f t="shared" si="24"/>
        <v>8375.8246987668808</v>
      </c>
      <c r="M39" s="124">
        <f t="shared" si="24"/>
        <v>8375.8246987668808</v>
      </c>
      <c r="N39" s="123">
        <f t="shared" si="25"/>
        <v>50763.61863752691</v>
      </c>
      <c r="O39" s="123">
        <f t="shared" si="25"/>
        <v>34303.243467702145</v>
      </c>
      <c r="P39" s="123">
        <f t="shared" si="25"/>
        <v>61587.847521811855</v>
      </c>
      <c r="Q39" s="124">
        <f t="shared" si="25"/>
        <v>14716.862330909535</v>
      </c>
      <c r="R39" s="125">
        <f t="shared" si="12"/>
        <v>113136.51410795434</v>
      </c>
      <c r="S39" s="125">
        <f t="shared" si="12"/>
        <v>96676.138938129588</v>
      </c>
      <c r="T39" s="125">
        <f t="shared" si="12"/>
        <v>69963.672220578737</v>
      </c>
      <c r="U39" s="125">
        <f t="shared" si="12"/>
        <v>23092.687029676417</v>
      </c>
      <c r="V39" s="126"/>
      <c r="W39" s="127"/>
      <c r="X39" s="126"/>
      <c r="Y39" s="126">
        <f t="shared" si="27"/>
        <v>-56135.60592338469</v>
      </c>
      <c r="Z39" s="126">
        <f t="shared" si="27"/>
        <v>-56135.60592338469</v>
      </c>
      <c r="AA39" s="126">
        <f t="shared" si="27"/>
        <v>-7538.2422288901935</v>
      </c>
      <c r="AB39" s="127">
        <f t="shared" si="27"/>
        <v>-7538.2422288901935</v>
      </c>
      <c r="AC39" s="126">
        <f t="shared" si="26"/>
        <v>-45687.256773774221</v>
      </c>
      <c r="AD39" s="126">
        <f t="shared" si="26"/>
        <v>-30872.919120931932</v>
      </c>
      <c r="AE39" s="126">
        <f t="shared" si="26"/>
        <v>-55429.062769630676</v>
      </c>
      <c r="AF39" s="127">
        <f t="shared" si="26"/>
        <v>-13245.176097818579</v>
      </c>
      <c r="AG39" s="122">
        <f t="shared" si="14"/>
        <v>-101822.86269715891</v>
      </c>
      <c r="AH39" s="122">
        <f t="shared" si="14"/>
        <v>-87008.52504431663</v>
      </c>
      <c r="AI39" s="122">
        <f t="shared" si="14"/>
        <v>-62967.304998520871</v>
      </c>
      <c r="AJ39" s="122">
        <f t="shared" si="14"/>
        <v>-20783.418326708772</v>
      </c>
      <c r="AK39" s="122">
        <f t="shared" si="15"/>
        <v>-101822.86269715891</v>
      </c>
      <c r="AL39" s="122">
        <f t="shared" si="15"/>
        <v>-87008.52504431663</v>
      </c>
      <c r="AM39" s="122">
        <f t="shared" si="21"/>
        <v>-62967.304998520871</v>
      </c>
      <c r="AN39" s="122">
        <f t="shared" si="21"/>
        <v>-20783.418326708772</v>
      </c>
      <c r="AO39" s="122">
        <f t="shared" ref="AO39:AR59" si="28">AK39+R39</f>
        <v>11313.651410795428</v>
      </c>
      <c r="AP39" s="122">
        <f t="shared" si="28"/>
        <v>9667.6138938129588</v>
      </c>
      <c r="AQ39" s="122">
        <f t="shared" si="28"/>
        <v>6996.3672220578665</v>
      </c>
      <c r="AR39" s="122">
        <f t="shared" si="28"/>
        <v>2309.2687029676454</v>
      </c>
      <c r="AS39" s="122"/>
      <c r="AT39" s="122">
        <v>763014</v>
      </c>
      <c r="AU39" s="122">
        <v>619527</v>
      </c>
      <c r="AV39" s="128">
        <f t="shared" si="23"/>
        <v>648447.57106159558</v>
      </c>
      <c r="AW39" s="128">
        <v>173390.98104907802</v>
      </c>
      <c r="AX39" s="122">
        <f t="shared" si="16"/>
        <v>821838.55211067363</v>
      </c>
      <c r="AY39" s="122">
        <f t="shared" si="22"/>
        <v>-101822.86269715891</v>
      </c>
      <c r="AZ39" s="122">
        <f t="shared" si="17"/>
        <v>720015.68941351469</v>
      </c>
    </row>
    <row r="40" spans="1:52" x14ac:dyDescent="0.25">
      <c r="A40" s="117" t="s">
        <v>45</v>
      </c>
      <c r="B40" s="117">
        <v>6810</v>
      </c>
      <c r="C40" s="118">
        <v>1112</v>
      </c>
      <c r="D40" s="119">
        <v>2228.5404070004829</v>
      </c>
      <c r="E40" s="119">
        <f t="shared" si="18"/>
        <v>13099.89031969777</v>
      </c>
      <c r="F40" s="119">
        <f t="shared" si="7"/>
        <v>40444.029193917486</v>
      </c>
      <c r="G40" s="120">
        <f t="shared" si="8"/>
        <v>53543.919513615256</v>
      </c>
      <c r="H40" s="121">
        <f t="shared" si="1"/>
        <v>2228.5404070004829</v>
      </c>
      <c r="I40" s="122">
        <f t="shared" si="9"/>
        <v>2709.7107100791932</v>
      </c>
      <c r="J40" s="123">
        <f t="shared" si="19"/>
        <v>5662.2352111751597</v>
      </c>
      <c r="K40" s="123">
        <f t="shared" si="24"/>
        <v>5662.2352111751588</v>
      </c>
      <c r="L40" s="123">
        <f t="shared" si="24"/>
        <v>760.36055684594953</v>
      </c>
      <c r="M40" s="124">
        <f t="shared" si="24"/>
        <v>760.36055684594953</v>
      </c>
      <c r="N40" s="123">
        <f t="shared" si="25"/>
        <v>29994.231628549376</v>
      </c>
      <c r="O40" s="123">
        <f t="shared" si="25"/>
        <v>20268.441411309665</v>
      </c>
      <c r="P40" s="123">
        <f t="shared" si="25"/>
        <v>36389.844019263961</v>
      </c>
      <c r="Q40" s="124">
        <f t="shared" si="25"/>
        <v>8695.6168501442098</v>
      </c>
      <c r="R40" s="125">
        <f t="shared" ref="R40:U59" si="29">J40+N40</f>
        <v>35656.466839724533</v>
      </c>
      <c r="S40" s="125">
        <f t="shared" si="29"/>
        <v>25930.676622484825</v>
      </c>
      <c r="T40" s="125">
        <f t="shared" si="29"/>
        <v>37150.204576109907</v>
      </c>
      <c r="U40" s="125">
        <f t="shared" si="29"/>
        <v>9455.9774069901596</v>
      </c>
      <c r="V40" s="126"/>
      <c r="W40" s="127"/>
      <c r="X40" s="126"/>
      <c r="Y40" s="126">
        <f t="shared" si="27"/>
        <v>-5096.0116900576431</v>
      </c>
      <c r="Z40" s="126">
        <f t="shared" si="27"/>
        <v>-5096.0116900576431</v>
      </c>
      <c r="AA40" s="126">
        <f t="shared" si="27"/>
        <v>-684.32450116135453</v>
      </c>
      <c r="AB40" s="127">
        <f t="shared" si="27"/>
        <v>-684.32450116135453</v>
      </c>
      <c r="AC40" s="126">
        <f t="shared" si="26"/>
        <v>-26994.808465694437</v>
      </c>
      <c r="AD40" s="126">
        <f t="shared" si="26"/>
        <v>-18241.5972701787</v>
      </c>
      <c r="AE40" s="126">
        <f t="shared" si="26"/>
        <v>-32750.859617337574</v>
      </c>
      <c r="AF40" s="127">
        <f t="shared" si="26"/>
        <v>-7826.0551651297883</v>
      </c>
      <c r="AG40" s="122">
        <f t="shared" ref="AG40:AJ59" si="30">Y40+AC40</f>
        <v>-32090.820155752081</v>
      </c>
      <c r="AH40" s="122">
        <f t="shared" si="30"/>
        <v>-23337.608960236343</v>
      </c>
      <c r="AI40" s="122">
        <f t="shared" si="30"/>
        <v>-33435.184118498932</v>
      </c>
      <c r="AJ40" s="122">
        <f t="shared" si="30"/>
        <v>-8510.3796662911427</v>
      </c>
      <c r="AK40" s="122">
        <f t="shared" ref="AK40:AL59" si="31">V40+AG40</f>
        <v>-32090.820155752081</v>
      </c>
      <c r="AL40" s="122">
        <f t="shared" si="31"/>
        <v>-23337.608960236343</v>
      </c>
      <c r="AM40" s="122">
        <f t="shared" si="21"/>
        <v>-33435.184118498932</v>
      </c>
      <c r="AN40" s="122">
        <f t="shared" si="21"/>
        <v>-8510.3796662911427</v>
      </c>
      <c r="AO40" s="122">
        <f t="shared" si="28"/>
        <v>3565.6466839724526</v>
      </c>
      <c r="AP40" s="122">
        <f t="shared" si="28"/>
        <v>2593.0676622484825</v>
      </c>
      <c r="AQ40" s="122">
        <f t="shared" si="28"/>
        <v>3715.0204576109754</v>
      </c>
      <c r="AR40" s="122">
        <f t="shared" si="28"/>
        <v>945.59774069901687</v>
      </c>
      <c r="AS40" s="122"/>
      <c r="AT40" s="122">
        <v>198461</v>
      </c>
      <c r="AU40" s="122">
        <v>113680</v>
      </c>
      <c r="AV40" s="128">
        <f t="shared" si="23"/>
        <v>118986.77519830804</v>
      </c>
      <c r="AW40" s="128">
        <v>102450.12275900872</v>
      </c>
      <c r="AX40" s="122">
        <f t="shared" si="16"/>
        <v>221436.89795731677</v>
      </c>
      <c r="AY40" s="122">
        <f t="shared" si="22"/>
        <v>-32090.820155752081</v>
      </c>
      <c r="AZ40" s="122">
        <f t="shared" si="17"/>
        <v>189346.07780156471</v>
      </c>
    </row>
    <row r="41" spans="1:52" x14ac:dyDescent="0.25">
      <c r="A41" s="117" t="s">
        <v>5</v>
      </c>
      <c r="B41" s="117">
        <v>6807</v>
      </c>
      <c r="C41" s="118">
        <v>1217</v>
      </c>
      <c r="D41" s="119">
        <v>2870.4944460617521</v>
      </c>
      <c r="E41" s="119">
        <f t="shared" si="18"/>
        <v>14336.840394849089</v>
      </c>
      <c r="F41" s="119">
        <f t="shared" si="7"/>
        <v>44262.934828235229</v>
      </c>
      <c r="G41" s="120">
        <f t="shared" si="8"/>
        <v>58599.775223084318</v>
      </c>
      <c r="H41" s="121">
        <f t="shared" si="1"/>
        <v>2870.4944460617521</v>
      </c>
      <c r="I41" s="122">
        <f t="shared" si="9"/>
        <v>3490.2708155000419</v>
      </c>
      <c r="J41" s="123">
        <f t="shared" si="19"/>
        <v>7293.3004377739626</v>
      </c>
      <c r="K41" s="123">
        <f t="shared" si="24"/>
        <v>7293.3004377739626</v>
      </c>
      <c r="L41" s="123">
        <f t="shared" si="24"/>
        <v>979.39025407594784</v>
      </c>
      <c r="M41" s="124">
        <f t="shared" si="24"/>
        <v>979.39025407594784</v>
      </c>
      <c r="N41" s="123">
        <f t="shared" si="25"/>
        <v>32826.42076613722</v>
      </c>
      <c r="O41" s="123">
        <f t="shared" si="25"/>
        <v>22182.278055363186</v>
      </c>
      <c r="P41" s="123">
        <f t="shared" si="25"/>
        <v>39825.93540597504</v>
      </c>
      <c r="Q41" s="124">
        <f t="shared" si="25"/>
        <v>9516.6957793394813</v>
      </c>
      <c r="R41" s="125">
        <f t="shared" si="29"/>
        <v>40119.721203911184</v>
      </c>
      <c r="S41" s="125">
        <f t="shared" si="29"/>
        <v>29475.578493137149</v>
      </c>
      <c r="T41" s="125">
        <f t="shared" si="29"/>
        <v>40805.325660050985</v>
      </c>
      <c r="U41" s="125">
        <f t="shared" si="29"/>
        <v>10496.086033415429</v>
      </c>
      <c r="V41" s="126"/>
      <c r="W41" s="127"/>
      <c r="X41" s="126"/>
      <c r="Y41" s="126">
        <f t="shared" si="27"/>
        <v>-6563.9703939965666</v>
      </c>
      <c r="Z41" s="126">
        <f t="shared" si="27"/>
        <v>-6563.9703939965666</v>
      </c>
      <c r="AA41" s="126">
        <f t="shared" si="27"/>
        <v>-881.45122866835311</v>
      </c>
      <c r="AB41" s="127">
        <f t="shared" si="27"/>
        <v>-881.45122866835311</v>
      </c>
      <c r="AC41" s="126">
        <f t="shared" si="26"/>
        <v>-29543.7786895235</v>
      </c>
      <c r="AD41" s="126">
        <f t="shared" si="26"/>
        <v>-19964.050249826865</v>
      </c>
      <c r="AE41" s="126">
        <f t="shared" si="26"/>
        <v>-35843.341865377544</v>
      </c>
      <c r="AF41" s="127">
        <f t="shared" si="26"/>
        <v>-8565.0262014055334</v>
      </c>
      <c r="AG41" s="122">
        <f t="shared" si="30"/>
        <v>-36107.749083520066</v>
      </c>
      <c r="AH41" s="122">
        <f t="shared" si="30"/>
        <v>-26528.020643823431</v>
      </c>
      <c r="AI41" s="122">
        <f t="shared" si="30"/>
        <v>-36724.793094045897</v>
      </c>
      <c r="AJ41" s="122">
        <f t="shared" si="30"/>
        <v>-9446.4774300738864</v>
      </c>
      <c r="AK41" s="122">
        <f t="shared" si="31"/>
        <v>-36107.749083520066</v>
      </c>
      <c r="AL41" s="122">
        <f t="shared" si="31"/>
        <v>-26528.020643823431</v>
      </c>
      <c r="AM41" s="122">
        <f t="shared" si="21"/>
        <v>-36724.793094045897</v>
      </c>
      <c r="AN41" s="122">
        <f t="shared" si="21"/>
        <v>-9446.4774300738864</v>
      </c>
      <c r="AO41" s="122">
        <f t="shared" si="28"/>
        <v>4011.9721203911176</v>
      </c>
      <c r="AP41" s="122">
        <f t="shared" si="28"/>
        <v>2947.5578493137182</v>
      </c>
      <c r="AQ41" s="122">
        <f t="shared" si="28"/>
        <v>4080.5325660050876</v>
      </c>
      <c r="AR41" s="122">
        <f t="shared" si="28"/>
        <v>1049.6086033415431</v>
      </c>
      <c r="AS41" s="122"/>
      <c r="AT41" s="122">
        <v>251983</v>
      </c>
      <c r="AU41" s="122">
        <v>159197</v>
      </c>
      <c r="AV41" s="128">
        <f>$AU41/$AU$7*$AV$7</f>
        <v>166628.58595395007</v>
      </c>
      <c r="AW41" s="128">
        <v>112123.43674074832</v>
      </c>
      <c r="AX41" s="122">
        <f t="shared" si="16"/>
        <v>278752.02269469842</v>
      </c>
      <c r="AY41" s="122">
        <f t="shared" si="22"/>
        <v>-36107.749083520066</v>
      </c>
      <c r="AZ41" s="122">
        <f t="shared" si="17"/>
        <v>242644.27361117836</v>
      </c>
    </row>
    <row r="42" spans="1:52" x14ac:dyDescent="0.25">
      <c r="A42" s="117" t="s">
        <v>152</v>
      </c>
      <c r="B42" s="117"/>
      <c r="C42" s="118"/>
      <c r="D42" s="119"/>
      <c r="E42" s="119"/>
      <c r="F42" s="119"/>
      <c r="G42" s="120"/>
      <c r="H42" s="121">
        <f>H43+H45</f>
        <v>18025.925086744359</v>
      </c>
      <c r="I42" s="122">
        <f t="shared" ref="I42:AZ42" si="32">I43+I45</f>
        <v>21917.952267412405</v>
      </c>
      <c r="J42" s="178">
        <f>J43+J45</f>
        <v>45799.944851593369</v>
      </c>
      <c r="K42" s="178">
        <f t="shared" si="32"/>
        <v>45799.944851593362</v>
      </c>
      <c r="L42" s="178">
        <f t="shared" si="32"/>
        <v>6150.3046539184161</v>
      </c>
      <c r="M42" s="179">
        <f t="shared" si="32"/>
        <v>6150.3046539184161</v>
      </c>
      <c r="N42" s="178">
        <f t="shared" si="32"/>
        <v>19987.163342405656</v>
      </c>
      <c r="O42" s="178">
        <f t="shared" si="32"/>
        <v>13506.218602320558</v>
      </c>
      <c r="P42" s="178">
        <f t="shared" si="32"/>
        <v>24248.987786218164</v>
      </c>
      <c r="Q42" s="179">
        <f t="shared" si="32"/>
        <v>5794.4713003209163</v>
      </c>
      <c r="R42" s="180">
        <f t="shared" si="32"/>
        <v>65787.108193999025</v>
      </c>
      <c r="S42" s="180">
        <f t="shared" si="32"/>
        <v>59306.16345391392</v>
      </c>
      <c r="T42" s="180">
        <f t="shared" si="32"/>
        <v>30399.292440136578</v>
      </c>
      <c r="U42" s="180">
        <f t="shared" si="32"/>
        <v>11944.775954239332</v>
      </c>
      <c r="V42" s="181"/>
      <c r="W42" s="182"/>
      <c r="X42" s="181"/>
      <c r="Y42" s="181">
        <f t="shared" si="32"/>
        <v>-41219.950366434023</v>
      </c>
      <c r="Z42" s="181">
        <f t="shared" si="32"/>
        <v>-41219.950366434023</v>
      </c>
      <c r="AA42" s="181">
        <f t="shared" si="32"/>
        <v>-5535.274188526575</v>
      </c>
      <c r="AB42" s="182">
        <f t="shared" si="32"/>
        <v>-5535.274188526575</v>
      </c>
      <c r="AC42" s="181">
        <f t="shared" si="32"/>
        <v>-17988.447008165091</v>
      </c>
      <c r="AD42" s="181">
        <f t="shared" si="32"/>
        <v>-12155.596742088503</v>
      </c>
      <c r="AE42" s="181">
        <f t="shared" si="32"/>
        <v>-21824.089007596351</v>
      </c>
      <c r="AF42" s="182">
        <f t="shared" si="32"/>
        <v>-5215.0241702888252</v>
      </c>
      <c r="AG42" s="183">
        <f t="shared" si="32"/>
        <v>-59208.397374599117</v>
      </c>
      <c r="AH42" s="183">
        <f t="shared" si="32"/>
        <v>-53375.547108522522</v>
      </c>
      <c r="AI42" s="183">
        <f t="shared" si="32"/>
        <v>-27359.363196122926</v>
      </c>
      <c r="AJ42" s="183">
        <f t="shared" si="32"/>
        <v>-10750.2983588154</v>
      </c>
      <c r="AK42" s="183">
        <f t="shared" si="32"/>
        <v>-59208.397374599117</v>
      </c>
      <c r="AL42" s="183">
        <f t="shared" si="32"/>
        <v>-53375.547108522522</v>
      </c>
      <c r="AM42" s="183">
        <f t="shared" si="32"/>
        <v>-27359.363196122926</v>
      </c>
      <c r="AN42" s="183">
        <f t="shared" si="32"/>
        <v>-10750.2983588154</v>
      </c>
      <c r="AO42" s="183">
        <f t="shared" si="32"/>
        <v>6578.7108193999065</v>
      </c>
      <c r="AP42" s="183">
        <f t="shared" si="32"/>
        <v>5930.6163453913914</v>
      </c>
      <c r="AQ42" s="183">
        <f t="shared" si="32"/>
        <v>3039.9292440136514</v>
      </c>
      <c r="AR42" s="183">
        <f t="shared" si="32"/>
        <v>1194.4775954239317</v>
      </c>
      <c r="AS42" s="183"/>
      <c r="AT42" s="183">
        <f t="shared" si="32"/>
        <v>261071</v>
      </c>
      <c r="AU42" s="183">
        <f t="shared" si="32"/>
        <v>204576</v>
      </c>
      <c r="AV42" s="184">
        <f>AV43+AV45</f>
        <v>214125.95463554771</v>
      </c>
      <c r="AW42" s="184">
        <f t="shared" si="32"/>
        <v>68269.06600854198</v>
      </c>
      <c r="AX42" s="183">
        <f t="shared" si="32"/>
        <v>282395.02064408967</v>
      </c>
      <c r="AY42" s="183">
        <f t="shared" si="32"/>
        <v>-59208.397374599117</v>
      </c>
      <c r="AZ42" s="183">
        <f t="shared" si="32"/>
        <v>223186.62326949058</v>
      </c>
    </row>
    <row r="43" spans="1:52" x14ac:dyDescent="0.25">
      <c r="A43" s="117" t="s">
        <v>7</v>
      </c>
      <c r="B43" s="117">
        <v>6773</v>
      </c>
      <c r="C43" s="118">
        <v>117</v>
      </c>
      <c r="D43" s="119">
        <v>3.3674552707744621</v>
      </c>
      <c r="E43" s="119">
        <f t="shared" si="18"/>
        <v>1378.3157980257547</v>
      </c>
      <c r="F43" s="119">
        <f t="shared" si="7"/>
        <v>4255.3519925254905</v>
      </c>
      <c r="G43" s="120">
        <f t="shared" si="8"/>
        <v>5633.6677905512452</v>
      </c>
      <c r="H43" s="121">
        <f t="shared" si="1"/>
        <v>3.3674552707744621</v>
      </c>
      <c r="I43" s="122">
        <f t="shared" si="9"/>
        <v>4.0945318219344324</v>
      </c>
      <c r="J43" s="123">
        <f t="shared" si="19"/>
        <v>8.5559695244208367</v>
      </c>
      <c r="K43" s="123">
        <f t="shared" si="24"/>
        <v>8.5559695244208367</v>
      </c>
      <c r="L43" s="123">
        <f t="shared" si="24"/>
        <v>1.1489494006017109</v>
      </c>
      <c r="M43" s="124">
        <f t="shared" si="24"/>
        <v>1.1489494006017109</v>
      </c>
      <c r="N43" s="123">
        <f t="shared" si="25"/>
        <v>3155.8678961693136</v>
      </c>
      <c r="O43" s="123">
        <f t="shared" si="25"/>
        <v>2132.5608319453513</v>
      </c>
      <c r="P43" s="123">
        <f t="shared" si="25"/>
        <v>3828.7875451923414</v>
      </c>
      <c r="Q43" s="124">
        <f t="shared" si="25"/>
        <v>914.91652110330256</v>
      </c>
      <c r="R43" s="125">
        <f t="shared" si="29"/>
        <v>3164.4238656937346</v>
      </c>
      <c r="S43" s="125">
        <f t="shared" si="29"/>
        <v>2141.1168014697723</v>
      </c>
      <c r="T43" s="125">
        <f t="shared" si="29"/>
        <v>3829.9364945929433</v>
      </c>
      <c r="U43" s="125">
        <f t="shared" si="29"/>
        <v>916.06547050390429</v>
      </c>
      <c r="V43" s="126"/>
      <c r="W43" s="127"/>
      <c r="X43" s="126"/>
      <c r="Y43" s="126">
        <f t="shared" si="27"/>
        <v>-7.700372571978753</v>
      </c>
      <c r="Z43" s="126">
        <f t="shared" si="27"/>
        <v>-7.700372571978753</v>
      </c>
      <c r="AA43" s="126">
        <f t="shared" si="27"/>
        <v>-1.0340544605415398</v>
      </c>
      <c r="AB43" s="127">
        <f t="shared" si="27"/>
        <v>-1.0340544605415398</v>
      </c>
      <c r="AC43" s="126">
        <f t="shared" si="26"/>
        <v>-2840.2811065523824</v>
      </c>
      <c r="AD43" s="126">
        <f t="shared" si="26"/>
        <v>-1919.3047487508163</v>
      </c>
      <c r="AE43" s="126">
        <f t="shared" si="26"/>
        <v>-3445.9087906731079</v>
      </c>
      <c r="AF43" s="127">
        <f t="shared" si="26"/>
        <v>-823.42486899297228</v>
      </c>
      <c r="AG43" s="122">
        <f t="shared" si="30"/>
        <v>-2847.9814791243612</v>
      </c>
      <c r="AH43" s="122">
        <f t="shared" si="30"/>
        <v>-1927.005121322795</v>
      </c>
      <c r="AI43" s="122">
        <f t="shared" si="30"/>
        <v>-3446.9428451336494</v>
      </c>
      <c r="AJ43" s="122">
        <f t="shared" si="30"/>
        <v>-824.45892345351376</v>
      </c>
      <c r="AK43" s="122">
        <f t="shared" si="31"/>
        <v>-2847.9814791243612</v>
      </c>
      <c r="AL43" s="122">
        <f t="shared" si="31"/>
        <v>-1927.005121322795</v>
      </c>
      <c r="AM43" s="122">
        <f t="shared" si="21"/>
        <v>-3446.9428451336494</v>
      </c>
      <c r="AN43" s="122">
        <f t="shared" si="21"/>
        <v>-824.45892345351376</v>
      </c>
      <c r="AO43" s="122">
        <f t="shared" si="28"/>
        <v>316.44238656937341</v>
      </c>
      <c r="AP43" s="122">
        <f t="shared" si="28"/>
        <v>214.11168014697728</v>
      </c>
      <c r="AQ43" s="122">
        <f t="shared" si="28"/>
        <v>382.99364945929392</v>
      </c>
      <c r="AR43" s="122">
        <f t="shared" si="28"/>
        <v>91.606547050390532</v>
      </c>
      <c r="AS43" s="122"/>
      <c r="AT43" s="122">
        <v>23698</v>
      </c>
      <c r="AU43" s="122">
        <v>14778</v>
      </c>
      <c r="AV43" s="128">
        <f t="shared" si="23"/>
        <v>15467.862103101654</v>
      </c>
      <c r="AW43" s="128">
        <v>10779.008209508709</v>
      </c>
      <c r="AX43" s="122">
        <f t="shared" si="16"/>
        <v>26246.870312610365</v>
      </c>
      <c r="AY43" s="122">
        <f t="shared" si="22"/>
        <v>-2847.9814791243612</v>
      </c>
      <c r="AZ43" s="122">
        <f t="shared" si="17"/>
        <v>23398.888833486002</v>
      </c>
    </row>
    <row r="44" spans="1:52" x14ac:dyDescent="0.25">
      <c r="A44" s="117" t="s">
        <v>11</v>
      </c>
      <c r="B44" s="117">
        <v>6774</v>
      </c>
      <c r="C44" s="118">
        <v>1205</v>
      </c>
      <c r="D44" s="119">
        <v>214713.21202609412</v>
      </c>
      <c r="E44" s="119">
        <f t="shared" si="18"/>
        <v>14195.474671974653</v>
      </c>
      <c r="F44" s="119">
        <f t="shared" si="7"/>
        <v>43826.488470027492</v>
      </c>
      <c r="G44" s="120">
        <f t="shared" si="8"/>
        <v>58021.963142002147</v>
      </c>
      <c r="H44" s="121">
        <f t="shared" si="1"/>
        <v>214713.21202609412</v>
      </c>
      <c r="I44" s="122">
        <f t="shared" si="9"/>
        <v>261072.53357173962</v>
      </c>
      <c r="J44" s="123">
        <f t="shared" si="19"/>
        <v>545539.4506734669</v>
      </c>
      <c r="K44" s="123">
        <f t="shared" si="24"/>
        <v>545539.4506734669</v>
      </c>
      <c r="L44" s="123">
        <f t="shared" si="24"/>
        <v>73258.468612684199</v>
      </c>
      <c r="M44" s="124">
        <f t="shared" si="24"/>
        <v>73258.468612684199</v>
      </c>
      <c r="N44" s="123">
        <f t="shared" si="25"/>
        <v>32502.742007555753</v>
      </c>
      <c r="O44" s="123">
        <f t="shared" si="25"/>
        <v>21963.553867471353</v>
      </c>
      <c r="P44" s="123">
        <f t="shared" si="25"/>
        <v>39433.239247493773</v>
      </c>
      <c r="Q44" s="124">
        <f t="shared" si="25"/>
        <v>9422.8581874314496</v>
      </c>
      <c r="R44" s="125">
        <f t="shared" si="29"/>
        <v>578042.19268102269</v>
      </c>
      <c r="S44" s="125">
        <f t="shared" si="29"/>
        <v>567503.0045409383</v>
      </c>
      <c r="T44" s="125">
        <f t="shared" si="29"/>
        <v>112691.70786017796</v>
      </c>
      <c r="U44" s="125">
        <f t="shared" si="29"/>
        <v>82681.326800115654</v>
      </c>
      <c r="V44" s="126"/>
      <c r="W44" s="127"/>
      <c r="X44" s="126"/>
      <c r="Y44" s="126">
        <f t="shared" si="27"/>
        <v>-490985.50560612022</v>
      </c>
      <c r="Z44" s="126">
        <f t="shared" si="27"/>
        <v>-490985.50560612022</v>
      </c>
      <c r="AA44" s="126">
        <f t="shared" si="27"/>
        <v>-65932.621751415776</v>
      </c>
      <c r="AB44" s="127">
        <f t="shared" si="27"/>
        <v>-65932.621751415776</v>
      </c>
      <c r="AC44" s="126">
        <f t="shared" si="26"/>
        <v>-29252.467806800178</v>
      </c>
      <c r="AD44" s="126">
        <f t="shared" si="26"/>
        <v>-19767.198480724219</v>
      </c>
      <c r="AE44" s="126">
        <f t="shared" si="26"/>
        <v>-35489.915322744404</v>
      </c>
      <c r="AF44" s="127">
        <f t="shared" si="26"/>
        <v>-8480.5723686883048</v>
      </c>
      <c r="AG44" s="122">
        <f t="shared" si="30"/>
        <v>-520237.97341292037</v>
      </c>
      <c r="AH44" s="122">
        <f t="shared" si="30"/>
        <v>-510752.70408684446</v>
      </c>
      <c r="AI44" s="122">
        <f t="shared" si="30"/>
        <v>-101422.53707416018</v>
      </c>
      <c r="AJ44" s="122">
        <f t="shared" si="30"/>
        <v>-74413.194120104075</v>
      </c>
      <c r="AK44" s="122">
        <f t="shared" si="31"/>
        <v>-520237.97341292037</v>
      </c>
      <c r="AL44" s="122">
        <f t="shared" si="31"/>
        <v>-510752.70408684446</v>
      </c>
      <c r="AM44" s="122">
        <f t="shared" si="21"/>
        <v>-101422.53707416018</v>
      </c>
      <c r="AN44" s="122">
        <f t="shared" si="21"/>
        <v>-74413.194120104075</v>
      </c>
      <c r="AO44" s="122">
        <f t="shared" si="28"/>
        <v>57804.219268102315</v>
      </c>
      <c r="AP44" s="122">
        <f t="shared" si="28"/>
        <v>56750.300454093842</v>
      </c>
      <c r="AQ44" s="122">
        <f t="shared" si="28"/>
        <v>11269.170786017785</v>
      </c>
      <c r="AR44" s="122">
        <f t="shared" si="28"/>
        <v>8268.1326800115785</v>
      </c>
      <c r="AS44" s="122"/>
      <c r="AT44" s="122">
        <v>1946596</v>
      </c>
      <c r="AU44" s="122">
        <v>1854724</v>
      </c>
      <c r="AV44" s="128">
        <f t="shared" si="23"/>
        <v>1941305.6618834154</v>
      </c>
      <c r="AW44" s="128">
        <v>111018.95092197131</v>
      </c>
      <c r="AX44" s="122">
        <f t="shared" si="16"/>
        <v>2052324.6128053868</v>
      </c>
      <c r="AY44" s="122">
        <f t="shared" si="22"/>
        <v>-520237.97341292037</v>
      </c>
      <c r="AZ44" s="122">
        <f t="shared" si="17"/>
        <v>1532086.6393924663</v>
      </c>
    </row>
    <row r="45" spans="1:52" x14ac:dyDescent="0.25">
      <c r="A45" s="117" t="s">
        <v>13</v>
      </c>
      <c r="B45" s="117">
        <v>6775</v>
      </c>
      <c r="C45" s="118">
        <v>624</v>
      </c>
      <c r="D45" s="119">
        <v>18022.557631473584</v>
      </c>
      <c r="E45" s="119">
        <f t="shared" si="18"/>
        <v>7351.0175894706917</v>
      </c>
      <c r="F45" s="119">
        <f t="shared" si="7"/>
        <v>22695.210626802618</v>
      </c>
      <c r="G45" s="120">
        <f t="shared" si="8"/>
        <v>30046.22821627331</v>
      </c>
      <c r="H45" s="121">
        <f t="shared" si="1"/>
        <v>18022.557631473584</v>
      </c>
      <c r="I45" s="122">
        <f t="shared" si="9"/>
        <v>21913.857735590471</v>
      </c>
      <c r="J45" s="123">
        <f t="shared" si="19"/>
        <v>45791.388882068946</v>
      </c>
      <c r="K45" s="123">
        <f t="shared" si="24"/>
        <v>45791.388882068939</v>
      </c>
      <c r="L45" s="123">
        <f t="shared" si="24"/>
        <v>6149.1557045178142</v>
      </c>
      <c r="M45" s="124">
        <f t="shared" si="24"/>
        <v>6149.1557045178142</v>
      </c>
      <c r="N45" s="123">
        <f t="shared" si="25"/>
        <v>16831.295446236341</v>
      </c>
      <c r="O45" s="123">
        <f t="shared" si="25"/>
        <v>11373.657770375206</v>
      </c>
      <c r="P45" s="123">
        <f t="shared" si="25"/>
        <v>20420.200241025821</v>
      </c>
      <c r="Q45" s="124">
        <f t="shared" si="25"/>
        <v>4879.5547792176139</v>
      </c>
      <c r="R45" s="125">
        <f t="shared" si="29"/>
        <v>62622.684328305288</v>
      </c>
      <c r="S45" s="125">
        <f t="shared" si="29"/>
        <v>57165.046652444144</v>
      </c>
      <c r="T45" s="125">
        <f t="shared" si="29"/>
        <v>26569.355945543633</v>
      </c>
      <c r="U45" s="125">
        <f t="shared" si="29"/>
        <v>11028.710483735427</v>
      </c>
      <c r="V45" s="126"/>
      <c r="W45" s="127"/>
      <c r="X45" s="126"/>
      <c r="Y45" s="126">
        <f t="shared" si="27"/>
        <v>-41212.249993862046</v>
      </c>
      <c r="Z45" s="126">
        <f t="shared" si="27"/>
        <v>-41212.249993862046</v>
      </c>
      <c r="AA45" s="126">
        <f t="shared" si="27"/>
        <v>-5534.2401340660335</v>
      </c>
      <c r="AB45" s="127">
        <f t="shared" si="27"/>
        <v>-5534.2401340660335</v>
      </c>
      <c r="AC45" s="126">
        <f t="shared" si="26"/>
        <v>-15148.165901612707</v>
      </c>
      <c r="AD45" s="126">
        <f t="shared" si="26"/>
        <v>-10236.291993337687</v>
      </c>
      <c r="AE45" s="126">
        <f t="shared" si="26"/>
        <v>-18378.180216923243</v>
      </c>
      <c r="AF45" s="127">
        <f t="shared" si="26"/>
        <v>-4391.5993012958525</v>
      </c>
      <c r="AG45" s="122">
        <f t="shared" si="30"/>
        <v>-56360.415895474755</v>
      </c>
      <c r="AH45" s="122">
        <f t="shared" si="30"/>
        <v>-51448.541987199729</v>
      </c>
      <c r="AI45" s="122">
        <f t="shared" si="30"/>
        <v>-23912.420350989276</v>
      </c>
      <c r="AJ45" s="122">
        <f t="shared" si="30"/>
        <v>-9925.839435361886</v>
      </c>
      <c r="AK45" s="122">
        <f t="shared" si="31"/>
        <v>-56360.415895474755</v>
      </c>
      <c r="AL45" s="122">
        <f t="shared" si="31"/>
        <v>-51448.541987199729</v>
      </c>
      <c r="AM45" s="122">
        <f t="shared" si="21"/>
        <v>-23912.420350989276</v>
      </c>
      <c r="AN45" s="122">
        <f t="shared" si="21"/>
        <v>-9925.839435361886</v>
      </c>
      <c r="AO45" s="122">
        <f t="shared" si="28"/>
        <v>6262.2684328305331</v>
      </c>
      <c r="AP45" s="122">
        <f t="shared" si="28"/>
        <v>5716.5046652444144</v>
      </c>
      <c r="AQ45" s="122">
        <f t="shared" si="28"/>
        <v>2656.9355945543575</v>
      </c>
      <c r="AR45" s="122">
        <f t="shared" si="28"/>
        <v>1102.8710483735413</v>
      </c>
      <c r="AS45" s="122"/>
      <c r="AT45" s="122">
        <v>237373</v>
      </c>
      <c r="AU45" s="122">
        <v>189798</v>
      </c>
      <c r="AV45" s="128">
        <f>$AU45/$AU$7*$AV$7</f>
        <v>198658.09253244605</v>
      </c>
      <c r="AW45" s="128">
        <v>57490.057799033275</v>
      </c>
      <c r="AX45" s="122">
        <f t="shared" si="16"/>
        <v>256148.15033147932</v>
      </c>
      <c r="AY45" s="122">
        <f t="shared" si="22"/>
        <v>-56360.415895474755</v>
      </c>
      <c r="AZ45" s="122">
        <f t="shared" si="17"/>
        <v>199787.73443600457</v>
      </c>
    </row>
    <row r="46" spans="1:52" x14ac:dyDescent="0.25">
      <c r="A46" s="117" t="s">
        <v>16</v>
      </c>
      <c r="B46" s="117">
        <v>6778</v>
      </c>
      <c r="C46" s="118">
        <v>631</v>
      </c>
      <c r="D46" s="119">
        <v>2391.4229959393292</v>
      </c>
      <c r="E46" s="119">
        <f t="shared" si="18"/>
        <v>7433.4809278141129</v>
      </c>
      <c r="F46" s="119">
        <f t="shared" si="7"/>
        <v>22949.804335757133</v>
      </c>
      <c r="G46" s="120">
        <f t="shared" si="8"/>
        <v>30383.285263571248</v>
      </c>
      <c r="H46" s="121">
        <f t="shared" si="1"/>
        <v>2391.4229959393292</v>
      </c>
      <c r="I46" s="122">
        <f t="shared" si="9"/>
        <v>2907.7617278424636</v>
      </c>
      <c r="J46" s="123">
        <f t="shared" si="19"/>
        <v>6076.0843509438446</v>
      </c>
      <c r="K46" s="123">
        <f t="shared" si="24"/>
        <v>6076.0843509438446</v>
      </c>
      <c r="L46" s="123">
        <f t="shared" si="24"/>
        <v>815.93482224271077</v>
      </c>
      <c r="M46" s="124">
        <f t="shared" si="24"/>
        <v>815.93482224271077</v>
      </c>
      <c r="N46" s="123">
        <f t="shared" si="25"/>
        <v>17020.108055408862</v>
      </c>
      <c r="O46" s="123">
        <f t="shared" si="25"/>
        <v>11501.246879978775</v>
      </c>
      <c r="P46" s="123">
        <f t="shared" si="25"/>
        <v>20649.273000139892</v>
      </c>
      <c r="Q46" s="124">
        <f t="shared" si="25"/>
        <v>4934.2933744972988</v>
      </c>
      <c r="R46" s="125">
        <f t="shared" si="29"/>
        <v>23096.192406352708</v>
      </c>
      <c r="S46" s="125">
        <f t="shared" si="29"/>
        <v>17577.33123092262</v>
      </c>
      <c r="T46" s="125">
        <f t="shared" si="29"/>
        <v>21465.207822382603</v>
      </c>
      <c r="U46" s="125">
        <f t="shared" si="29"/>
        <v>5750.2281967400095</v>
      </c>
      <c r="V46" s="126"/>
      <c r="W46" s="127"/>
      <c r="X46" s="126"/>
      <c r="Y46" s="126">
        <f t="shared" si="27"/>
        <v>-5468.4759158494599</v>
      </c>
      <c r="Z46" s="126">
        <f t="shared" si="27"/>
        <v>-5468.4759158494599</v>
      </c>
      <c r="AA46" s="126">
        <f t="shared" si="27"/>
        <v>-734.34134001843961</v>
      </c>
      <c r="AB46" s="127">
        <f t="shared" si="27"/>
        <v>-734.34134001843961</v>
      </c>
      <c r="AC46" s="126">
        <f t="shared" si="26"/>
        <v>-15318.097249867977</v>
      </c>
      <c r="AD46" s="126">
        <f t="shared" si="26"/>
        <v>-10351.122191980898</v>
      </c>
      <c r="AE46" s="126">
        <f t="shared" si="26"/>
        <v>-18584.345700125908</v>
      </c>
      <c r="AF46" s="127">
        <f t="shared" si="26"/>
        <v>-4440.8640370475687</v>
      </c>
      <c r="AG46" s="122">
        <f t="shared" si="30"/>
        <v>-20786.573165717436</v>
      </c>
      <c r="AH46" s="122">
        <f t="shared" si="30"/>
        <v>-15819.598107830358</v>
      </c>
      <c r="AI46" s="122">
        <f t="shared" si="30"/>
        <v>-19318.687040144348</v>
      </c>
      <c r="AJ46" s="122">
        <f t="shared" si="30"/>
        <v>-5175.2053770660086</v>
      </c>
      <c r="AK46" s="122">
        <f t="shared" si="31"/>
        <v>-20786.573165717436</v>
      </c>
      <c r="AL46" s="122">
        <f t="shared" si="31"/>
        <v>-15819.598107830358</v>
      </c>
      <c r="AM46" s="122">
        <f t="shared" si="21"/>
        <v>-19318.687040144348</v>
      </c>
      <c r="AN46" s="122">
        <f t="shared" si="21"/>
        <v>-5175.2053770660086</v>
      </c>
      <c r="AO46" s="122">
        <f t="shared" si="28"/>
        <v>2309.6192406352711</v>
      </c>
      <c r="AP46" s="122">
        <f t="shared" si="28"/>
        <v>1757.7331230922628</v>
      </c>
      <c r="AQ46" s="122">
        <f t="shared" si="28"/>
        <v>2146.5207822382545</v>
      </c>
      <c r="AR46" s="122">
        <f t="shared" si="28"/>
        <v>575.02281967400086</v>
      </c>
      <c r="AS46" s="122"/>
      <c r="AT46" s="122">
        <v>82940</v>
      </c>
      <c r="AU46" s="122">
        <v>34831</v>
      </c>
      <c r="AV46" s="128">
        <f t="shared" si="23"/>
        <v>36456.970152465401</v>
      </c>
      <c r="AW46" s="128">
        <v>58135.348200813278</v>
      </c>
      <c r="AX46" s="122">
        <f t="shared" si="16"/>
        <v>94592.318353278679</v>
      </c>
      <c r="AY46" s="122">
        <f t="shared" si="22"/>
        <v>-20786.573165717436</v>
      </c>
      <c r="AZ46" s="122">
        <f t="shared" si="17"/>
        <v>73805.745187561246</v>
      </c>
    </row>
    <row r="47" spans="1:52" x14ac:dyDescent="0.25">
      <c r="A47" s="117" t="s">
        <v>19</v>
      </c>
      <c r="B47" s="117">
        <v>6808</v>
      </c>
      <c r="C47" s="118">
        <v>1275</v>
      </c>
      <c r="D47" s="119">
        <v>3520.5800190276977</v>
      </c>
      <c r="E47" s="119">
        <f t="shared" si="18"/>
        <v>15020.108055408864</v>
      </c>
      <c r="F47" s="119">
        <f t="shared" si="7"/>
        <v>46372.425559572657</v>
      </c>
      <c r="G47" s="120">
        <f t="shared" si="8"/>
        <v>61392.533614981519</v>
      </c>
      <c r="H47" s="121">
        <f t="shared" si="1"/>
        <v>3520.5800190276977</v>
      </c>
      <c r="I47" s="122">
        <f t="shared" si="9"/>
        <v>4280.7181567285334</v>
      </c>
      <c r="J47" s="123">
        <f t="shared" si="19"/>
        <v>8945.0261188349286</v>
      </c>
      <c r="K47" s="123">
        <f t="shared" si="24"/>
        <v>8945.0261188349286</v>
      </c>
      <c r="L47" s="123">
        <f t="shared" si="24"/>
        <v>1201.1943670752764</v>
      </c>
      <c r="M47" s="124">
        <f t="shared" si="24"/>
        <v>1201.1943670752764</v>
      </c>
      <c r="N47" s="123">
        <f t="shared" si="25"/>
        <v>34390.868099280982</v>
      </c>
      <c r="O47" s="123">
        <f t="shared" si="25"/>
        <v>23239.444963507034</v>
      </c>
      <c r="P47" s="123">
        <f t="shared" si="25"/>
        <v>41723.966838634493</v>
      </c>
      <c r="Q47" s="124">
        <f t="shared" si="25"/>
        <v>9970.2441402282984</v>
      </c>
      <c r="R47" s="125">
        <f t="shared" si="29"/>
        <v>43335.894218115907</v>
      </c>
      <c r="S47" s="125">
        <f t="shared" si="29"/>
        <v>32184.471082341963</v>
      </c>
      <c r="T47" s="125">
        <f t="shared" si="29"/>
        <v>42925.161205709766</v>
      </c>
      <c r="U47" s="125">
        <f t="shared" si="29"/>
        <v>11171.438507303576</v>
      </c>
      <c r="V47" s="126"/>
      <c r="W47" s="127"/>
      <c r="X47" s="126"/>
      <c r="Y47" s="126">
        <f t="shared" si="27"/>
        <v>-8050.5235069514365</v>
      </c>
      <c r="Z47" s="126">
        <f t="shared" si="27"/>
        <v>-8050.5235069514365</v>
      </c>
      <c r="AA47" s="126">
        <f t="shared" si="27"/>
        <v>-1081.0749303677487</v>
      </c>
      <c r="AB47" s="127">
        <f t="shared" si="27"/>
        <v>-1081.0749303677487</v>
      </c>
      <c r="AC47" s="126">
        <f t="shared" si="26"/>
        <v>-30951.781289352886</v>
      </c>
      <c r="AD47" s="126">
        <f t="shared" si="26"/>
        <v>-20915.500467156329</v>
      </c>
      <c r="AE47" s="126">
        <f t="shared" si="26"/>
        <v>-37551.570154771049</v>
      </c>
      <c r="AF47" s="127">
        <f t="shared" si="26"/>
        <v>-8973.2197262054669</v>
      </c>
      <c r="AG47" s="122">
        <f t="shared" si="30"/>
        <v>-39002.304796304321</v>
      </c>
      <c r="AH47" s="122">
        <f t="shared" si="30"/>
        <v>-28966.023974107768</v>
      </c>
      <c r="AI47" s="122">
        <f t="shared" si="30"/>
        <v>-38632.6450851388</v>
      </c>
      <c r="AJ47" s="122">
        <f t="shared" si="30"/>
        <v>-10054.294656573216</v>
      </c>
      <c r="AK47" s="122">
        <f t="shared" si="31"/>
        <v>-39002.304796304321</v>
      </c>
      <c r="AL47" s="122">
        <f t="shared" si="31"/>
        <v>-28966.023974107768</v>
      </c>
      <c r="AM47" s="122">
        <f t="shared" si="21"/>
        <v>-38632.6450851388</v>
      </c>
      <c r="AN47" s="122">
        <f t="shared" si="21"/>
        <v>-10054.294656573216</v>
      </c>
      <c r="AO47" s="122">
        <f t="shared" si="28"/>
        <v>4333.5894218115864</v>
      </c>
      <c r="AP47" s="122">
        <f t="shared" si="28"/>
        <v>3218.4471082341952</v>
      </c>
      <c r="AQ47" s="122">
        <f t="shared" si="28"/>
        <v>4292.5161205709665</v>
      </c>
      <c r="AR47" s="122">
        <f t="shared" si="28"/>
        <v>1117.1438507303592</v>
      </c>
      <c r="AS47" s="122"/>
      <c r="AT47" s="122">
        <v>213270</v>
      </c>
      <c r="AU47" s="122">
        <v>116062</v>
      </c>
      <c r="AV47" s="128">
        <f t="shared" si="23"/>
        <v>121479.97099811776</v>
      </c>
      <c r="AW47" s="128">
        <v>117467.02130380298</v>
      </c>
      <c r="AX47" s="122">
        <f t="shared" si="16"/>
        <v>238946.99230192072</v>
      </c>
      <c r="AY47" s="122">
        <f t="shared" si="22"/>
        <v>-39002.304796304321</v>
      </c>
      <c r="AZ47" s="122">
        <f t="shared" si="17"/>
        <v>199944.6875056164</v>
      </c>
    </row>
    <row r="48" spans="1:52" x14ac:dyDescent="0.25">
      <c r="A48" s="117" t="s">
        <v>21</v>
      </c>
      <c r="B48" s="117">
        <v>6781</v>
      </c>
      <c r="C48" s="118">
        <v>718</v>
      </c>
      <c r="D48" s="119">
        <v>614.98846489628909</v>
      </c>
      <c r="E48" s="119">
        <f t="shared" si="18"/>
        <v>8458.3824186537768</v>
      </c>
      <c r="F48" s="119">
        <f t="shared" si="7"/>
        <v>26114.040432763268</v>
      </c>
      <c r="G48" s="120">
        <f t="shared" si="8"/>
        <v>34572.422851417046</v>
      </c>
      <c r="H48" s="121">
        <f t="shared" si="1"/>
        <v>614.98846489628909</v>
      </c>
      <c r="I48" s="122">
        <f t="shared" si="9"/>
        <v>747.77231979724002</v>
      </c>
      <c r="J48" s="123">
        <f t="shared" si="19"/>
        <v>1562.5515828493444</v>
      </c>
      <c r="K48" s="123">
        <f t="shared" si="24"/>
        <v>1562.5515828493442</v>
      </c>
      <c r="L48" s="123">
        <f t="shared" si="24"/>
        <v>209.82925423002067</v>
      </c>
      <c r="M48" s="124">
        <f t="shared" si="24"/>
        <v>209.82925423002067</v>
      </c>
      <c r="N48" s="123">
        <f t="shared" si="25"/>
        <v>19366.779055124505</v>
      </c>
      <c r="O48" s="123">
        <f t="shared" si="25"/>
        <v>13086.997242194549</v>
      </c>
      <c r="P48" s="123">
        <f t="shared" si="25"/>
        <v>23496.320149129071</v>
      </c>
      <c r="Q48" s="124">
        <f t="shared" si="25"/>
        <v>5614.6159158305236</v>
      </c>
      <c r="R48" s="125">
        <f t="shared" si="29"/>
        <v>20929.33063797385</v>
      </c>
      <c r="S48" s="125">
        <f t="shared" si="29"/>
        <v>14649.548825043894</v>
      </c>
      <c r="T48" s="125">
        <f t="shared" si="29"/>
        <v>23706.149403359093</v>
      </c>
      <c r="U48" s="125">
        <f t="shared" si="29"/>
        <v>5824.4451700605441</v>
      </c>
      <c r="V48" s="126"/>
      <c r="W48" s="127"/>
      <c r="X48" s="126"/>
      <c r="Y48" s="126">
        <f t="shared" si="27"/>
        <v>-1406.2964245644098</v>
      </c>
      <c r="Z48" s="126">
        <f t="shared" si="27"/>
        <v>-1406.2964245644098</v>
      </c>
      <c r="AA48" s="126">
        <f t="shared" si="27"/>
        <v>-188.84632880701861</v>
      </c>
      <c r="AB48" s="127">
        <f t="shared" si="27"/>
        <v>-188.84632880701861</v>
      </c>
      <c r="AC48" s="126">
        <f t="shared" si="26"/>
        <v>-17430.101149612055</v>
      </c>
      <c r="AD48" s="126">
        <f t="shared" si="26"/>
        <v>-11778.297517975094</v>
      </c>
      <c r="AE48" s="126">
        <f t="shared" si="26"/>
        <v>-21146.688134216165</v>
      </c>
      <c r="AF48" s="127">
        <f t="shared" si="26"/>
        <v>-5053.1543242474709</v>
      </c>
      <c r="AG48" s="122">
        <f t="shared" si="30"/>
        <v>-18836.397574176466</v>
      </c>
      <c r="AH48" s="122">
        <f t="shared" si="30"/>
        <v>-13184.593942539504</v>
      </c>
      <c r="AI48" s="122">
        <f t="shared" si="30"/>
        <v>-21335.534463023185</v>
      </c>
      <c r="AJ48" s="122">
        <f t="shared" si="30"/>
        <v>-5242.0006530544897</v>
      </c>
      <c r="AK48" s="122">
        <f t="shared" si="31"/>
        <v>-18836.397574176466</v>
      </c>
      <c r="AL48" s="122">
        <f t="shared" si="31"/>
        <v>-13184.593942539504</v>
      </c>
      <c r="AM48" s="122">
        <f t="shared" si="21"/>
        <v>-21335.534463023185</v>
      </c>
      <c r="AN48" s="122">
        <f t="shared" si="21"/>
        <v>-5242.0006530544897</v>
      </c>
      <c r="AO48" s="122">
        <f t="shared" si="28"/>
        <v>2092.9330637973835</v>
      </c>
      <c r="AP48" s="122">
        <f t="shared" si="28"/>
        <v>1464.9548825043894</v>
      </c>
      <c r="AQ48" s="122">
        <f t="shared" si="28"/>
        <v>2370.6149403359086</v>
      </c>
      <c r="AR48" s="122">
        <f t="shared" si="28"/>
        <v>582.44451700605441</v>
      </c>
      <c r="AS48" s="122"/>
      <c r="AT48" s="122">
        <v>71480</v>
      </c>
      <c r="AU48" s="122">
        <v>16738</v>
      </c>
      <c r="AV48" s="128">
        <f t="shared" si="23"/>
        <v>17519.358227210414</v>
      </c>
      <c r="AW48" s="128">
        <v>66150.725045395258</v>
      </c>
      <c r="AX48" s="122">
        <f t="shared" si="16"/>
        <v>83670.083272605669</v>
      </c>
      <c r="AY48" s="122">
        <f t="shared" si="22"/>
        <v>-18836.397574176466</v>
      </c>
      <c r="AZ48" s="122">
        <f t="shared" si="17"/>
        <v>64833.685698429203</v>
      </c>
    </row>
    <row r="49" spans="1:52" x14ac:dyDescent="0.25">
      <c r="A49" s="117" t="s">
        <v>23</v>
      </c>
      <c r="B49" s="117">
        <v>6782</v>
      </c>
      <c r="C49" s="118">
        <v>1018</v>
      </c>
      <c r="D49" s="119">
        <v>3356.7638781325968</v>
      </c>
      <c r="E49" s="119">
        <f t="shared" si="18"/>
        <v>11992.525490514685</v>
      </c>
      <c r="F49" s="119">
        <f t="shared" si="7"/>
        <v>37025.199387956833</v>
      </c>
      <c r="G49" s="120">
        <f t="shared" si="8"/>
        <v>49017.724878471519</v>
      </c>
      <c r="H49" s="121">
        <f t="shared" si="1"/>
        <v>3356.7638781325968</v>
      </c>
      <c r="I49" s="122">
        <f t="shared" si="9"/>
        <v>4081.5320212324491</v>
      </c>
      <c r="J49" s="123">
        <f t="shared" si="19"/>
        <v>8528.8050271188786</v>
      </c>
      <c r="K49" s="123">
        <f t="shared" ref="K49:M59" si="33">K$6/$D$7*$D49</f>
        <v>8528.8050271188786</v>
      </c>
      <c r="L49" s="123">
        <f t="shared" si="33"/>
        <v>1145.3015810526056</v>
      </c>
      <c r="M49" s="124">
        <f t="shared" si="33"/>
        <v>1145.3015810526056</v>
      </c>
      <c r="N49" s="123">
        <f t="shared" ref="N49:Q59" si="34">(N$6/$C$7)*$C49</f>
        <v>27458.748019661209</v>
      </c>
      <c r="O49" s="123">
        <f t="shared" si="34"/>
        <v>18555.101939490323</v>
      </c>
      <c r="P49" s="123">
        <f t="shared" si="34"/>
        <v>33313.724111160715</v>
      </c>
      <c r="Q49" s="124">
        <f t="shared" si="34"/>
        <v>7960.5557135312993</v>
      </c>
      <c r="R49" s="125">
        <f t="shared" si="29"/>
        <v>35987.553046780085</v>
      </c>
      <c r="S49" s="125">
        <f t="shared" si="29"/>
        <v>27083.906966609204</v>
      </c>
      <c r="T49" s="125">
        <f t="shared" si="29"/>
        <v>34459.025692213319</v>
      </c>
      <c r="U49" s="125">
        <f t="shared" si="29"/>
        <v>9105.8572945839041</v>
      </c>
      <c r="V49" s="126"/>
      <c r="W49" s="127"/>
      <c r="X49" s="126"/>
      <c r="Y49" s="126">
        <f t="shared" si="27"/>
        <v>-7675.9245244069907</v>
      </c>
      <c r="Z49" s="126">
        <f t="shared" si="27"/>
        <v>-7675.9245244069907</v>
      </c>
      <c r="AA49" s="126">
        <f t="shared" si="27"/>
        <v>-1030.7714229473452</v>
      </c>
      <c r="AB49" s="127">
        <f t="shared" si="27"/>
        <v>-1030.7714229473452</v>
      </c>
      <c r="AC49" s="126">
        <f t="shared" ref="AC49:AF59" si="35">(AC$6/$C$7)*$C49</f>
        <v>-24712.873217695087</v>
      </c>
      <c r="AD49" s="126">
        <f t="shared" si="35"/>
        <v>-16699.591745541289</v>
      </c>
      <c r="AE49" s="126">
        <f t="shared" si="35"/>
        <v>-29982.351700044648</v>
      </c>
      <c r="AF49" s="127">
        <f t="shared" si="35"/>
        <v>-7164.500142178169</v>
      </c>
      <c r="AG49" s="122">
        <f t="shared" si="30"/>
        <v>-32388.797742102077</v>
      </c>
      <c r="AH49" s="122">
        <f t="shared" si="30"/>
        <v>-24375.516269948279</v>
      </c>
      <c r="AI49" s="122">
        <f t="shared" si="30"/>
        <v>-31013.123122991994</v>
      </c>
      <c r="AJ49" s="122">
        <f t="shared" si="30"/>
        <v>-8195.2715651255148</v>
      </c>
      <c r="AK49" s="122">
        <f t="shared" si="31"/>
        <v>-32388.797742102077</v>
      </c>
      <c r="AL49" s="122">
        <f t="shared" si="31"/>
        <v>-24375.516269948279</v>
      </c>
      <c r="AM49" s="122">
        <f t="shared" si="21"/>
        <v>-31013.123122991994</v>
      </c>
      <c r="AN49" s="122">
        <f t="shared" si="21"/>
        <v>-8195.2715651255148</v>
      </c>
      <c r="AO49" s="122">
        <f t="shared" si="28"/>
        <v>3598.7553046780085</v>
      </c>
      <c r="AP49" s="122">
        <f t="shared" si="28"/>
        <v>2708.3906966609247</v>
      </c>
      <c r="AQ49" s="122">
        <f t="shared" si="28"/>
        <v>3445.9025692213254</v>
      </c>
      <c r="AR49" s="122">
        <f t="shared" si="28"/>
        <v>910.58572945838932</v>
      </c>
      <c r="AS49" s="122"/>
      <c r="AT49" s="122">
        <v>332024</v>
      </c>
      <c r="AU49" s="122">
        <v>254410</v>
      </c>
      <c r="AV49" s="128">
        <f t="shared" si="23"/>
        <v>266286.29027270892</v>
      </c>
      <c r="AW49" s="128">
        <v>93789.455512646731</v>
      </c>
      <c r="AX49" s="122">
        <f t="shared" si="16"/>
        <v>360075.74578535568</v>
      </c>
      <c r="AY49" s="122">
        <f t="shared" si="22"/>
        <v>-32388.797742102077</v>
      </c>
      <c r="AZ49" s="122">
        <f t="shared" si="17"/>
        <v>327686.94804325362</v>
      </c>
    </row>
    <row r="50" spans="1:52" x14ac:dyDescent="0.25">
      <c r="A50" s="117" t="s">
        <v>26</v>
      </c>
      <c r="B50" s="117">
        <v>6783</v>
      </c>
      <c r="C50" s="118">
        <v>293</v>
      </c>
      <c r="D50" s="119">
        <v>4879.3167319295253</v>
      </c>
      <c r="E50" s="119">
        <f t="shared" si="18"/>
        <v>3451.6797335174879</v>
      </c>
      <c r="F50" s="119">
        <f t="shared" si="7"/>
        <v>10656.56524623905</v>
      </c>
      <c r="G50" s="120">
        <f t="shared" si="8"/>
        <v>14108.244979756539</v>
      </c>
      <c r="H50" s="121">
        <f t="shared" si="1"/>
        <v>4879.3167319295253</v>
      </c>
      <c r="I50" s="122">
        <f t="shared" si="9"/>
        <v>5932.8234591777709</v>
      </c>
      <c r="J50" s="123">
        <f t="shared" si="19"/>
        <v>12397.279815623051</v>
      </c>
      <c r="K50" s="123">
        <f t="shared" si="33"/>
        <v>12397.279815623049</v>
      </c>
      <c r="L50" s="123">
        <f t="shared" si="33"/>
        <v>1664.7847064667958</v>
      </c>
      <c r="M50" s="124">
        <f t="shared" si="33"/>
        <v>1664.7847064667958</v>
      </c>
      <c r="N50" s="123">
        <f t="shared" si="34"/>
        <v>7903.156355364179</v>
      </c>
      <c r="O50" s="123">
        <f t="shared" si="34"/>
        <v>5340.5155876922045</v>
      </c>
      <c r="P50" s="123">
        <f t="shared" si="34"/>
        <v>9588.331202917574</v>
      </c>
      <c r="Q50" s="124">
        <f t="shared" si="34"/>
        <v>2291.2012024210912</v>
      </c>
      <c r="R50" s="125">
        <f t="shared" si="29"/>
        <v>20300.436170987232</v>
      </c>
      <c r="S50" s="125">
        <f t="shared" si="29"/>
        <v>17737.795403315253</v>
      </c>
      <c r="T50" s="125">
        <f t="shared" si="29"/>
        <v>11253.115909384371</v>
      </c>
      <c r="U50" s="125">
        <f t="shared" si="29"/>
        <v>3955.985908887887</v>
      </c>
      <c r="V50" s="126"/>
      <c r="W50" s="127"/>
      <c r="X50" s="126"/>
      <c r="Y50" s="126">
        <f t="shared" ref="Y50:AB59" si="36">(Y$6/$D$7)*$D50</f>
        <v>-11157.551834060745</v>
      </c>
      <c r="Z50" s="126">
        <f t="shared" si="36"/>
        <v>-11157.551834060745</v>
      </c>
      <c r="AA50" s="126">
        <f t="shared" si="36"/>
        <v>-1498.3062358201162</v>
      </c>
      <c r="AB50" s="127">
        <f t="shared" si="36"/>
        <v>-1498.3062358201162</v>
      </c>
      <c r="AC50" s="126">
        <f t="shared" si="35"/>
        <v>-7112.8407198277609</v>
      </c>
      <c r="AD50" s="126">
        <f t="shared" si="35"/>
        <v>-4806.4640289229847</v>
      </c>
      <c r="AE50" s="126">
        <f t="shared" si="35"/>
        <v>-8629.4980826258179</v>
      </c>
      <c r="AF50" s="127">
        <f t="shared" si="35"/>
        <v>-2062.0810821789819</v>
      </c>
      <c r="AG50" s="122">
        <f t="shared" si="30"/>
        <v>-18270.392553888505</v>
      </c>
      <c r="AH50" s="122">
        <f t="shared" si="30"/>
        <v>-15964.01586298373</v>
      </c>
      <c r="AI50" s="122">
        <f t="shared" si="30"/>
        <v>-10127.804318445935</v>
      </c>
      <c r="AJ50" s="122">
        <f t="shared" si="30"/>
        <v>-3560.3873179990978</v>
      </c>
      <c r="AK50" s="122">
        <f t="shared" si="31"/>
        <v>-18270.392553888505</v>
      </c>
      <c r="AL50" s="122">
        <f t="shared" si="31"/>
        <v>-15964.01586298373</v>
      </c>
      <c r="AM50" s="122">
        <f t="shared" si="21"/>
        <v>-10127.804318445935</v>
      </c>
      <c r="AN50" s="122">
        <f t="shared" si="21"/>
        <v>-3560.3873179990978</v>
      </c>
      <c r="AO50" s="122">
        <f t="shared" si="28"/>
        <v>2030.0436170987268</v>
      </c>
      <c r="AP50" s="122">
        <f t="shared" si="28"/>
        <v>1773.7795403315231</v>
      </c>
      <c r="AQ50" s="122">
        <f t="shared" si="28"/>
        <v>1125.311590938436</v>
      </c>
      <c r="AR50" s="122">
        <f t="shared" si="28"/>
        <v>395.5985908887892</v>
      </c>
      <c r="AS50" s="122"/>
      <c r="AT50" s="122">
        <v>112410</v>
      </c>
      <c r="AU50" s="122">
        <v>90071</v>
      </c>
      <c r="AV50" s="128">
        <f t="shared" si="23"/>
        <v>94275.667038061234</v>
      </c>
      <c r="AW50" s="128">
        <v>26994.648474463571</v>
      </c>
      <c r="AX50" s="122">
        <f t="shared" si="16"/>
        <v>121270.3155125248</v>
      </c>
      <c r="AY50" s="122">
        <f t="shared" si="22"/>
        <v>-18270.392553888505</v>
      </c>
      <c r="AZ50" s="122">
        <f t="shared" si="17"/>
        <v>102999.92295863629</v>
      </c>
    </row>
    <row r="51" spans="1:52" x14ac:dyDescent="0.25">
      <c r="A51" s="117" t="s">
        <v>28</v>
      </c>
      <c r="B51" s="117">
        <v>6784</v>
      </c>
      <c r="C51" s="118">
        <v>2435</v>
      </c>
      <c r="D51" s="119">
        <v>55117.300181807266</v>
      </c>
      <c r="E51" s="119">
        <f t="shared" si="18"/>
        <v>28685.461266604379</v>
      </c>
      <c r="F51" s="119">
        <f t="shared" si="7"/>
        <v>88562.240186321113</v>
      </c>
      <c r="G51" s="120">
        <f t="shared" si="8"/>
        <v>117247.7014529255</v>
      </c>
      <c r="H51" s="121">
        <f t="shared" si="1"/>
        <v>55117.300181807266</v>
      </c>
      <c r="I51" s="122">
        <f t="shared" si="9"/>
        <v>67017.828415466851</v>
      </c>
      <c r="J51" s="123">
        <f t="shared" si="19"/>
        <v>140041.04069820105</v>
      </c>
      <c r="K51" s="123">
        <f t="shared" si="33"/>
        <v>140041.04069820102</v>
      </c>
      <c r="L51" s="123">
        <f t="shared" si="33"/>
        <v>18805.591734588299</v>
      </c>
      <c r="M51" s="124">
        <f t="shared" si="33"/>
        <v>18805.591734588299</v>
      </c>
      <c r="N51" s="123">
        <f t="shared" si="34"/>
        <v>65679.814762156224</v>
      </c>
      <c r="O51" s="123">
        <f t="shared" si="34"/>
        <v>44382.78312638402</v>
      </c>
      <c r="P51" s="123">
        <f t="shared" si="34"/>
        <v>79684.595491823522</v>
      </c>
      <c r="Q51" s="124">
        <f t="shared" si="34"/>
        <v>19041.211358004632</v>
      </c>
      <c r="R51" s="125">
        <f t="shared" si="29"/>
        <v>205720.85546035727</v>
      </c>
      <c r="S51" s="125">
        <f t="shared" si="29"/>
        <v>184423.82382458504</v>
      </c>
      <c r="T51" s="125">
        <f t="shared" si="29"/>
        <v>98490.187226411828</v>
      </c>
      <c r="U51" s="125">
        <f t="shared" si="29"/>
        <v>37846.803092592934</v>
      </c>
      <c r="V51" s="126"/>
      <c r="W51" s="127"/>
      <c r="X51" s="126"/>
      <c r="Y51" s="126">
        <f t="shared" si="36"/>
        <v>-126036.93662838092</v>
      </c>
      <c r="Z51" s="126">
        <f t="shared" si="36"/>
        <v>-126036.93662838092</v>
      </c>
      <c r="AA51" s="126">
        <f t="shared" si="36"/>
        <v>-16925.032561129468</v>
      </c>
      <c r="AB51" s="127">
        <f t="shared" si="36"/>
        <v>-16925.032561129468</v>
      </c>
      <c r="AC51" s="126">
        <f t="shared" si="35"/>
        <v>-59111.833285940607</v>
      </c>
      <c r="AD51" s="126">
        <f t="shared" si="35"/>
        <v>-39944.504813745618</v>
      </c>
      <c r="AE51" s="126">
        <f t="shared" si="35"/>
        <v>-71716.13594264118</v>
      </c>
      <c r="AF51" s="127">
        <f t="shared" si="35"/>
        <v>-17137.090222204166</v>
      </c>
      <c r="AG51" s="122">
        <f t="shared" si="30"/>
        <v>-185148.76991432154</v>
      </c>
      <c r="AH51" s="122">
        <f t="shared" si="30"/>
        <v>-165981.44144212652</v>
      </c>
      <c r="AI51" s="122">
        <f t="shared" si="30"/>
        <v>-88641.168503770648</v>
      </c>
      <c r="AJ51" s="122">
        <f t="shared" si="30"/>
        <v>-34062.122783333631</v>
      </c>
      <c r="AK51" s="122">
        <f t="shared" si="31"/>
        <v>-185148.76991432154</v>
      </c>
      <c r="AL51" s="122">
        <f t="shared" si="31"/>
        <v>-165981.44144212652</v>
      </c>
      <c r="AM51" s="122">
        <f t="shared" si="21"/>
        <v>-88641.168503770648</v>
      </c>
      <c r="AN51" s="122">
        <f t="shared" si="21"/>
        <v>-34062.122783333631</v>
      </c>
      <c r="AO51" s="122">
        <f t="shared" si="28"/>
        <v>20572.085546035727</v>
      </c>
      <c r="AP51" s="122">
        <f t="shared" si="28"/>
        <v>18442.382382458512</v>
      </c>
      <c r="AQ51" s="122">
        <f t="shared" si="28"/>
        <v>9849.0187226411799</v>
      </c>
      <c r="AR51" s="122">
        <f t="shared" si="28"/>
        <v>3784.6803092593036</v>
      </c>
      <c r="AS51" s="122"/>
      <c r="AT51" s="122">
        <v>658990</v>
      </c>
      <c r="AU51" s="122">
        <v>473341</v>
      </c>
      <c r="AV51" s="128">
        <f t="shared" si="23"/>
        <v>495437.36065396131</v>
      </c>
      <c r="AW51" s="128">
        <v>224339.92097388813</v>
      </c>
      <c r="AX51" s="122">
        <f t="shared" si="16"/>
        <v>719777.28162784944</v>
      </c>
      <c r="AY51" s="122">
        <f t="shared" si="22"/>
        <v>-185148.76991432154</v>
      </c>
      <c r="AZ51" s="122">
        <f t="shared" si="17"/>
        <v>534628.51171352784</v>
      </c>
    </row>
    <row r="52" spans="1:52" x14ac:dyDescent="0.25">
      <c r="A52" s="117" t="s">
        <v>31</v>
      </c>
      <c r="B52" s="117">
        <v>6785</v>
      </c>
      <c r="C52" s="118">
        <v>784</v>
      </c>
      <c r="D52" s="119">
        <v>20886.809874970699</v>
      </c>
      <c r="E52" s="119">
        <f t="shared" si="18"/>
        <v>9235.8938944631755</v>
      </c>
      <c r="F52" s="119">
        <f t="shared" si="7"/>
        <v>28514.495402905854</v>
      </c>
      <c r="G52" s="120">
        <f t="shared" si="8"/>
        <v>37750.389297369031</v>
      </c>
      <c r="H52" s="121">
        <f t="shared" si="1"/>
        <v>20886.809874970699</v>
      </c>
      <c r="I52" s="122">
        <f t="shared" si="9"/>
        <v>25396.538577361182</v>
      </c>
      <c r="J52" s="123">
        <f t="shared" si="19"/>
        <v>53068.829244321831</v>
      </c>
      <c r="K52" s="123">
        <f t="shared" si="33"/>
        <v>53068.829244321838</v>
      </c>
      <c r="L52" s="123">
        <f t="shared" si="33"/>
        <v>7126.4161679006775</v>
      </c>
      <c r="M52" s="124">
        <f t="shared" si="33"/>
        <v>7126.4161679006775</v>
      </c>
      <c r="N52" s="123">
        <f t="shared" si="34"/>
        <v>21147.012227322582</v>
      </c>
      <c r="O52" s="123">
        <f t="shared" si="34"/>
        <v>14289.980275599619</v>
      </c>
      <c r="P52" s="123">
        <f t="shared" si="34"/>
        <v>25656.149020776033</v>
      </c>
      <c r="Q52" s="124">
        <f t="shared" si="34"/>
        <v>6130.7226713246946</v>
      </c>
      <c r="R52" s="125">
        <f t="shared" si="29"/>
        <v>74215.841471644409</v>
      </c>
      <c r="S52" s="125">
        <f t="shared" si="29"/>
        <v>67358.809519921459</v>
      </c>
      <c r="T52" s="125">
        <f t="shared" si="29"/>
        <v>32782.565188676708</v>
      </c>
      <c r="U52" s="125">
        <f t="shared" si="29"/>
        <v>13257.138839225372</v>
      </c>
      <c r="V52" s="126"/>
      <c r="W52" s="127"/>
      <c r="X52" s="126"/>
      <c r="Y52" s="126">
        <f t="shared" si="36"/>
        <v>-47761.946319889656</v>
      </c>
      <c r="Z52" s="126">
        <f t="shared" si="36"/>
        <v>-47761.946319889656</v>
      </c>
      <c r="AA52" s="126">
        <f t="shared" si="36"/>
        <v>-6413.7745511106095</v>
      </c>
      <c r="AB52" s="127">
        <f t="shared" si="36"/>
        <v>-6413.7745511106095</v>
      </c>
      <c r="AC52" s="126">
        <f t="shared" si="35"/>
        <v>-19032.311004590323</v>
      </c>
      <c r="AD52" s="126">
        <f t="shared" si="35"/>
        <v>-12860.982248039658</v>
      </c>
      <c r="AE52" s="126">
        <f t="shared" si="35"/>
        <v>-23090.534118698433</v>
      </c>
      <c r="AF52" s="127">
        <f t="shared" si="35"/>
        <v>-5517.6504041922244</v>
      </c>
      <c r="AG52" s="122">
        <f t="shared" si="30"/>
        <v>-66794.257324479986</v>
      </c>
      <c r="AH52" s="122">
        <f t="shared" si="30"/>
        <v>-60622.92856792931</v>
      </c>
      <c r="AI52" s="122">
        <f t="shared" si="30"/>
        <v>-29504.308669809041</v>
      </c>
      <c r="AJ52" s="122">
        <f t="shared" si="30"/>
        <v>-11931.424955302835</v>
      </c>
      <c r="AK52" s="122">
        <f t="shared" si="31"/>
        <v>-66794.257324479986</v>
      </c>
      <c r="AL52" s="122">
        <f t="shared" si="31"/>
        <v>-60622.92856792931</v>
      </c>
      <c r="AM52" s="122">
        <f t="shared" si="21"/>
        <v>-29504.308669809041</v>
      </c>
      <c r="AN52" s="122">
        <f t="shared" si="21"/>
        <v>-11931.424955302835</v>
      </c>
      <c r="AO52" s="122">
        <f t="shared" si="28"/>
        <v>7421.5841471644235</v>
      </c>
      <c r="AP52" s="122">
        <f t="shared" si="28"/>
        <v>6735.8809519921488</v>
      </c>
      <c r="AQ52" s="122">
        <f t="shared" si="28"/>
        <v>3278.2565188676672</v>
      </c>
      <c r="AR52" s="122">
        <f t="shared" si="28"/>
        <v>1325.7138839225372</v>
      </c>
      <c r="AS52" s="122"/>
      <c r="AT52" s="122">
        <v>161127</v>
      </c>
      <c r="AU52" s="122">
        <v>101353</v>
      </c>
      <c r="AV52" s="128">
        <f t="shared" si="23"/>
        <v>106084.32993203829</v>
      </c>
      <c r="AW52" s="128">
        <v>72231.43909362932</v>
      </c>
      <c r="AX52" s="122">
        <f t="shared" si="16"/>
        <v>178315.76902566763</v>
      </c>
      <c r="AY52" s="122">
        <f t="shared" si="22"/>
        <v>-66794.257324479986</v>
      </c>
      <c r="AZ52" s="122">
        <f t="shared" si="17"/>
        <v>111521.51170118764</v>
      </c>
    </row>
    <row r="53" spans="1:52" x14ac:dyDescent="0.25">
      <c r="A53" s="117" t="s">
        <v>125</v>
      </c>
      <c r="B53" s="117">
        <v>6787</v>
      </c>
      <c r="C53" s="118">
        <v>370</v>
      </c>
      <c r="D53" s="119">
        <v>210.34926042887207</v>
      </c>
      <c r="E53" s="119">
        <f t="shared" si="18"/>
        <v>4358.7764552951212</v>
      </c>
      <c r="F53" s="119">
        <f t="shared" si="7"/>
        <v>13457.096044738732</v>
      </c>
      <c r="G53" s="120">
        <f t="shared" si="8"/>
        <v>17815.872500033853</v>
      </c>
      <c r="H53" s="121">
        <f t="shared" si="1"/>
        <v>210.34926042887207</v>
      </c>
      <c r="I53" s="122">
        <f t="shared" si="9"/>
        <v>255.76634915430034</v>
      </c>
      <c r="J53" s="123">
        <f t="shared" si="19"/>
        <v>534.45160128288171</v>
      </c>
      <c r="K53" s="123">
        <f t="shared" si="33"/>
        <v>534.45160128288171</v>
      </c>
      <c r="L53" s="123">
        <f t="shared" si="33"/>
        <v>71.769522459368247</v>
      </c>
      <c r="M53" s="124">
        <f t="shared" si="33"/>
        <v>71.769522459368247</v>
      </c>
      <c r="N53" s="123">
        <f t="shared" si="34"/>
        <v>9980.0950562619328</v>
      </c>
      <c r="O53" s="123">
        <f t="shared" si="34"/>
        <v>6743.9957933314527</v>
      </c>
      <c r="P53" s="123">
        <f t="shared" si="34"/>
        <v>12108.131553172361</v>
      </c>
      <c r="Q53" s="124">
        <f t="shared" si="34"/>
        <v>2893.3257504976236</v>
      </c>
      <c r="R53" s="125">
        <f t="shared" si="29"/>
        <v>10514.546657544815</v>
      </c>
      <c r="S53" s="125">
        <f t="shared" si="29"/>
        <v>7278.4473946143344</v>
      </c>
      <c r="T53" s="125">
        <f t="shared" si="29"/>
        <v>12179.901075631729</v>
      </c>
      <c r="U53" s="125">
        <f t="shared" si="29"/>
        <v>2965.0952729569917</v>
      </c>
      <c r="V53" s="126"/>
      <c r="W53" s="127"/>
      <c r="X53" s="126"/>
      <c r="Y53" s="126">
        <f t="shared" si="36"/>
        <v>-481.00644115459357</v>
      </c>
      <c r="Z53" s="126">
        <f t="shared" si="36"/>
        <v>-481.00644115459357</v>
      </c>
      <c r="AA53" s="126">
        <f t="shared" si="36"/>
        <v>-64.592570213431429</v>
      </c>
      <c r="AB53" s="127">
        <f t="shared" si="36"/>
        <v>-64.592570213431429</v>
      </c>
      <c r="AC53" s="126">
        <f t="shared" si="35"/>
        <v>-8982.0855506357384</v>
      </c>
      <c r="AD53" s="126">
        <f t="shared" si="35"/>
        <v>-6069.5962139983076</v>
      </c>
      <c r="AE53" s="126">
        <f t="shared" si="35"/>
        <v>-10897.318397855128</v>
      </c>
      <c r="AF53" s="127">
        <f t="shared" si="35"/>
        <v>-2603.9931754478612</v>
      </c>
      <c r="AG53" s="122">
        <f t="shared" si="30"/>
        <v>-9463.091991790332</v>
      </c>
      <c r="AH53" s="122">
        <f t="shared" si="30"/>
        <v>-6550.6026551529012</v>
      </c>
      <c r="AI53" s="122">
        <f t="shared" si="30"/>
        <v>-10961.91096806856</v>
      </c>
      <c r="AJ53" s="122">
        <f t="shared" si="30"/>
        <v>-2668.5857456612925</v>
      </c>
      <c r="AK53" s="122">
        <f t="shared" si="31"/>
        <v>-9463.091991790332</v>
      </c>
      <c r="AL53" s="122">
        <f t="shared" si="31"/>
        <v>-6550.6026551529012</v>
      </c>
      <c r="AM53" s="122">
        <f t="shared" si="21"/>
        <v>-10961.91096806856</v>
      </c>
      <c r="AN53" s="122">
        <f t="shared" si="21"/>
        <v>-2668.5857456612925</v>
      </c>
      <c r="AO53" s="122">
        <f t="shared" si="28"/>
        <v>1051.4546657544834</v>
      </c>
      <c r="AP53" s="122">
        <f t="shared" si="28"/>
        <v>727.84473946143316</v>
      </c>
      <c r="AQ53" s="122">
        <f t="shared" si="28"/>
        <v>1217.9901075631697</v>
      </c>
      <c r="AR53" s="122">
        <f t="shared" si="28"/>
        <v>296.50952729569917</v>
      </c>
      <c r="AS53" s="122"/>
      <c r="AT53" s="122">
        <v>39975</v>
      </c>
      <c r="AU53" s="122">
        <v>11765</v>
      </c>
      <c r="AV53" s="128">
        <f t="shared" si="23"/>
        <v>12314.210153132424</v>
      </c>
      <c r="AW53" s="128">
        <v>34089.217667067336</v>
      </c>
      <c r="AX53" s="122">
        <f t="shared" si="16"/>
        <v>46403.427820199759</v>
      </c>
      <c r="AY53" s="122">
        <f t="shared" si="22"/>
        <v>-9463.091991790332</v>
      </c>
      <c r="AZ53" s="122">
        <f t="shared" si="17"/>
        <v>36940.335828409428</v>
      </c>
    </row>
    <row r="54" spans="1:52" x14ac:dyDescent="0.25">
      <c r="A54" s="117" t="s">
        <v>37</v>
      </c>
      <c r="B54" s="117">
        <v>6789</v>
      </c>
      <c r="C54" s="118">
        <v>333</v>
      </c>
      <c r="D54" s="119">
        <v>567.57365740383318</v>
      </c>
      <c r="E54" s="119">
        <f t="shared" si="18"/>
        <v>3922.8988097656093</v>
      </c>
      <c r="F54" s="119">
        <f t="shared" si="7"/>
        <v>12111.386440264858</v>
      </c>
      <c r="G54" s="120">
        <f t="shared" si="8"/>
        <v>16034.285250030467</v>
      </c>
      <c r="H54" s="121">
        <f t="shared" si="1"/>
        <v>567.57365740383318</v>
      </c>
      <c r="I54" s="122">
        <f t="shared" si="9"/>
        <v>690.12005050247774</v>
      </c>
      <c r="J54" s="123">
        <f t="shared" si="19"/>
        <v>1442.080896443335</v>
      </c>
      <c r="K54" s="123">
        <f t="shared" si="33"/>
        <v>1442.080896443335</v>
      </c>
      <c r="L54" s="123">
        <f t="shared" si="33"/>
        <v>193.65169275774198</v>
      </c>
      <c r="M54" s="124">
        <f t="shared" si="33"/>
        <v>193.65169275774198</v>
      </c>
      <c r="N54" s="123">
        <f t="shared" si="34"/>
        <v>8982.0855506357384</v>
      </c>
      <c r="O54" s="123">
        <f t="shared" si="34"/>
        <v>6069.5962139983076</v>
      </c>
      <c r="P54" s="123">
        <f t="shared" si="34"/>
        <v>10897.318397855126</v>
      </c>
      <c r="Q54" s="124">
        <f t="shared" si="34"/>
        <v>2603.9931754478612</v>
      </c>
      <c r="R54" s="125">
        <f t="shared" si="29"/>
        <v>10424.166447079073</v>
      </c>
      <c r="S54" s="125">
        <f t="shared" si="29"/>
        <v>7511.6771104416421</v>
      </c>
      <c r="T54" s="125">
        <f t="shared" si="29"/>
        <v>11090.970090612867</v>
      </c>
      <c r="U54" s="125">
        <f t="shared" si="29"/>
        <v>2797.644868205603</v>
      </c>
      <c r="V54" s="126"/>
      <c r="W54" s="127"/>
      <c r="X54" s="126"/>
      <c r="Y54" s="126">
        <f t="shared" si="36"/>
        <v>-1297.8728067990014</v>
      </c>
      <c r="Z54" s="126">
        <f t="shared" si="36"/>
        <v>-1297.8728067990014</v>
      </c>
      <c r="AA54" s="126">
        <f t="shared" si="36"/>
        <v>-174.28652348196778</v>
      </c>
      <c r="AB54" s="127">
        <f t="shared" si="36"/>
        <v>-174.28652348196778</v>
      </c>
      <c r="AC54" s="126">
        <f t="shared" si="35"/>
        <v>-8083.8769955721655</v>
      </c>
      <c r="AD54" s="126">
        <f t="shared" si="35"/>
        <v>-5462.6365925984774</v>
      </c>
      <c r="AE54" s="126">
        <f t="shared" si="35"/>
        <v>-9807.5865580696154</v>
      </c>
      <c r="AF54" s="127">
        <f t="shared" si="35"/>
        <v>-2343.5938579030749</v>
      </c>
      <c r="AG54" s="122">
        <f t="shared" si="30"/>
        <v>-9381.7498023711669</v>
      </c>
      <c r="AH54" s="122">
        <f t="shared" si="30"/>
        <v>-6760.5093993974788</v>
      </c>
      <c r="AI54" s="122">
        <f t="shared" si="30"/>
        <v>-9981.8730815515828</v>
      </c>
      <c r="AJ54" s="122">
        <f t="shared" si="30"/>
        <v>-2517.8803813850427</v>
      </c>
      <c r="AK54" s="122">
        <f t="shared" si="31"/>
        <v>-9381.7498023711669</v>
      </c>
      <c r="AL54" s="122">
        <f t="shared" si="31"/>
        <v>-6760.5093993974788</v>
      </c>
      <c r="AM54" s="122">
        <f t="shared" si="21"/>
        <v>-9981.8730815515828</v>
      </c>
      <c r="AN54" s="122">
        <f t="shared" si="21"/>
        <v>-2517.8803813850427</v>
      </c>
      <c r="AO54" s="122">
        <f t="shared" si="28"/>
        <v>1042.416644707906</v>
      </c>
      <c r="AP54" s="122">
        <f t="shared" si="28"/>
        <v>751.1677110441633</v>
      </c>
      <c r="AQ54" s="122">
        <f t="shared" si="28"/>
        <v>1109.0970090612846</v>
      </c>
      <c r="AR54" s="122">
        <f t="shared" si="28"/>
        <v>279.76448682056025</v>
      </c>
      <c r="AS54" s="122"/>
      <c r="AT54" s="122">
        <v>70512</v>
      </c>
      <c r="AU54" s="122">
        <v>45123</v>
      </c>
      <c r="AV54" s="128">
        <f t="shared" si="23"/>
        <v>47229.418167428339</v>
      </c>
      <c r="AW54" s="128">
        <v>30680.295900360605</v>
      </c>
      <c r="AX54" s="122">
        <f t="shared" si="16"/>
        <v>77909.71406778894</v>
      </c>
      <c r="AY54" s="122">
        <f t="shared" si="22"/>
        <v>-9381.7498023711669</v>
      </c>
      <c r="AZ54" s="122">
        <f t="shared" si="17"/>
        <v>68527.964265417773</v>
      </c>
    </row>
    <row r="55" spans="1:52" x14ac:dyDescent="0.25">
      <c r="A55" s="117" t="s">
        <v>38</v>
      </c>
      <c r="B55" s="117">
        <v>6790</v>
      </c>
      <c r="C55" s="118">
        <v>1674</v>
      </c>
      <c r="D55" s="119">
        <v>4498.7757634757363</v>
      </c>
      <c r="E55" s="119">
        <f t="shared" si="18"/>
        <v>19720.518340983876</v>
      </c>
      <c r="F55" s="119">
        <f t="shared" si="7"/>
        <v>60884.266969980097</v>
      </c>
      <c r="G55" s="120">
        <f t="shared" si="8"/>
        <v>80604.785310963969</v>
      </c>
      <c r="H55" s="121">
        <f t="shared" si="1"/>
        <v>4498.7757634757363</v>
      </c>
      <c r="I55" s="122">
        <f t="shared" si="9"/>
        <v>5470.1188411219418</v>
      </c>
      <c r="J55" s="123">
        <f t="shared" si="19"/>
        <v>11430.408196824857</v>
      </c>
      <c r="K55" s="123">
        <f t="shared" si="33"/>
        <v>11430.408196824857</v>
      </c>
      <c r="L55" s="123">
        <f t="shared" si="33"/>
        <v>1534.9471043451138</v>
      </c>
      <c r="M55" s="124">
        <f t="shared" si="33"/>
        <v>1534.9471043451138</v>
      </c>
      <c r="N55" s="123">
        <f t="shared" si="34"/>
        <v>45153.186822114796</v>
      </c>
      <c r="O55" s="123">
        <f t="shared" si="34"/>
        <v>30512.024210910411</v>
      </c>
      <c r="P55" s="123">
        <f t="shared" si="34"/>
        <v>54781.114108136579</v>
      </c>
      <c r="Q55" s="124">
        <f t="shared" si="34"/>
        <v>13090.34407117033</v>
      </c>
      <c r="R55" s="125">
        <f t="shared" si="29"/>
        <v>56583.595018939654</v>
      </c>
      <c r="S55" s="125">
        <f t="shared" si="29"/>
        <v>41942.432407735265</v>
      </c>
      <c r="T55" s="125">
        <f t="shared" si="29"/>
        <v>56316.061212481691</v>
      </c>
      <c r="U55" s="125">
        <f t="shared" si="29"/>
        <v>14625.291175515444</v>
      </c>
      <c r="V55" s="126"/>
      <c r="W55" s="127"/>
      <c r="X55" s="126"/>
      <c r="Y55" s="126">
        <f t="shared" si="36"/>
        <v>-10287.367377142373</v>
      </c>
      <c r="Z55" s="126">
        <f t="shared" si="36"/>
        <v>-10287.367377142373</v>
      </c>
      <c r="AA55" s="126">
        <f t="shared" si="36"/>
        <v>-1381.4523939106025</v>
      </c>
      <c r="AB55" s="127">
        <f t="shared" si="36"/>
        <v>-1381.4523939106025</v>
      </c>
      <c r="AC55" s="126">
        <f t="shared" si="35"/>
        <v>-40637.868139903316</v>
      </c>
      <c r="AD55" s="126">
        <f t="shared" si="35"/>
        <v>-27460.821789819372</v>
      </c>
      <c r="AE55" s="126">
        <f t="shared" si="35"/>
        <v>-49303.002697322932</v>
      </c>
      <c r="AF55" s="127">
        <f t="shared" si="35"/>
        <v>-11781.309664053297</v>
      </c>
      <c r="AG55" s="122">
        <f t="shared" si="30"/>
        <v>-50925.235517045687</v>
      </c>
      <c r="AH55" s="122">
        <f t="shared" si="30"/>
        <v>-37748.189166961747</v>
      </c>
      <c r="AI55" s="122">
        <f t="shared" si="30"/>
        <v>-50684.455091233533</v>
      </c>
      <c r="AJ55" s="122">
        <f t="shared" si="30"/>
        <v>-13162.762057963899</v>
      </c>
      <c r="AK55" s="122">
        <f t="shared" si="31"/>
        <v>-50925.235517045687</v>
      </c>
      <c r="AL55" s="122">
        <f t="shared" si="31"/>
        <v>-37748.189166961747</v>
      </c>
      <c r="AM55" s="122">
        <f t="shared" si="21"/>
        <v>-50684.455091233533</v>
      </c>
      <c r="AN55" s="122">
        <f t="shared" si="21"/>
        <v>-13162.762057963899</v>
      </c>
      <c r="AO55" s="122">
        <f t="shared" si="28"/>
        <v>5658.3595018939668</v>
      </c>
      <c r="AP55" s="122">
        <f t="shared" si="28"/>
        <v>4194.2432407735178</v>
      </c>
      <c r="AQ55" s="122">
        <f t="shared" si="28"/>
        <v>5631.6061212481582</v>
      </c>
      <c r="AR55" s="122">
        <f t="shared" si="28"/>
        <v>1462.5291175515449</v>
      </c>
      <c r="AS55" s="122"/>
      <c r="AT55" s="122">
        <v>346738</v>
      </c>
      <c r="AU55" s="122">
        <v>219109</v>
      </c>
      <c r="AV55" s="128">
        <f t="shared" si="23"/>
        <v>229337.37972313576</v>
      </c>
      <c r="AW55" s="128">
        <v>154228.03125239763</v>
      </c>
      <c r="AX55" s="122">
        <f t="shared" si="16"/>
        <v>383565.41097553342</v>
      </c>
      <c r="AY55" s="122">
        <f t="shared" si="22"/>
        <v>-50925.235517045687</v>
      </c>
      <c r="AZ55" s="122">
        <f t="shared" si="17"/>
        <v>332640.17545848771</v>
      </c>
    </row>
    <row r="56" spans="1:52" x14ac:dyDescent="0.25">
      <c r="A56" s="117" t="s">
        <v>40</v>
      </c>
      <c r="B56" s="117">
        <v>6792</v>
      </c>
      <c r="C56" s="118">
        <v>391</v>
      </c>
      <c r="D56" s="119">
        <v>499.20949946448025</v>
      </c>
      <c r="E56" s="119">
        <f t="shared" si="18"/>
        <v>4606.1664703253855</v>
      </c>
      <c r="F56" s="119">
        <f t="shared" si="7"/>
        <v>14220.87717160228</v>
      </c>
      <c r="G56" s="120">
        <f t="shared" si="8"/>
        <v>18827.043641927667</v>
      </c>
      <c r="H56" s="121">
        <f t="shared" si="1"/>
        <v>499.20949946448025</v>
      </c>
      <c r="I56" s="122">
        <f t="shared" si="9"/>
        <v>606.99519875112696</v>
      </c>
      <c r="J56" s="123">
        <f t="shared" si="19"/>
        <v>1268.3824788375464</v>
      </c>
      <c r="K56" s="123">
        <f t="shared" si="33"/>
        <v>1268.3824788375464</v>
      </c>
      <c r="L56" s="123">
        <f t="shared" si="33"/>
        <v>170.32637676356822</v>
      </c>
      <c r="M56" s="124">
        <f t="shared" si="33"/>
        <v>170.32637676356822</v>
      </c>
      <c r="N56" s="123">
        <f t="shared" si="34"/>
        <v>10546.532883779502</v>
      </c>
      <c r="O56" s="123">
        <f t="shared" si="34"/>
        <v>7126.763122142157</v>
      </c>
      <c r="P56" s="123">
        <f t="shared" si="34"/>
        <v>12795.349830514577</v>
      </c>
      <c r="Q56" s="124">
        <f t="shared" si="34"/>
        <v>3057.5415363366778</v>
      </c>
      <c r="R56" s="125">
        <f t="shared" si="29"/>
        <v>11814.915362617048</v>
      </c>
      <c r="S56" s="125">
        <f t="shared" si="29"/>
        <v>8395.1456009797039</v>
      </c>
      <c r="T56" s="125">
        <f t="shared" si="29"/>
        <v>12965.676207278146</v>
      </c>
      <c r="U56" s="125">
        <f t="shared" si="29"/>
        <v>3227.8679131002459</v>
      </c>
      <c r="V56" s="126"/>
      <c r="W56" s="127"/>
      <c r="X56" s="126"/>
      <c r="Y56" s="126">
        <f t="shared" si="36"/>
        <v>-1141.5442309537916</v>
      </c>
      <c r="Z56" s="126">
        <f t="shared" si="36"/>
        <v>-1141.5442309537916</v>
      </c>
      <c r="AA56" s="126">
        <f t="shared" si="36"/>
        <v>-153.29373908721141</v>
      </c>
      <c r="AB56" s="127">
        <f t="shared" si="36"/>
        <v>-153.29373908721141</v>
      </c>
      <c r="AC56" s="126">
        <f t="shared" si="35"/>
        <v>-9491.8795954015513</v>
      </c>
      <c r="AD56" s="126">
        <f t="shared" si="35"/>
        <v>-6414.0868099279414</v>
      </c>
      <c r="AE56" s="126">
        <f t="shared" si="35"/>
        <v>-11515.814847463122</v>
      </c>
      <c r="AF56" s="127">
        <f t="shared" si="35"/>
        <v>-2751.7873827030098</v>
      </c>
      <c r="AG56" s="122">
        <f t="shared" si="30"/>
        <v>-10633.423826355343</v>
      </c>
      <c r="AH56" s="122">
        <f t="shared" si="30"/>
        <v>-7555.6310408817335</v>
      </c>
      <c r="AI56" s="122">
        <f t="shared" si="30"/>
        <v>-11669.108586550334</v>
      </c>
      <c r="AJ56" s="122">
        <f t="shared" si="30"/>
        <v>-2905.081121790221</v>
      </c>
      <c r="AK56" s="122">
        <f t="shared" si="31"/>
        <v>-10633.423826355343</v>
      </c>
      <c r="AL56" s="122">
        <f t="shared" si="31"/>
        <v>-7555.6310408817335</v>
      </c>
      <c r="AM56" s="122">
        <f t="shared" si="21"/>
        <v>-11669.108586550334</v>
      </c>
      <c r="AN56" s="122">
        <f t="shared" si="21"/>
        <v>-2905.081121790221</v>
      </c>
      <c r="AO56" s="122">
        <f t="shared" si="28"/>
        <v>1181.4915362617048</v>
      </c>
      <c r="AP56" s="122">
        <f t="shared" si="28"/>
        <v>839.51456009797039</v>
      </c>
      <c r="AQ56" s="122">
        <f t="shared" si="28"/>
        <v>1296.567620727812</v>
      </c>
      <c r="AR56" s="122">
        <f t="shared" si="28"/>
        <v>322.78679131002491</v>
      </c>
      <c r="AS56" s="122"/>
      <c r="AT56" s="122">
        <v>52942</v>
      </c>
      <c r="AU56" s="122">
        <v>23131</v>
      </c>
      <c r="AV56" s="128">
        <f t="shared" si="23"/>
        <v>24210.79430957128</v>
      </c>
      <c r="AW56" s="128">
        <v>36023.880463415262</v>
      </c>
      <c r="AX56" s="122">
        <f t="shared" si="16"/>
        <v>60234.674772986546</v>
      </c>
      <c r="AY56" s="122">
        <f t="shared" si="22"/>
        <v>-10633.423826355343</v>
      </c>
      <c r="AZ56" s="122">
        <f t="shared" si="17"/>
        <v>49601.250946631204</v>
      </c>
    </row>
    <row r="57" spans="1:52" x14ac:dyDescent="0.25">
      <c r="A57" s="117" t="s">
        <v>42</v>
      </c>
      <c r="B57" s="117">
        <v>6809</v>
      </c>
      <c r="C57" s="118">
        <v>1052</v>
      </c>
      <c r="D57" s="119">
        <v>38609.597305062765</v>
      </c>
      <c r="E57" s="119">
        <f t="shared" si="18"/>
        <v>12393.061705325588</v>
      </c>
      <c r="F57" s="119">
        <f t="shared" si="7"/>
        <v>38261.797402878772</v>
      </c>
      <c r="G57" s="120">
        <f t="shared" si="8"/>
        <v>50654.859108204357</v>
      </c>
      <c r="H57" s="121">
        <f t="shared" si="1"/>
        <v>38609.597305062765</v>
      </c>
      <c r="I57" s="122">
        <f t="shared" si="9"/>
        <v>46945.901900961428</v>
      </c>
      <c r="J57" s="123">
        <f t="shared" si="19"/>
        <v>98098.567413578217</v>
      </c>
      <c r="K57" s="123">
        <f t="shared" si="33"/>
        <v>98098.567413578217</v>
      </c>
      <c r="L57" s="123">
        <f t="shared" si="33"/>
        <v>13173.29262429166</v>
      </c>
      <c r="M57" s="124">
        <f t="shared" si="33"/>
        <v>13173.29262429166</v>
      </c>
      <c r="N57" s="123">
        <f t="shared" si="34"/>
        <v>28375.837835642036</v>
      </c>
      <c r="O57" s="123">
        <f t="shared" si="34"/>
        <v>19174.820471850511</v>
      </c>
      <c r="P57" s="123">
        <f t="shared" si="34"/>
        <v>34426.363226857633</v>
      </c>
      <c r="Q57" s="124">
        <f t="shared" si="34"/>
        <v>8226.4288906040547</v>
      </c>
      <c r="R57" s="125">
        <f t="shared" si="29"/>
        <v>126474.40524922026</v>
      </c>
      <c r="S57" s="125">
        <f t="shared" si="29"/>
        <v>117273.38788542873</v>
      </c>
      <c r="T57" s="125">
        <f t="shared" si="29"/>
        <v>47599.655851149291</v>
      </c>
      <c r="U57" s="125">
        <f t="shared" si="29"/>
        <v>21399.721514895715</v>
      </c>
      <c r="V57" s="126"/>
      <c r="W57" s="127"/>
      <c r="X57" s="126"/>
      <c r="Y57" s="126">
        <f t="shared" si="36"/>
        <v>-88288.710672220404</v>
      </c>
      <c r="Z57" s="126">
        <f t="shared" si="36"/>
        <v>-88288.710672220404</v>
      </c>
      <c r="AA57" s="126">
        <f t="shared" si="36"/>
        <v>-11855.963361862494</v>
      </c>
      <c r="AB57" s="127">
        <f t="shared" si="36"/>
        <v>-11855.963361862494</v>
      </c>
      <c r="AC57" s="126">
        <f t="shared" si="35"/>
        <v>-25538.254052077831</v>
      </c>
      <c r="AD57" s="126">
        <f t="shared" si="35"/>
        <v>-17257.33842466546</v>
      </c>
      <c r="AE57" s="126">
        <f t="shared" si="35"/>
        <v>-30983.726904171876</v>
      </c>
      <c r="AF57" s="127">
        <f t="shared" si="35"/>
        <v>-7403.7860015436481</v>
      </c>
      <c r="AG57" s="122">
        <f t="shared" si="30"/>
        <v>-113826.96472429823</v>
      </c>
      <c r="AH57" s="122">
        <f t="shared" si="30"/>
        <v>-105546.04909688586</v>
      </c>
      <c r="AI57" s="122">
        <f t="shared" si="30"/>
        <v>-42839.690266034369</v>
      </c>
      <c r="AJ57" s="122">
        <f t="shared" si="30"/>
        <v>-19259.749363406143</v>
      </c>
      <c r="AK57" s="122">
        <f t="shared" si="31"/>
        <v>-113826.96472429823</v>
      </c>
      <c r="AL57" s="122">
        <f t="shared" si="31"/>
        <v>-105546.04909688586</v>
      </c>
      <c r="AM57" s="122">
        <f t="shared" si="21"/>
        <v>-42839.690266034369</v>
      </c>
      <c r="AN57" s="122">
        <f t="shared" si="21"/>
        <v>-19259.749363406143</v>
      </c>
      <c r="AO57" s="122">
        <f t="shared" si="28"/>
        <v>12647.440524922029</v>
      </c>
      <c r="AP57" s="122">
        <f t="shared" si="28"/>
        <v>11727.338788542867</v>
      </c>
      <c r="AQ57" s="122">
        <f t="shared" si="28"/>
        <v>4759.9655851149219</v>
      </c>
      <c r="AR57" s="122">
        <f t="shared" si="28"/>
        <v>2139.9721514895718</v>
      </c>
      <c r="AS57" s="122"/>
      <c r="AT57" s="122">
        <v>801879</v>
      </c>
      <c r="AU57" s="122">
        <v>721672</v>
      </c>
      <c r="AV57" s="128">
        <f t="shared" si="23"/>
        <v>755360.8728968451</v>
      </c>
      <c r="AW57" s="128">
        <v>96922.860029155272</v>
      </c>
      <c r="AX57" s="122">
        <f t="shared" si="16"/>
        <v>852283.73292600038</v>
      </c>
      <c r="AY57" s="122">
        <f t="shared" si="22"/>
        <v>-113826.96472429823</v>
      </c>
      <c r="AZ57" s="122">
        <f t="shared" si="17"/>
        <v>738456.76820170216</v>
      </c>
    </row>
    <row r="58" spans="1:52" x14ac:dyDescent="0.25">
      <c r="A58" s="117" t="s">
        <v>15</v>
      </c>
      <c r="B58" s="117">
        <v>6800</v>
      </c>
      <c r="C58" s="118">
        <v>6440</v>
      </c>
      <c r="D58" s="119">
        <v>204190.48480889722</v>
      </c>
      <c r="E58" s="119">
        <f t="shared" si="18"/>
        <v>75866.271275947525</v>
      </c>
      <c r="F58" s="119">
        <f t="shared" si="7"/>
        <v>234226.21223815522</v>
      </c>
      <c r="G58" s="120">
        <f t="shared" si="8"/>
        <v>310092.48351410276</v>
      </c>
      <c r="H58" s="121">
        <f t="shared" si="1"/>
        <v>204190.48480889722</v>
      </c>
      <c r="I58" s="122">
        <f t="shared" si="9"/>
        <v>248277.81531125348</v>
      </c>
      <c r="J58" s="123">
        <f t="shared" si="19"/>
        <v>518803.49543584185</v>
      </c>
      <c r="K58" s="123">
        <f t="shared" si="33"/>
        <v>518803.49543584191</v>
      </c>
      <c r="L58" s="123">
        <f t="shared" si="33"/>
        <v>69668.196387297474</v>
      </c>
      <c r="M58" s="124">
        <f t="shared" si="33"/>
        <v>69668.196387297474</v>
      </c>
      <c r="N58" s="123">
        <f t="shared" si="34"/>
        <v>173707.60043872119</v>
      </c>
      <c r="O58" s="123">
        <f t="shared" si="34"/>
        <v>117381.98083528259</v>
      </c>
      <c r="P58" s="123">
        <f t="shared" si="34"/>
        <v>210746.93838494597</v>
      </c>
      <c r="Q58" s="124">
        <f t="shared" si="34"/>
        <v>50359.507657309987</v>
      </c>
      <c r="R58" s="125">
        <f t="shared" si="29"/>
        <v>692511.09587456309</v>
      </c>
      <c r="S58" s="125">
        <f t="shared" si="29"/>
        <v>636185.47627112456</v>
      </c>
      <c r="T58" s="125">
        <f t="shared" si="29"/>
        <v>280415.13477224344</v>
      </c>
      <c r="U58" s="125">
        <f t="shared" si="29"/>
        <v>120027.70404460747</v>
      </c>
      <c r="V58" s="126"/>
      <c r="W58" s="127"/>
      <c r="X58" s="126"/>
      <c r="Y58" s="126">
        <f t="shared" si="36"/>
        <v>-466923.14589225774</v>
      </c>
      <c r="Z58" s="126">
        <f t="shared" si="36"/>
        <v>-466923.14589225774</v>
      </c>
      <c r="AA58" s="126">
        <f t="shared" si="36"/>
        <v>-62701.376748567731</v>
      </c>
      <c r="AB58" s="127">
        <f t="shared" si="36"/>
        <v>-62701.376748567731</v>
      </c>
      <c r="AC58" s="126">
        <f t="shared" si="35"/>
        <v>-156336.84039484907</v>
      </c>
      <c r="AD58" s="126">
        <f t="shared" si="35"/>
        <v>-105643.78275175433</v>
      </c>
      <c r="AE58" s="126">
        <f t="shared" si="35"/>
        <v>-189672.2445464514</v>
      </c>
      <c r="AF58" s="127">
        <f t="shared" si="35"/>
        <v>-45323.556891578992</v>
      </c>
      <c r="AG58" s="122">
        <f t="shared" si="30"/>
        <v>-623259.98628710676</v>
      </c>
      <c r="AH58" s="122">
        <f t="shared" si="30"/>
        <v>-572566.92864401208</v>
      </c>
      <c r="AI58" s="122">
        <f t="shared" si="30"/>
        <v>-252373.62129501914</v>
      </c>
      <c r="AJ58" s="122">
        <f t="shared" si="30"/>
        <v>-108024.93364014672</v>
      </c>
      <c r="AK58" s="122">
        <f t="shared" si="31"/>
        <v>-623259.98628710676</v>
      </c>
      <c r="AL58" s="122">
        <f t="shared" si="31"/>
        <v>-572566.92864401208</v>
      </c>
      <c r="AM58" s="122">
        <f t="shared" si="21"/>
        <v>-252373.62129501914</v>
      </c>
      <c r="AN58" s="122">
        <f t="shared" si="21"/>
        <v>-108024.93364014672</v>
      </c>
      <c r="AO58" s="122">
        <f t="shared" si="28"/>
        <v>69251.109587456333</v>
      </c>
      <c r="AP58" s="122">
        <f t="shared" si="28"/>
        <v>63618.547627112479</v>
      </c>
      <c r="AQ58" s="122">
        <f t="shared" si="28"/>
        <v>28041.513477224304</v>
      </c>
      <c r="AR58" s="122">
        <f t="shared" si="28"/>
        <v>12002.770404460753</v>
      </c>
      <c r="AS58" s="122"/>
      <c r="AT58" s="122">
        <v>2818424</v>
      </c>
      <c r="AU58" s="122">
        <v>2327426</v>
      </c>
      <c r="AV58" s="128">
        <f t="shared" si="23"/>
        <v>2436074.1929336498</v>
      </c>
      <c r="AW58" s="128">
        <v>593326.39830183377</v>
      </c>
      <c r="AX58" s="122">
        <f t="shared" si="16"/>
        <v>3029400.5912354835</v>
      </c>
      <c r="AY58" s="122">
        <f t="shared" si="22"/>
        <v>-623259.98628710676</v>
      </c>
      <c r="AZ58" s="122">
        <f t="shared" si="17"/>
        <v>2406140.6049483768</v>
      </c>
    </row>
    <row r="59" spans="1:52" x14ac:dyDescent="0.25">
      <c r="A59" s="117" t="s">
        <v>51</v>
      </c>
      <c r="B59" s="117">
        <v>6806</v>
      </c>
      <c r="C59" s="118">
        <v>545</v>
      </c>
      <c r="D59" s="119">
        <v>3349.206552772443</v>
      </c>
      <c r="E59" s="119">
        <f t="shared" si="18"/>
        <v>6420.3599138806521</v>
      </c>
      <c r="F59" s="119">
        <f t="shared" si="7"/>
        <v>19821.938768601645</v>
      </c>
      <c r="G59" s="120">
        <f t="shared" si="8"/>
        <v>26242.298682482298</v>
      </c>
      <c r="H59" s="121">
        <f t="shared" si="1"/>
        <v>3349.206552772443</v>
      </c>
      <c r="I59" s="122">
        <f t="shared" si="9"/>
        <v>4072.3429729191967</v>
      </c>
      <c r="J59" s="123">
        <f t="shared" si="19"/>
        <v>8509.6035113545022</v>
      </c>
      <c r="K59" s="123">
        <f t="shared" si="33"/>
        <v>8509.6035113545022</v>
      </c>
      <c r="L59" s="123">
        <f t="shared" si="33"/>
        <v>1142.7230807476249</v>
      </c>
      <c r="M59" s="124">
        <f t="shared" si="33"/>
        <v>1142.7230807476249</v>
      </c>
      <c r="N59" s="123">
        <f t="shared" si="34"/>
        <v>14700.410285575008</v>
      </c>
      <c r="O59" s="123">
        <f t="shared" si="34"/>
        <v>9933.7235334206543</v>
      </c>
      <c r="P59" s="123">
        <f t="shared" si="34"/>
        <v>17834.950531024155</v>
      </c>
      <c r="Q59" s="124">
        <f t="shared" si="34"/>
        <v>4261.7906324897431</v>
      </c>
      <c r="R59" s="125">
        <f t="shared" si="29"/>
        <v>23210.01379692951</v>
      </c>
      <c r="S59" s="125">
        <f t="shared" si="29"/>
        <v>18443.327044775157</v>
      </c>
      <c r="T59" s="125">
        <f t="shared" si="29"/>
        <v>18977.673611771781</v>
      </c>
      <c r="U59" s="125">
        <f t="shared" si="29"/>
        <v>5404.5137132373675</v>
      </c>
      <c r="V59" s="126"/>
      <c r="W59" s="127"/>
      <c r="X59" s="126"/>
      <c r="Y59" s="126">
        <f t="shared" si="36"/>
        <v>-7658.6431602190523</v>
      </c>
      <c r="Z59" s="126">
        <f t="shared" si="36"/>
        <v>-7658.6431602190523</v>
      </c>
      <c r="AA59" s="126">
        <f t="shared" si="36"/>
        <v>-1028.4507726728625</v>
      </c>
      <c r="AB59" s="127">
        <f t="shared" si="36"/>
        <v>-1028.4507726728625</v>
      </c>
      <c r="AC59" s="126">
        <f t="shared" si="35"/>
        <v>-13230.369257017508</v>
      </c>
      <c r="AD59" s="126">
        <f t="shared" si="35"/>
        <v>-8940.3511800785891</v>
      </c>
      <c r="AE59" s="126">
        <f t="shared" si="35"/>
        <v>-16051.455477921741</v>
      </c>
      <c r="AF59" s="127">
        <f t="shared" si="35"/>
        <v>-3835.6115692407684</v>
      </c>
      <c r="AG59" s="122">
        <f t="shared" si="30"/>
        <v>-20889.012417236561</v>
      </c>
      <c r="AH59" s="122">
        <f t="shared" si="30"/>
        <v>-16598.994340297642</v>
      </c>
      <c r="AI59" s="122">
        <f t="shared" si="30"/>
        <v>-17079.906250594606</v>
      </c>
      <c r="AJ59" s="122">
        <f t="shared" si="30"/>
        <v>-4864.0623419136309</v>
      </c>
      <c r="AK59" s="122">
        <f t="shared" si="31"/>
        <v>-20889.012417236561</v>
      </c>
      <c r="AL59" s="122">
        <f t="shared" si="31"/>
        <v>-16598.994340297642</v>
      </c>
      <c r="AM59" s="122">
        <f t="shared" si="21"/>
        <v>-17079.906250594606</v>
      </c>
      <c r="AN59" s="122">
        <f t="shared" si="21"/>
        <v>-4864.0623419136309</v>
      </c>
      <c r="AO59" s="122">
        <f t="shared" si="28"/>
        <v>2321.0013796929488</v>
      </c>
      <c r="AP59" s="122">
        <f t="shared" si="28"/>
        <v>1844.3327044775142</v>
      </c>
      <c r="AQ59" s="122">
        <f t="shared" si="28"/>
        <v>1897.7673611771752</v>
      </c>
      <c r="AR59" s="122">
        <f t="shared" si="28"/>
        <v>540.45137132373657</v>
      </c>
      <c r="AS59" s="122"/>
      <c r="AT59" s="122">
        <v>141472</v>
      </c>
      <c r="AU59" s="122">
        <v>99920</v>
      </c>
      <c r="AV59" s="128">
        <f t="shared" si="23"/>
        <v>104584.43506170777</v>
      </c>
      <c r="AW59" s="128">
        <v>50211.810439630703</v>
      </c>
      <c r="AX59" s="122">
        <f t="shared" si="16"/>
        <v>154796.24550133848</v>
      </c>
      <c r="AY59" s="122">
        <f t="shared" si="22"/>
        <v>-20889.012417236561</v>
      </c>
      <c r="AZ59" s="122">
        <f t="shared" si="17"/>
        <v>133907.23308410193</v>
      </c>
    </row>
    <row r="60" spans="1:52" x14ac:dyDescent="0.25">
      <c r="A60" s="129" t="s">
        <v>126</v>
      </c>
      <c r="B60" s="130"/>
      <c r="C60" s="131"/>
      <c r="D60" s="132"/>
      <c r="E60" s="132"/>
      <c r="F60" s="132"/>
      <c r="G60" s="109"/>
      <c r="H60" s="133"/>
      <c r="I60" s="131"/>
      <c r="J60" s="134"/>
      <c r="K60" s="134"/>
      <c r="L60" s="134"/>
      <c r="M60" s="135"/>
      <c r="N60" s="134"/>
      <c r="O60" s="134"/>
      <c r="P60" s="134"/>
      <c r="Q60" s="135"/>
      <c r="R60" s="136"/>
      <c r="S60" s="136"/>
      <c r="T60" s="136"/>
      <c r="U60" s="136"/>
      <c r="V60" s="137"/>
      <c r="W60" s="138"/>
      <c r="X60" s="137"/>
      <c r="Y60" s="137"/>
      <c r="Z60" s="137"/>
      <c r="AA60" s="137"/>
      <c r="AB60" s="138"/>
      <c r="AC60" s="137"/>
      <c r="AD60" s="137"/>
      <c r="AE60" s="137"/>
      <c r="AF60" s="138"/>
      <c r="AG60" s="131"/>
      <c r="AH60" s="131"/>
      <c r="AI60" s="131"/>
      <c r="AJ60" s="131"/>
      <c r="AK60" s="131"/>
      <c r="AL60" s="131"/>
      <c r="AM60" s="131"/>
      <c r="AN60" s="131"/>
      <c r="AO60" s="131"/>
      <c r="AP60" s="131"/>
      <c r="AQ60" s="131"/>
      <c r="AR60" s="131"/>
      <c r="AS60" s="131"/>
      <c r="AT60" s="131"/>
      <c r="AU60" s="131"/>
      <c r="AV60" s="128"/>
      <c r="AW60" s="139"/>
      <c r="AX60" s="131"/>
      <c r="AY60" s="131"/>
      <c r="AZ60" s="131"/>
    </row>
    <row r="61" spans="1:52" ht="26.25" x14ac:dyDescent="0.25">
      <c r="A61" s="140" t="s">
        <v>127</v>
      </c>
      <c r="B61" s="141"/>
      <c r="C61" s="142"/>
      <c r="D61" s="143"/>
      <c r="E61" s="143"/>
      <c r="F61" s="143"/>
      <c r="G61" s="144"/>
      <c r="H61" s="145">
        <f>H45+H43</f>
        <v>18025.925086744359</v>
      </c>
      <c r="I61" s="128">
        <f>I45+I43</f>
        <v>21917.952267412405</v>
      </c>
      <c r="J61" s="146">
        <f t="shared" ref="J61:AY61" si="37">J45+J43</f>
        <v>45799.944851593369</v>
      </c>
      <c r="K61" s="146">
        <f t="shared" si="37"/>
        <v>45799.944851593362</v>
      </c>
      <c r="L61" s="146">
        <f t="shared" si="37"/>
        <v>6150.3046539184161</v>
      </c>
      <c r="M61" s="147">
        <f t="shared" si="37"/>
        <v>6150.3046539184161</v>
      </c>
      <c r="N61" s="146">
        <f t="shared" si="37"/>
        <v>19987.163342405656</v>
      </c>
      <c r="O61" s="146">
        <f t="shared" si="37"/>
        <v>13506.218602320558</v>
      </c>
      <c r="P61" s="146">
        <f t="shared" si="37"/>
        <v>24248.987786218164</v>
      </c>
      <c r="Q61" s="147">
        <f t="shared" si="37"/>
        <v>5794.4713003209163</v>
      </c>
      <c r="R61" s="148">
        <f t="shared" si="37"/>
        <v>65787.108193999025</v>
      </c>
      <c r="S61" s="148">
        <f t="shared" si="37"/>
        <v>59306.16345391392</v>
      </c>
      <c r="T61" s="148">
        <f t="shared" si="37"/>
        <v>30399.292440136578</v>
      </c>
      <c r="U61" s="148">
        <f t="shared" si="37"/>
        <v>11944.775954239332</v>
      </c>
      <c r="V61" s="149">
        <f t="shared" si="37"/>
        <v>0</v>
      </c>
      <c r="W61" s="150">
        <f t="shared" si="37"/>
        <v>0</v>
      </c>
      <c r="X61" s="149">
        <f t="shared" si="37"/>
        <v>0</v>
      </c>
      <c r="Y61" s="149">
        <f t="shared" si="37"/>
        <v>-41219.950366434023</v>
      </c>
      <c r="Z61" s="149">
        <f t="shared" si="37"/>
        <v>-41219.950366434023</v>
      </c>
      <c r="AA61" s="149">
        <f t="shared" si="37"/>
        <v>-5535.274188526575</v>
      </c>
      <c r="AB61" s="150">
        <f t="shared" si="37"/>
        <v>-5535.274188526575</v>
      </c>
      <c r="AC61" s="149">
        <f t="shared" si="37"/>
        <v>-17988.447008165091</v>
      </c>
      <c r="AD61" s="149">
        <f t="shared" si="37"/>
        <v>-12155.596742088503</v>
      </c>
      <c r="AE61" s="149">
        <f t="shared" si="37"/>
        <v>-21824.089007596351</v>
      </c>
      <c r="AF61" s="150">
        <f t="shared" si="37"/>
        <v>-5215.0241702888252</v>
      </c>
      <c r="AG61" s="128">
        <f t="shared" si="37"/>
        <v>-59208.397374599117</v>
      </c>
      <c r="AH61" s="128">
        <f t="shared" si="37"/>
        <v>-53375.547108522522</v>
      </c>
      <c r="AI61" s="128">
        <f t="shared" si="37"/>
        <v>-27359.363196122926</v>
      </c>
      <c r="AJ61" s="128">
        <f t="shared" si="37"/>
        <v>-10750.2983588154</v>
      </c>
      <c r="AK61" s="128">
        <f t="shared" si="37"/>
        <v>-59208.397374599117</v>
      </c>
      <c r="AL61" s="128">
        <f t="shared" si="37"/>
        <v>-53375.547108522522</v>
      </c>
      <c r="AM61" s="128">
        <f t="shared" si="37"/>
        <v>-27359.363196122926</v>
      </c>
      <c r="AN61" s="128">
        <f t="shared" si="37"/>
        <v>-10750.2983588154</v>
      </c>
      <c r="AO61" s="128">
        <f t="shared" si="37"/>
        <v>6578.7108193999065</v>
      </c>
      <c r="AP61" s="128">
        <f t="shared" si="37"/>
        <v>5930.6163453913914</v>
      </c>
      <c r="AQ61" s="128">
        <f t="shared" si="37"/>
        <v>3039.9292440136514</v>
      </c>
      <c r="AR61" s="128">
        <f t="shared" si="37"/>
        <v>1194.4775954239317</v>
      </c>
      <c r="AS61" s="128">
        <f t="shared" si="37"/>
        <v>0</v>
      </c>
      <c r="AT61" s="128">
        <f t="shared" si="37"/>
        <v>261071</v>
      </c>
      <c r="AU61" s="128">
        <f t="shared" si="37"/>
        <v>204576</v>
      </c>
      <c r="AV61" s="128">
        <f>AV45+AV43</f>
        <v>214125.95463554771</v>
      </c>
      <c r="AW61" s="128">
        <f t="shared" si="37"/>
        <v>68269.06600854198</v>
      </c>
      <c r="AX61" s="128">
        <f t="shared" si="16"/>
        <v>282395.02064408967</v>
      </c>
      <c r="AY61" s="128">
        <f t="shared" si="37"/>
        <v>-59208.397374599117</v>
      </c>
      <c r="AZ61" s="128">
        <f t="shared" si="17"/>
        <v>223186.62326949055</v>
      </c>
    </row>
    <row r="62" spans="1:52" x14ac:dyDescent="0.25">
      <c r="A62" s="12" t="s">
        <v>128</v>
      </c>
      <c r="B62" s="11"/>
      <c r="D62" s="152"/>
      <c r="H62" s="131"/>
      <c r="I62" s="131"/>
      <c r="J62" s="151"/>
      <c r="K62" s="151"/>
      <c r="L62" s="151"/>
      <c r="M62" s="135"/>
      <c r="V62" s="153"/>
      <c r="W62" s="138"/>
      <c r="X62" s="137"/>
      <c r="AB62" s="17"/>
      <c r="AG62" s="131"/>
      <c r="AH62" s="131"/>
      <c r="AI62" s="131"/>
      <c r="AJ62" s="131"/>
      <c r="AK62" s="131"/>
      <c r="AL62" s="131"/>
      <c r="AM62" s="131"/>
      <c r="AN62" s="131"/>
      <c r="AO62" s="131"/>
      <c r="AP62" s="131">
        <f>AL62+S62</f>
        <v>0</v>
      </c>
      <c r="AQ62" s="131">
        <f>AM62+T62</f>
        <v>0</v>
      </c>
      <c r="AR62" s="131">
        <f>AN62+U62</f>
        <v>0</v>
      </c>
      <c r="AS62" s="131"/>
      <c r="AT62" s="131"/>
      <c r="AU62" s="131"/>
      <c r="AV62" s="131"/>
      <c r="AW62" s="131"/>
      <c r="AX62" s="131"/>
      <c r="AY62" s="131"/>
      <c r="AZ62" s="131"/>
    </row>
    <row r="63" spans="1:52" x14ac:dyDescent="0.25">
      <c r="B63" s="11"/>
      <c r="D63" s="152"/>
      <c r="J63" s="151"/>
      <c r="K63" s="151"/>
      <c r="L63" s="151"/>
      <c r="M63" s="135"/>
      <c r="AB63" s="17"/>
    </row>
  </sheetData>
  <sheetProtection selectLockedCells="1"/>
  <mergeCells count="4">
    <mergeCell ref="C2:D2"/>
    <mergeCell ref="H2:I2"/>
    <mergeCell ref="J2:U2"/>
    <mergeCell ref="AO2:AO3"/>
  </mergeCells>
  <pageMargins left="0.7" right="0.7" top="0.75" bottom="0.75" header="0.3" footer="0.3"/>
  <ignoredErrors>
    <ignoredError sqref="A42:I42 K42:AU42 AW42:AZ4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zoomScale="130" zoomScaleNormal="130" workbookViewId="0">
      <selection activeCell="B4" sqref="B4:D4"/>
    </sheetView>
  </sheetViews>
  <sheetFormatPr baseColWidth="10" defaultRowHeight="15" x14ac:dyDescent="0.25"/>
  <cols>
    <col min="1" max="1" width="45.28515625" customWidth="1"/>
    <col min="2" max="2" width="5.42578125" customWidth="1"/>
    <col min="3" max="3" width="6.5703125" customWidth="1"/>
    <col min="4" max="4" width="17.7109375" customWidth="1"/>
    <col min="5" max="5" width="3.140625" style="169" customWidth="1"/>
    <col min="6" max="6" width="15.5703125" customWidth="1"/>
    <col min="7" max="11" width="14.42578125" customWidth="1"/>
  </cols>
  <sheetData>
    <row r="1" spans="1:10" ht="21" x14ac:dyDescent="0.35">
      <c r="A1" s="8" t="s">
        <v>154</v>
      </c>
      <c r="B1" s="8"/>
      <c r="C1" s="6"/>
      <c r="D1" s="6"/>
      <c r="E1" s="168"/>
      <c r="F1" s="6"/>
      <c r="G1" s="6"/>
      <c r="H1" s="6"/>
      <c r="I1" s="6"/>
      <c r="J1" s="6"/>
    </row>
    <row r="2" spans="1:10" ht="6.75" customHeight="1" x14ac:dyDescent="0.25"/>
    <row r="3" spans="1:10" ht="18.75" x14ac:dyDescent="0.3">
      <c r="B3" s="2"/>
    </row>
    <row r="4" spans="1:10" ht="15.75" thickBot="1" x14ac:dyDescent="0.3">
      <c r="A4" s="9"/>
      <c r="B4" s="206" t="s">
        <v>137</v>
      </c>
      <c r="C4" s="206"/>
      <c r="D4" s="206"/>
    </row>
    <row r="5" spans="1:10" ht="15.75" thickBot="1" x14ac:dyDescent="0.3">
      <c r="A5" t="s">
        <v>0</v>
      </c>
      <c r="B5" s="207" t="s">
        <v>2</v>
      </c>
      <c r="C5" s="208"/>
      <c r="D5" s="209"/>
      <c r="E5" s="177"/>
    </row>
    <row r="6" spans="1:10" x14ac:dyDescent="0.25">
      <c r="C6" s="1"/>
      <c r="D6" s="1"/>
      <c r="E6" s="170"/>
      <c r="F6" s="5"/>
      <c r="G6" s="5"/>
    </row>
    <row r="7" spans="1:10" x14ac:dyDescent="0.25">
      <c r="A7" s="173" t="s">
        <v>162</v>
      </c>
      <c r="C7" s="1"/>
      <c r="D7" s="1"/>
      <c r="E7" s="170"/>
      <c r="F7" s="5"/>
      <c r="G7" s="5"/>
    </row>
    <row r="8" spans="1:10" ht="10.5" customHeight="1" x14ac:dyDescent="0.25"/>
    <row r="9" spans="1:10" ht="18.75" x14ac:dyDescent="0.3">
      <c r="A9" s="4" t="s">
        <v>129</v>
      </c>
      <c r="B9" s="4"/>
      <c r="F9" s="194" t="s">
        <v>159</v>
      </c>
    </row>
    <row r="10" spans="1:10" x14ac:dyDescent="0.25">
      <c r="H10" s="3"/>
    </row>
    <row r="11" spans="1:10" ht="15.75" x14ac:dyDescent="0.25">
      <c r="A11" t="s">
        <v>163</v>
      </c>
      <c r="B11">
        <v>2023</v>
      </c>
      <c r="D11" s="159">
        <f>VLOOKUP(Comptes!$B$5,Tabl_com,8,FALSE)</f>
        <v>8663.4177226087868</v>
      </c>
      <c r="F11" s="192"/>
      <c r="G11" t="s">
        <v>160</v>
      </c>
    </row>
    <row r="12" spans="1:10" x14ac:dyDescent="0.25">
      <c r="A12" s="173" t="s">
        <v>151</v>
      </c>
      <c r="B12" t="s">
        <v>134</v>
      </c>
      <c r="D12" s="174">
        <v>0</v>
      </c>
      <c r="E12" s="172"/>
      <c r="F12" s="176" t="s">
        <v>138</v>
      </c>
    </row>
    <row r="13" spans="1:10" ht="15.75" x14ac:dyDescent="0.25">
      <c r="A13" s="4" t="s">
        <v>80</v>
      </c>
      <c r="B13" s="4"/>
      <c r="D13" s="160">
        <f>D11+(D12*D11)</f>
        <v>8663.4177226087868</v>
      </c>
      <c r="F13" s="192"/>
    </row>
    <row r="14" spans="1:10" ht="15.75" x14ac:dyDescent="0.25">
      <c r="D14" s="7"/>
      <c r="F14" s="192"/>
    </row>
    <row r="15" spans="1:10" ht="15.75" x14ac:dyDescent="0.25">
      <c r="A15" s="4" t="s">
        <v>130</v>
      </c>
      <c r="B15" s="4"/>
      <c r="F15" s="192"/>
    </row>
    <row r="16" spans="1:10" ht="15.75" x14ac:dyDescent="0.25">
      <c r="F16" s="192"/>
      <c r="G16" t="s">
        <v>160</v>
      </c>
    </row>
    <row r="17" spans="1:6" x14ac:dyDescent="0.25">
      <c r="A17" t="s">
        <v>67</v>
      </c>
      <c r="B17" t="s">
        <v>134</v>
      </c>
      <c r="D17" s="156">
        <f>D13/Communes!I7*Communes!J7</f>
        <v>18103.153482624257</v>
      </c>
      <c r="E17" s="171"/>
      <c r="F17" s="176" t="s">
        <v>141</v>
      </c>
    </row>
    <row r="18" spans="1:6" x14ac:dyDescent="0.25">
      <c r="A18" t="s">
        <v>68</v>
      </c>
      <c r="B18" t="s">
        <v>134</v>
      </c>
      <c r="D18" s="157">
        <f>VLOOKUP(Comptes!$B$5,Tabl_com,14,FALSE)</f>
        <v>25651.541617581344</v>
      </c>
      <c r="E18" s="171"/>
      <c r="F18" s="176" t="s">
        <v>142</v>
      </c>
    </row>
    <row r="19" spans="1:6" ht="15.75" x14ac:dyDescent="0.25">
      <c r="A19" s="4" t="s">
        <v>1</v>
      </c>
      <c r="D19" s="158">
        <f>D17+D18</f>
        <v>43754.695100205601</v>
      </c>
      <c r="F19" s="192"/>
    </row>
    <row r="20" spans="1:6" ht="15.75" x14ac:dyDescent="0.25">
      <c r="D20" s="156"/>
      <c r="F20" s="192"/>
    </row>
    <row r="21" spans="1:6" ht="15.75" x14ac:dyDescent="0.25">
      <c r="A21" s="4" t="s">
        <v>131</v>
      </c>
      <c r="D21" s="156"/>
      <c r="F21" s="192"/>
    </row>
    <row r="22" spans="1:6" ht="15.75" x14ac:dyDescent="0.25">
      <c r="D22" s="156"/>
      <c r="F22" s="192"/>
    </row>
    <row r="23" spans="1:6" x14ac:dyDescent="0.25">
      <c r="A23" t="s">
        <v>67</v>
      </c>
      <c r="B23" t="s">
        <v>134</v>
      </c>
      <c r="D23" s="156">
        <f>-90%*D17</f>
        <v>-16292.838134361831</v>
      </c>
      <c r="E23" s="171"/>
      <c r="F23" s="176" t="s">
        <v>143</v>
      </c>
    </row>
    <row r="24" spans="1:6" x14ac:dyDescent="0.25">
      <c r="A24" t="s">
        <v>68</v>
      </c>
      <c r="B24" t="s">
        <v>134</v>
      </c>
      <c r="D24" s="157">
        <f>-90%*D18</f>
        <v>-23086.387455823209</v>
      </c>
      <c r="E24" s="171"/>
      <c r="F24" s="176" t="s">
        <v>146</v>
      </c>
    </row>
    <row r="25" spans="1:6" ht="15.75" x14ac:dyDescent="0.25">
      <c r="A25" s="4" t="s">
        <v>1</v>
      </c>
      <c r="D25" s="158">
        <f>D23+D24</f>
        <v>-39379.225590185044</v>
      </c>
      <c r="F25" s="192"/>
    </row>
    <row r="26" spans="1:6" ht="15.75" x14ac:dyDescent="0.25">
      <c r="D26" s="156"/>
      <c r="F26" s="192"/>
    </row>
    <row r="27" spans="1:6" ht="15.75" x14ac:dyDescent="0.25">
      <c r="A27" s="4" t="s">
        <v>132</v>
      </c>
      <c r="D27" s="158">
        <f>D19+D25</f>
        <v>4375.4695100205572</v>
      </c>
      <c r="F27" s="192"/>
    </row>
    <row r="28" spans="1:6" ht="15.75" x14ac:dyDescent="0.25">
      <c r="D28" s="156"/>
      <c r="F28" s="192"/>
    </row>
    <row r="29" spans="1:6" ht="15.75" x14ac:dyDescent="0.25">
      <c r="A29" s="4" t="s">
        <v>133</v>
      </c>
      <c r="D29" s="156"/>
      <c r="F29" s="192"/>
    </row>
    <row r="30" spans="1:6" ht="15.75" x14ac:dyDescent="0.25">
      <c r="D30" s="156"/>
      <c r="F30" s="192"/>
    </row>
    <row r="31" spans="1:6" ht="15.75" x14ac:dyDescent="0.25">
      <c r="A31" s="161" t="s">
        <v>71</v>
      </c>
      <c r="B31" s="162" t="s">
        <v>135</v>
      </c>
      <c r="C31" s="162"/>
      <c r="D31" s="156">
        <f>VLOOKUP(Comptes!$B$5,Tabl_com,46,FALSE)</f>
        <v>348069</v>
      </c>
      <c r="F31" s="192"/>
    </row>
    <row r="32" spans="1:6" ht="15.75" x14ac:dyDescent="0.25">
      <c r="A32" s="161" t="s">
        <v>72</v>
      </c>
      <c r="B32" s="162" t="s">
        <v>135</v>
      </c>
      <c r="C32" s="162"/>
      <c r="D32" s="156">
        <f>VLOOKUP(Comptes!$B$5,Tabl_com,47,FALSE)</f>
        <v>275563</v>
      </c>
      <c r="F32" s="192"/>
    </row>
    <row r="33" spans="1:6" x14ac:dyDescent="0.25">
      <c r="A33" s="173" t="s">
        <v>161</v>
      </c>
      <c r="B33" s="162" t="s">
        <v>134</v>
      </c>
      <c r="D33" s="175">
        <v>0</v>
      </c>
      <c r="E33" s="171"/>
      <c r="F33" s="176" t="s">
        <v>147</v>
      </c>
    </row>
    <row r="34" spans="1:6" ht="15.75" x14ac:dyDescent="0.25">
      <c r="A34" s="161" t="s">
        <v>72</v>
      </c>
      <c r="B34" s="162" t="s">
        <v>134</v>
      </c>
      <c r="C34" s="162"/>
      <c r="D34" s="167">
        <f>$D$32/(Communes!AU7)*(Communes!AU7*(1+$D$33))</f>
        <v>275563</v>
      </c>
      <c r="F34" s="193"/>
    </row>
    <row r="35" spans="1:6" ht="15.75" x14ac:dyDescent="0.25">
      <c r="A35" s="161" t="s">
        <v>136</v>
      </c>
      <c r="B35" s="162" t="s">
        <v>134</v>
      </c>
      <c r="C35" s="162"/>
      <c r="D35" s="157">
        <f>VLOOKUP(Comptes!$B$5,Tabl_com,49,FALSE)</f>
        <v>87616.902381013279</v>
      </c>
      <c r="F35" s="193"/>
    </row>
    <row r="36" spans="1:6" ht="15.75" x14ac:dyDescent="0.25">
      <c r="A36" s="164" t="s">
        <v>74</v>
      </c>
      <c r="B36" s="165" t="s">
        <v>134</v>
      </c>
      <c r="C36" s="165"/>
      <c r="D36" s="159">
        <f>D34+D35</f>
        <v>363179.90238101326</v>
      </c>
      <c r="F36" s="193"/>
    </row>
    <row r="37" spans="1:6" x14ac:dyDescent="0.25">
      <c r="A37" s="164" t="s">
        <v>75</v>
      </c>
      <c r="B37" s="166" t="s">
        <v>134</v>
      </c>
      <c r="C37" s="166"/>
      <c r="D37" s="159">
        <f>D25</f>
        <v>-39379.225590185044</v>
      </c>
      <c r="F37" s="176" t="s">
        <v>150</v>
      </c>
    </row>
    <row r="38" spans="1:6" ht="15.75" x14ac:dyDescent="0.25">
      <c r="A38" s="163" t="s">
        <v>76</v>
      </c>
      <c r="B38" t="s">
        <v>134</v>
      </c>
      <c r="D38" s="158">
        <f>D36+D37</f>
        <v>323800.67679082823</v>
      </c>
      <c r="F38" s="193"/>
    </row>
    <row r="39" spans="1:6" ht="15.75" x14ac:dyDescent="0.25">
      <c r="F39" s="193"/>
    </row>
    <row r="40" spans="1:6" ht="15.75" x14ac:dyDescent="0.25">
      <c r="F40" s="193"/>
    </row>
    <row r="41" spans="1:6" ht="15.75" x14ac:dyDescent="0.25">
      <c r="F41" s="193"/>
    </row>
    <row r="42" spans="1:6" ht="15.75" x14ac:dyDescent="0.25">
      <c r="F42" s="193"/>
    </row>
    <row r="43" spans="1:6" ht="15.75" x14ac:dyDescent="0.25">
      <c r="F43" s="193"/>
    </row>
    <row r="44" spans="1:6" ht="15.75" x14ac:dyDescent="0.25">
      <c r="F44" s="193"/>
    </row>
    <row r="45" spans="1:6" ht="15.75" x14ac:dyDescent="0.25">
      <c r="F45" s="193"/>
    </row>
  </sheetData>
  <sheetProtection algorithmName="SHA-512" hashValue="bNiI+PIb0jiE5O1RQR84KjATGzwa/WaXeLjT6rN8GfN47fCMg/9aIUfEckMgrkxj2niWLl0AcOQWVn5Y32FTZA==" saltValue="sMsTvcMRK7g19yIYIwE3hQ==" spinCount="100000" sheet="1" selectLockedCells="1"/>
  <dataConsolidate/>
  <mergeCells count="2">
    <mergeCell ref="B4:D4"/>
    <mergeCell ref="B5:D5"/>
  </mergeCells>
  <dataValidations count="1">
    <dataValidation type="list" allowBlank="1" showInputMessage="1" showErrorMessage="1" sqref="I5">
      <formula1>#REF!</formula1>
    </dataValidation>
  </dataValidations>
  <hyperlinks>
    <hyperlink ref="F12" location="Explications!B8" display="a)"/>
    <hyperlink ref="F17" location="Explications!B11" display="b)"/>
    <hyperlink ref="F18" location="Explications!B14" display="c)"/>
    <hyperlink ref="F23" location="Explications!B17" display="d)"/>
    <hyperlink ref="F24" location="Explications!B19" display="e)"/>
    <hyperlink ref="F33" location="Explications!B21" display="f)"/>
    <hyperlink ref="F37" location="Explications!B24" display="g)"/>
  </hyperlinks>
  <pageMargins left="0.25" right="0.25" top="0.75" bottom="0.75" header="0.3" footer="0.3"/>
  <pageSetup paperSize="9" orientation="portrait" r:id="rId1"/>
  <ignoredErrors>
    <ignoredError sqref="D37"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Communes!$A$8:$A$59</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showGridLines="0" zoomScale="145" zoomScaleNormal="145" workbookViewId="0">
      <selection activeCell="C23" sqref="C23"/>
    </sheetView>
  </sheetViews>
  <sheetFormatPr baseColWidth="10" defaultRowHeight="15" x14ac:dyDescent="0.25"/>
  <cols>
    <col min="1" max="2" width="3.7109375" style="190" customWidth="1"/>
    <col min="3" max="3" width="103.7109375" style="190" customWidth="1"/>
    <col min="4" max="16384" width="11.42578125" style="190"/>
  </cols>
  <sheetData>
    <row r="1" spans="2:3" s="185" customFormat="1" ht="3.75" customHeight="1" x14ac:dyDescent="0.25"/>
    <row r="2" spans="2:3" s="185" customFormat="1" ht="37.5" customHeight="1" x14ac:dyDescent="0.25">
      <c r="B2" s="210" t="s">
        <v>155</v>
      </c>
      <c r="C2" s="210"/>
    </row>
    <row r="3" spans="2:3" s="185" customFormat="1" x14ac:dyDescent="0.25"/>
    <row r="4" spans="2:3" s="185" customFormat="1" x14ac:dyDescent="0.25">
      <c r="B4" s="211" t="s">
        <v>153</v>
      </c>
      <c r="C4" s="211"/>
    </row>
    <row r="5" spans="2:3" s="185" customFormat="1" x14ac:dyDescent="0.25"/>
    <row r="6" spans="2:3" s="185" customFormat="1" x14ac:dyDescent="0.25">
      <c r="B6" s="212" t="s">
        <v>139</v>
      </c>
      <c r="C6" s="212"/>
    </row>
    <row r="7" spans="2:3" s="185" customFormat="1" ht="3" customHeight="1" x14ac:dyDescent="0.25"/>
    <row r="8" spans="2:3" s="185" customFormat="1" x14ac:dyDescent="0.25">
      <c r="B8" s="186" t="s">
        <v>138</v>
      </c>
      <c r="C8" s="185" t="s">
        <v>140</v>
      </c>
    </row>
    <row r="9" spans="2:3" s="185" customFormat="1" ht="65.25" customHeight="1" x14ac:dyDescent="0.25">
      <c r="C9" s="187" t="s">
        <v>165</v>
      </c>
    </row>
    <row r="10" spans="2:3" s="185" customFormat="1" ht="3" customHeight="1" x14ac:dyDescent="0.25"/>
    <row r="11" spans="2:3" s="185" customFormat="1" x14ac:dyDescent="0.25">
      <c r="B11" s="186" t="s">
        <v>141</v>
      </c>
      <c r="C11" s="185" t="s">
        <v>156</v>
      </c>
    </row>
    <row r="12" spans="2:3" s="185" customFormat="1" ht="60" customHeight="1" x14ac:dyDescent="0.25">
      <c r="C12" s="195" t="s">
        <v>157</v>
      </c>
    </row>
    <row r="13" spans="2:3" s="185" customFormat="1" ht="2.25" customHeight="1" x14ac:dyDescent="0.25">
      <c r="C13" s="195"/>
    </row>
    <row r="14" spans="2:3" s="185" customFormat="1" ht="15.75" customHeight="1" x14ac:dyDescent="0.25">
      <c r="B14" s="186" t="s">
        <v>142</v>
      </c>
      <c r="C14" s="188" t="s">
        <v>164</v>
      </c>
    </row>
    <row r="15" spans="2:3" s="185" customFormat="1" ht="58.5" customHeight="1" x14ac:dyDescent="0.25">
      <c r="C15" s="188" t="s">
        <v>158</v>
      </c>
    </row>
    <row r="16" spans="2:3" s="185" customFormat="1" ht="3.75" customHeight="1" x14ac:dyDescent="0.25">
      <c r="C16" s="188"/>
    </row>
    <row r="17" spans="2:3" s="185" customFormat="1" ht="30" x14ac:dyDescent="0.25">
      <c r="B17" s="196" t="s">
        <v>143</v>
      </c>
      <c r="C17" s="188" t="s">
        <v>144</v>
      </c>
    </row>
    <row r="18" spans="2:3" s="185" customFormat="1" ht="6.75" customHeight="1" x14ac:dyDescent="0.25">
      <c r="B18" s="189"/>
      <c r="C18" s="188"/>
    </row>
    <row r="19" spans="2:3" s="197" customFormat="1" ht="28.5" customHeight="1" x14ac:dyDescent="0.25">
      <c r="B19" s="196" t="s">
        <v>146</v>
      </c>
      <c r="C19" s="195" t="s">
        <v>145</v>
      </c>
    </row>
    <row r="20" spans="2:3" s="185" customFormat="1" ht="6.75" customHeight="1" x14ac:dyDescent="0.25">
      <c r="C20" s="188"/>
    </row>
    <row r="21" spans="2:3" s="185" customFormat="1" x14ac:dyDescent="0.25">
      <c r="B21" s="186" t="s">
        <v>147</v>
      </c>
      <c r="C21" s="188" t="s">
        <v>148</v>
      </c>
    </row>
    <row r="22" spans="2:3" s="185" customFormat="1" ht="63.75" customHeight="1" x14ac:dyDescent="0.25">
      <c r="C22" s="188" t="s">
        <v>166</v>
      </c>
    </row>
    <row r="23" spans="2:3" s="185" customFormat="1" ht="5.25" customHeight="1" x14ac:dyDescent="0.25">
      <c r="C23" s="188"/>
    </row>
    <row r="24" spans="2:3" s="185" customFormat="1" x14ac:dyDescent="0.25">
      <c r="B24" s="186" t="s">
        <v>150</v>
      </c>
      <c r="C24" s="188" t="s">
        <v>149</v>
      </c>
    </row>
    <row r="25" spans="2:3" x14ac:dyDescent="0.25">
      <c r="C25" s="191"/>
    </row>
    <row r="26" spans="2:3" x14ac:dyDescent="0.25">
      <c r="C26" s="191"/>
    </row>
    <row r="27" spans="2:3" x14ac:dyDescent="0.25">
      <c r="C27" s="191"/>
    </row>
    <row r="28" spans="2:3" x14ac:dyDescent="0.25">
      <c r="C28" s="191"/>
    </row>
    <row r="29" spans="2:3" x14ac:dyDescent="0.25">
      <c r="C29" s="191"/>
    </row>
  </sheetData>
  <sheetProtection algorithmName="SHA-512" hashValue="wDYs3mu18aIIbz2ukZKqW3p/y2yFsBDuoeJBtgAKIRpNsuH3VgWxoEk3gNW9/EeysdEtlfevm8vEbg4l3i9h1w==" saltValue="6CgzizfPwQ5GhtRhr3saQg==" spinCount="100000" sheet="1" objects="1" scenarios="1"/>
  <mergeCells count="3">
    <mergeCell ref="B2:C2"/>
    <mergeCell ref="B4:C4"/>
    <mergeCell ref="B6:C6"/>
  </mergeCell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Communes</vt:lpstr>
      <vt:lpstr>Comptes</vt:lpstr>
      <vt:lpstr>Explications</vt:lpstr>
      <vt:lpstr>Tabl_com</vt:lpstr>
      <vt:lpstr>Comptes!Zone_d_impression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Charmillot Pascal</cp:lastModifiedBy>
  <cp:lastPrinted>2023-11-08T08:05:30Z</cp:lastPrinted>
  <dcterms:created xsi:type="dcterms:W3CDTF">2019-10-04T12:09:07Z</dcterms:created>
  <dcterms:modified xsi:type="dcterms:W3CDTF">2023-11-08T08:07:37Z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	4108</vt:lpwstr>
  </property>
</Properties>
</file>