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7" activeTab="47"/>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<sst xmlns="http://schemas.openxmlformats.org/spreadsheetml/2006/main" count="5640" uniqueCount="882">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</sst>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tabSelected="1" workbookViewId="0">
      <selection activeCell="F5" sqref="F5"/>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65</v>
      </c>
    </row>
    <row r="8" spans="1:6" ht="20.25" x14ac:dyDescent="0.3">
      <c r="A8" s="118">
        <v>1</v>
      </c>
      <c r="B8" s="118"/>
      <c r="C8" s="118"/>
      <c r="D8" s="118"/>
      <c r="E8" s="118" t="s">
        <v>238</v>
      </c>
      <c r="F8" s="132">
        <f>HLOOKUP($E$5,'Bourgeoisie bilan'!$F$4:$S$229,2,0)</f>
        <v>61487461.760000005</v>
      </c>
    </row>
    <row r="9" spans="1:6" ht="15" x14ac:dyDescent="0.25">
      <c r="A9" s="16"/>
      <c r="B9" s="120">
        <v>10</v>
      </c>
      <c r="C9" s="120"/>
      <c r="D9" s="120"/>
      <c r="E9" s="120" t="s">
        <v>239</v>
      </c>
      <c r="F9" s="121">
        <f>HLOOKUP($E$5,'Bourgeoisie bilan'!$F$4:$S$229,2,0)</f>
        <v>61487461.760000005</v>
      </c>
    </row>
    <row r="10" spans="1:6" ht="15" x14ac:dyDescent="0.25">
      <c r="A10" s="17"/>
      <c r="B10" s="17"/>
      <c r="C10" s="89">
        <v>100</v>
      </c>
      <c r="D10" s="89"/>
      <c r="E10" s="89" t="s">
        <v>240</v>
      </c>
      <c r="F10" s="111">
        <f>HLOOKUP($E$5,'Bourgeoisie bilan'!$F$4:$S$229,2,0)</f>
        <v>61487461.760000005</v>
      </c>
    </row>
    <row r="11" spans="1:6" x14ac:dyDescent="0.2">
      <c r="D11" s="8">
        <v>1000</v>
      </c>
      <c r="E11" s="8" t="s">
        <v>310</v>
      </c>
      <c r="F11" s="13">
        <f>HLOOKUP($E$5,'Bourgeoisie bilan'!$F$4:$S$229,5,0)</f>
        <v>11817.469999999998</v>
      </c>
    </row>
    <row r="12" spans="1:6" x14ac:dyDescent="0.2">
      <c r="D12" s="8">
        <v>1001</v>
      </c>
      <c r="E12" s="8" t="s">
        <v>311</v>
      </c>
      <c r="F12" s="13">
        <f>HLOOKUP($E$5,'Bourgeoisie bilan'!$F$4:$S$229,6,0)</f>
        <v>453695.38000000006</v>
      </c>
    </row>
    <row r="13" spans="1:6" x14ac:dyDescent="0.2">
      <c r="D13" s="8">
        <v>1002</v>
      </c>
      <c r="E13" s="8" t="s">
        <v>319</v>
      </c>
      <c r="F13" s="13">
        <f>HLOOKUP($E$5,'Bourgeoisie bilan'!$F$4:$S$229,7,0)</f>
        <v>5640871.4199999999</v>
      </c>
    </row>
    <row r="14" spans="1:6" x14ac:dyDescent="0.2">
      <c r="D14" s="8">
        <v>1003</v>
      </c>
      <c r="E14" s="8" t="s">
        <v>312</v>
      </c>
      <c r="F14" s="13">
        <f>HLOOKUP($E$5,'Bourgeoisie bilan'!$F$4:$S$229,8,0)</f>
        <v>1195655.79</v>
      </c>
    </row>
    <row r="15" spans="1:6" x14ac:dyDescent="0.2">
      <c r="D15" s="8">
        <v>1004</v>
      </c>
      <c r="E15" s="8" t="s">
        <v>313</v>
      </c>
      <c r="F15" s="13">
        <f>HLOOKUP($E$5,'Bourgeoisie bilan'!$F$4:$S$229,9,0)</f>
        <v>3782.25</v>
      </c>
    </row>
    <row r="16" spans="1:6" x14ac:dyDescent="0.2">
      <c r="D16" s="8">
        <v>1009</v>
      </c>
      <c r="E16" s="8" t="s">
        <v>314</v>
      </c>
      <c r="F16" s="13">
        <f>HLOOKUP($E$5,'Bourgeoisie bilan'!$F$4:$S$229,10,0)</f>
        <v>9057.25</v>
      </c>
    </row>
    <row r="17" spans="1:6" x14ac:dyDescent="0.2">
      <c r="F17" s="13"/>
    </row>
    <row r="18" spans="1:6" ht="15" x14ac:dyDescent="0.25">
      <c r="A18" s="17"/>
      <c r="B18" s="17"/>
      <c r="C18" s="89">
        <v>101</v>
      </c>
      <c r="D18" s="89"/>
      <c r="E18" s="89" t="s">
        <v>241</v>
      </c>
      <c r="F18" s="111">
        <f>HLOOKUP($E$5,'Bourgeoisie bilan'!$F$4:$S$229,12,0)</f>
        <v>4280490.2599999988</v>
      </c>
    </row>
    <row r="19" spans="1:6" x14ac:dyDescent="0.2">
      <c r="D19" s="8">
        <v>1010</v>
      </c>
      <c r="E19" s="8" t="s">
        <v>315</v>
      </c>
      <c r="F19" s="13">
        <f>HLOOKUP($E$5,'Bourgeoisie bilan'!$F$4:$S$229,13,0)</f>
        <v>61663.219999999994</v>
      </c>
    </row>
    <row r="20" spans="1:6" x14ac:dyDescent="0.2">
      <c r="D20" s="8">
        <v>1011</v>
      </c>
      <c r="E20" s="8" t="s">
        <v>396</v>
      </c>
      <c r="F20" s="13">
        <f>HLOOKUP($E$5,'Bourgeoisie bilan'!$F$4:$S$229,14,0)</f>
        <v>4218750.0999999996</v>
      </c>
    </row>
    <row r="21" spans="1:6" x14ac:dyDescent="0.2">
      <c r="D21" s="8">
        <v>1012</v>
      </c>
      <c r="E21" s="8" t="s">
        <v>316</v>
      </c>
      <c r="F21" s="13">
        <f>HLOOKUP($E$5,'Bourgeoisie bilan'!$F$4:$S$229,15,0)</f>
        <v>-0.06</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77</v>
      </c>
    </row>
    <row r="27" spans="1:6" x14ac:dyDescent="0.2">
      <c r="F27" s="13"/>
    </row>
    <row r="28" spans="1:6" ht="15" x14ac:dyDescent="0.25">
      <c r="C28" s="89">
        <v>102</v>
      </c>
      <c r="D28" s="89"/>
      <c r="E28" s="89" t="s">
        <v>242</v>
      </c>
      <c r="F28" s="111">
        <f>HLOOKUP($E$5,'Bourgeoisie bilan'!$F$4:$S$229,22,0)</f>
        <v>85026.3</v>
      </c>
    </row>
    <row r="29" spans="1:6" x14ac:dyDescent="0.2">
      <c r="D29" s="8">
        <v>1020</v>
      </c>
      <c r="E29" s="8" t="s">
        <v>323</v>
      </c>
      <c r="F29" s="13">
        <f>HLOOKUP($E$5,'Bourgeoisie bilan'!$F$4:$S$229,23,0)</f>
        <v>85026.3</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268903.25999999995</v>
      </c>
    </row>
    <row r="35" spans="3:6" x14ac:dyDescent="0.2">
      <c r="D35" s="8">
        <v>1040</v>
      </c>
      <c r="E35" s="8" t="s">
        <v>61</v>
      </c>
      <c r="F35" s="13">
        <f>HLOOKUP($E$5,'Bourgeoisie bilan'!$F$4:$S$229,29,0)</f>
        <v>1123.2</v>
      </c>
    </row>
    <row r="36" spans="3:6" x14ac:dyDescent="0.2">
      <c r="D36" s="8">
        <v>1041</v>
      </c>
      <c r="E36" s="8" t="s">
        <v>327</v>
      </c>
      <c r="F36" s="13">
        <f>HLOOKUP($E$5,'Bourgeoisie bilan'!$F$4:$S$229,30,0)</f>
        <v>65858.45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97683.62</v>
      </c>
    </row>
    <row r="40" spans="3:6" x14ac:dyDescent="0.2">
      <c r="D40" s="8">
        <v>1045</v>
      </c>
      <c r="E40" s="8" t="s">
        <v>331</v>
      </c>
      <c r="F40" s="13">
        <f>HLOOKUP($E$5,'Bourgeoisie bilan'!$F$4:$S$229,34,0)</f>
        <v>40814.99</v>
      </c>
    </row>
    <row r="41" spans="3:6" x14ac:dyDescent="0.2">
      <c r="D41" s="8">
        <v>1046</v>
      </c>
      <c r="E41" s="8" t="s">
        <v>332</v>
      </c>
      <c r="F41" s="13">
        <f>HLOOKUP($E$5,'Bourgeoisie bilan'!$F$4:$S$229,35,0)</f>
        <v>0</v>
      </c>
    </row>
    <row r="42" spans="3:6" x14ac:dyDescent="0.2">
      <c r="D42" s="8">
        <v>1049</v>
      </c>
      <c r="E42" s="8" t="s">
        <v>333</v>
      </c>
      <c r="F42" s="13">
        <f>HLOOKUP($E$5,'Bourgeoisie bilan'!$F$4:$S$229,36,0)</f>
        <v>63423</v>
      </c>
    </row>
    <row r="43" spans="3:6" x14ac:dyDescent="0.2">
      <c r="F43" s="13"/>
    </row>
    <row r="44" spans="3:6" ht="15" x14ac:dyDescent="0.25">
      <c r="C44" s="89">
        <v>106</v>
      </c>
      <c r="D44" s="89"/>
      <c r="E44" s="89" t="s">
        <v>244</v>
      </c>
      <c r="F44" s="111">
        <f>HLOOKUP($E$5,'Bourgeoisie bilan'!$F$4:$S$229,38,0)</f>
        <v>72306.3</v>
      </c>
    </row>
    <row r="45" spans="3:6" x14ac:dyDescent="0.2">
      <c r="D45" s="8">
        <v>1060</v>
      </c>
      <c r="E45" s="8" t="s">
        <v>334</v>
      </c>
      <c r="F45" s="13">
        <f>HLOOKUP($E$5,'Bourgeoisie bilan'!$F$4:$S$229,39,0)</f>
        <v>72306.3</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572336.32999999996</v>
      </c>
    </row>
    <row r="52" spans="3:6" x14ac:dyDescent="0.2">
      <c r="D52" s="8">
        <v>1070</v>
      </c>
      <c r="E52" s="8" t="s">
        <v>339</v>
      </c>
      <c r="F52" s="13">
        <f>HLOOKUP($E$5,'Bourgeoisie bilan'!$F$4:$S$229,46,0)</f>
        <v>195487.30000000002</v>
      </c>
    </row>
    <row r="53" spans="3:6" x14ac:dyDescent="0.2">
      <c r="D53" s="8">
        <v>1071</v>
      </c>
      <c r="E53" s="8" t="s">
        <v>340</v>
      </c>
      <c r="F53" s="13">
        <f>HLOOKUP($E$5,'Bourgeoisie bilan'!$F$4:$S$229,47,0)</f>
        <v>376849.03</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36123746.399999999</v>
      </c>
    </row>
    <row r="58" spans="3:6" x14ac:dyDescent="0.2">
      <c r="D58" s="8">
        <v>1080</v>
      </c>
      <c r="E58" s="8" t="s">
        <v>344</v>
      </c>
      <c r="F58" s="13">
        <f>HLOOKUP($E$5,'Bourgeoisie bilan'!$F$4:$S$229,52,0)</f>
        <v>23045770.050000001</v>
      </c>
    </row>
    <row r="59" spans="3:6" x14ac:dyDescent="0.2">
      <c r="D59" s="8">
        <v>1084</v>
      </c>
      <c r="E59" s="8" t="s">
        <v>345</v>
      </c>
      <c r="F59" s="13">
        <f>HLOOKUP($E$5,'Bourgeoisie bilan'!$F$4:$S$229,53,0)</f>
        <v>12971464.35</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2200</v>
      </c>
    </row>
    <row r="63" spans="3:6" x14ac:dyDescent="0.2">
      <c r="D63" s="8">
        <v>1089</v>
      </c>
      <c r="E63" s="8" t="s">
        <v>349</v>
      </c>
      <c r="F63" s="13">
        <f>HLOOKUP($E$5,'Bourgeoisie bilan'!$F$4:$S$229,57,0)</f>
        <v>104312</v>
      </c>
    </row>
    <row r="64" spans="3:6" x14ac:dyDescent="0.2">
      <c r="F64" s="13"/>
    </row>
    <row r="65" spans="2:6" ht="15" x14ac:dyDescent="0.25">
      <c r="C65" s="89">
        <v>109</v>
      </c>
      <c r="D65" s="89"/>
      <c r="E65" s="89" t="s">
        <v>350</v>
      </c>
      <c r="F65" s="111">
        <f>HLOOKUP($E$5,'Bourgeoisie bilan'!$F$4:$S$229,59,0)</f>
        <v>54803.199999999997</v>
      </c>
    </row>
    <row r="66" spans="2:6" x14ac:dyDescent="0.2">
      <c r="D66" s="8">
        <v>1090</v>
      </c>
      <c r="E66" s="8" t="s">
        <v>350</v>
      </c>
      <c r="F66" s="13">
        <f>HLOOKUP($E$5,'Bourgeoisie bilan'!$F$4:$S$229,60,0)</f>
        <v>54803.199999999997</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12714970.15</v>
      </c>
    </row>
    <row r="72" spans="2:6" ht="15" x14ac:dyDescent="0.25">
      <c r="C72" s="89">
        <v>140</v>
      </c>
      <c r="D72" s="89"/>
      <c r="E72" s="89" t="s">
        <v>248</v>
      </c>
      <c r="F72" s="111">
        <f>HLOOKUP($E$5,'Bourgeoisie bilan'!$F$4:$S$229,66,0)</f>
        <v>12583167.15</v>
      </c>
    </row>
    <row r="73" spans="2:6" x14ac:dyDescent="0.2">
      <c r="D73" s="8">
        <v>1400</v>
      </c>
      <c r="E73" s="8" t="s">
        <v>354</v>
      </c>
      <c r="F73" s="13">
        <f>HLOOKUP($E$5,'Bourgeoisie bilan'!$F$4:$S$229,67,0)</f>
        <v>3252704.5999999996</v>
      </c>
    </row>
    <row r="74" spans="2:6" x14ac:dyDescent="0.2">
      <c r="D74" s="8">
        <v>1401</v>
      </c>
      <c r="E74" s="8" t="s">
        <v>355</v>
      </c>
      <c r="F74" s="13">
        <f>HLOOKUP($E$5,'Bourgeoisie bilan'!$F$4:$S$229,68,0)</f>
        <v>304832.15000000002</v>
      </c>
    </row>
    <row r="75" spans="2:6" x14ac:dyDescent="0.2">
      <c r="D75" s="8">
        <v>1402</v>
      </c>
      <c r="E75" s="8" t="s">
        <v>356</v>
      </c>
      <c r="F75" s="13">
        <f>HLOOKUP($E$5,'Bourgeoisie bilan'!$F$4:$S$229,69,0)</f>
        <v>87002</v>
      </c>
    </row>
    <row r="76" spans="2:6" x14ac:dyDescent="0.2">
      <c r="D76" s="8">
        <v>1403</v>
      </c>
      <c r="E76" s="8" t="s">
        <v>357</v>
      </c>
      <c r="F76" s="13">
        <f>HLOOKUP($E$5,'Bourgeoisie bilan'!$F$4:$S$229,70,0)</f>
        <v>73749.8</v>
      </c>
    </row>
    <row r="77" spans="2:6" x14ac:dyDescent="0.2">
      <c r="D77" s="8">
        <v>1404</v>
      </c>
      <c r="E77" s="8" t="s">
        <v>358</v>
      </c>
      <c r="F77" s="13">
        <f>HLOOKUP($E$5,'Bourgeoisie bilan'!$F$4:$S$229,71,0)</f>
        <v>2739427.5999999996</v>
      </c>
    </row>
    <row r="78" spans="2:6" x14ac:dyDescent="0.2">
      <c r="D78" s="8">
        <v>1405</v>
      </c>
      <c r="E78" s="8" t="s">
        <v>359</v>
      </c>
      <c r="F78" s="13">
        <f>HLOOKUP($E$5,'Bourgeoisie bilan'!$F$4:$S$229,72,0)</f>
        <v>6023156</v>
      </c>
    </row>
    <row r="79" spans="2:6" x14ac:dyDescent="0.2">
      <c r="D79" s="8">
        <v>1406</v>
      </c>
      <c r="E79" s="8" t="s">
        <v>360</v>
      </c>
      <c r="F79" s="13">
        <f>HLOOKUP($E$5,'Bourgeoisie bilan'!$F$4:$S$229,73,0)</f>
        <v>57405</v>
      </c>
    </row>
    <row r="80" spans="2:6" x14ac:dyDescent="0.2">
      <c r="D80" s="8">
        <v>1407</v>
      </c>
      <c r="E80" s="8" t="s">
        <v>361</v>
      </c>
      <c r="F80" s="13">
        <f>HLOOKUP($E$5,'Bourgeoisie bilan'!$F$4:$S$229,74,0)</f>
        <v>44890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67800</v>
      </c>
    </row>
    <row r="90" spans="3:6" x14ac:dyDescent="0.2">
      <c r="D90" s="8">
        <v>1440</v>
      </c>
      <c r="E90" s="8" t="s">
        <v>365</v>
      </c>
      <c r="F90" s="13">
        <f>HLOOKUP($E$5,'Bourgeoisie bilan'!$F$4:$S$229,83,0)</f>
        <v>67800</v>
      </c>
    </row>
    <row r="91" spans="3:6" x14ac:dyDescent="0.2">
      <c r="D91" s="8">
        <v>1441</v>
      </c>
      <c r="E91" s="8" t="s">
        <v>367</v>
      </c>
      <c r="F91" s="13">
        <f>HLOOKUP($E$5,'Bourgeoisie bilan'!$F$4:$S$229,85,0)</f>
        <v>0</v>
      </c>
    </row>
    <row r="92" spans="3:6" x14ac:dyDescent="0.2">
      <c r="D92" s="8">
        <v>1442</v>
      </c>
      <c r="E92" s="8" t="s">
        <v>366</v>
      </c>
      <c r="F92" s="13">
        <f>HLOOKUP($E$5,'Bourgeoisie bilan'!$F$4:$S$229,86,0)</f>
        <v>22800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45000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61487461.760000013</v>
      </c>
    </row>
    <row r="125" spans="1:6" ht="15" x14ac:dyDescent="0.25">
      <c r="A125" s="7"/>
      <c r="B125" s="125">
        <v>20</v>
      </c>
      <c r="C125" s="125"/>
      <c r="D125" s="125"/>
      <c r="E125" s="125" t="s">
        <v>251</v>
      </c>
      <c r="F125" s="126">
        <f>HLOOKUP($E$5,'Bourgeoisie bilan'!$F$4:$S$229,119,0)</f>
        <v>9171475.5200000014</v>
      </c>
    </row>
    <row r="126" spans="1:6" ht="15" x14ac:dyDescent="0.25">
      <c r="C126" s="127">
        <v>200</v>
      </c>
      <c r="D126" s="127"/>
      <c r="E126" s="127" t="s">
        <v>252</v>
      </c>
      <c r="F126" s="128">
        <f>HLOOKUP($E$5,'Bourgeoisie bilan'!$F$4:$S$229,120,0)</f>
        <v>348514.93</v>
      </c>
    </row>
    <row r="127" spans="1:6" x14ac:dyDescent="0.2">
      <c r="D127" s="8">
        <v>2000</v>
      </c>
      <c r="E127" s="8" t="s">
        <v>395</v>
      </c>
      <c r="F127" s="13">
        <f>HLOOKUP($E$5,'Bourgeoisie bilan'!$F$4:$S$229,121,0)</f>
        <v>307501.09999999998</v>
      </c>
    </row>
    <row r="128" spans="1:6" x14ac:dyDescent="0.2">
      <c r="D128" s="8">
        <v>2001</v>
      </c>
      <c r="E128" s="8" t="s">
        <v>396</v>
      </c>
      <c r="F128" s="13">
        <f>HLOOKUP($E$5,'Bourgeoisie bilan'!$F$4:$S$229,122,0)</f>
        <v>32977.33</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3900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33000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33000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620487.09</v>
      </c>
    </row>
    <row r="147" spans="3:6" x14ac:dyDescent="0.2">
      <c r="D147" s="8">
        <v>2040</v>
      </c>
      <c r="E147" s="8" t="s">
        <v>61</v>
      </c>
      <c r="F147" s="13">
        <f>HLOOKUP($E$5,'Bourgeoisie bilan'!$F$4:$S$229,141,0)</f>
        <v>40843.75</v>
      </c>
    </row>
    <row r="148" spans="3:6" x14ac:dyDescent="0.2">
      <c r="D148" s="8">
        <v>2041</v>
      </c>
      <c r="E148" s="8" t="s">
        <v>276</v>
      </c>
      <c r="F148" s="13">
        <f>HLOOKUP($E$5,'Bourgeoisie bilan'!$F$4:$S$229,142,0)</f>
        <v>61210.95</v>
      </c>
    </row>
    <row r="149" spans="3:6" x14ac:dyDescent="0.2">
      <c r="D149" s="8">
        <v>2042</v>
      </c>
      <c r="E149" s="8" t="s">
        <v>328</v>
      </c>
      <c r="F149" s="13">
        <f>HLOOKUP($E$5,'Bourgeoisie bilan'!$F$4:$S$229,143,0)</f>
        <v>165455</v>
      </c>
    </row>
    <row r="150" spans="3:6" x14ac:dyDescent="0.2">
      <c r="D150" s="8">
        <v>2043</v>
      </c>
      <c r="E150" s="8" t="s">
        <v>329</v>
      </c>
      <c r="F150" s="13">
        <f>HLOOKUP($E$5,'Bourgeoisie bilan'!$F$4:$S$229,144,0)</f>
        <v>0</v>
      </c>
    </row>
    <row r="151" spans="3:6" x14ac:dyDescent="0.2">
      <c r="D151" s="8">
        <v>2044</v>
      </c>
      <c r="E151" s="8" t="s">
        <v>409</v>
      </c>
      <c r="F151" s="13">
        <f>HLOOKUP($E$5,'Bourgeoisie bilan'!$F$4:$S$229,145,0)</f>
        <v>187031.89</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165945.5</v>
      </c>
    </row>
    <row r="155" spans="3:6" x14ac:dyDescent="0.2">
      <c r="F155" s="13"/>
    </row>
    <row r="156" spans="3:6" ht="15" x14ac:dyDescent="0.25">
      <c r="C156" s="127">
        <v>205</v>
      </c>
      <c r="D156" s="127"/>
      <c r="E156" s="127" t="s">
        <v>255</v>
      </c>
      <c r="F156" s="128">
        <f>HLOOKUP($E$5,'Bourgeoisie bilan'!$F$4:$S$229,150,0)</f>
        <v>17585.2</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17585.2</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7492922.5999999996</v>
      </c>
    </row>
    <row r="169" spans="3:6" x14ac:dyDescent="0.2">
      <c r="D169" s="8">
        <v>2060</v>
      </c>
      <c r="E169" s="8" t="s">
        <v>422</v>
      </c>
      <c r="F169" s="13">
        <f>HLOOKUP($E$5,'Bourgeoisie bilan'!$F$4:$S$229,163,0)</f>
        <v>6296757</v>
      </c>
    </row>
    <row r="170" spans="3:6" x14ac:dyDescent="0.2">
      <c r="D170" s="8">
        <v>2062</v>
      </c>
      <c r="E170" s="8" t="s">
        <v>423</v>
      </c>
      <c r="F170" s="13">
        <f>HLOOKUP($E$5,'Bourgeoisie bilan'!$F$4:$S$229,164,0)</f>
        <v>0</v>
      </c>
    </row>
    <row r="171" spans="3:6" x14ac:dyDescent="0.2">
      <c r="D171" s="8">
        <v>2063</v>
      </c>
      <c r="E171" s="8" t="s">
        <v>424</v>
      </c>
      <c r="F171" s="13">
        <f>HLOOKUP($E$5,'Bourgeoisie bilan'!$F$4:$S$229,165,0)</f>
        <v>1173640</v>
      </c>
    </row>
    <row r="172" spans="3:6" x14ac:dyDescent="0.2">
      <c r="D172" s="8">
        <v>2064</v>
      </c>
      <c r="E172" s="8" t="s">
        <v>445</v>
      </c>
      <c r="F172" s="13">
        <f>HLOOKUP($E$5,'Bourgeoisie bilan'!$F$4:$S$229,166,0)</f>
        <v>10100</v>
      </c>
    </row>
    <row r="173" spans="3:6" x14ac:dyDescent="0.2">
      <c r="D173" s="8">
        <v>2067</v>
      </c>
      <c r="E173" s="8" t="s">
        <v>426</v>
      </c>
      <c r="F173" s="13">
        <f>HLOOKUP($E$5,'Bourgeoisie bilan'!$F$4:$S$229,167,0)</f>
        <v>0</v>
      </c>
    </row>
    <row r="174" spans="3:6" x14ac:dyDescent="0.2">
      <c r="D174" s="8">
        <v>2069</v>
      </c>
      <c r="E174" s="8" t="s">
        <v>427</v>
      </c>
      <c r="F174" s="13">
        <f>HLOOKUP($E$5,'Bourgeoisie bilan'!$F$4:$S$229,168,0)</f>
        <v>12425.6</v>
      </c>
    </row>
    <row r="175" spans="3:6" x14ac:dyDescent="0.2">
      <c r="F175" s="13"/>
    </row>
    <row r="176" spans="3:6" ht="15" x14ac:dyDescent="0.25">
      <c r="C176" s="127">
        <v>208</v>
      </c>
      <c r="D176" s="127"/>
      <c r="E176" s="127" t="s">
        <v>257</v>
      </c>
      <c r="F176" s="128">
        <f>HLOOKUP($E$5,'Bourgeoisie bilan'!$F$4:$S$229,170,0)</f>
        <v>554845.69999999995</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554845.69999999995</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52315986.239999995</v>
      </c>
    </row>
    <row r="194" spans="2:6" ht="15" x14ac:dyDescent="0.25">
      <c r="C194" s="127">
        <v>290</v>
      </c>
      <c r="D194" s="127"/>
      <c r="E194" s="127" t="s">
        <v>260</v>
      </c>
      <c r="F194" s="128">
        <f>HLOOKUP($E$5,'Bourgeoisie bilan'!$F$4:$S$229,188,0)</f>
        <v>5071123.1800000006</v>
      </c>
    </row>
    <row r="195" spans="2:6" x14ac:dyDescent="0.2">
      <c r="D195" s="8">
        <v>2900</v>
      </c>
      <c r="E195" s="8" t="s">
        <v>260</v>
      </c>
      <c r="F195" s="13">
        <f>HLOOKUP($E$5,'Bourgeoisie bilan'!$F$4:$S$229,189,0)</f>
        <v>5071123.1800000006</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3500</v>
      </c>
    </row>
    <row r="202" spans="2:6" x14ac:dyDescent="0.2">
      <c r="D202" s="8">
        <v>2920</v>
      </c>
      <c r="E202" s="8" t="s">
        <v>262</v>
      </c>
      <c r="F202" s="13">
        <f>HLOOKUP($E$5,'Bourgeoisie bilan'!$F$4:$S$229,196,0)</f>
        <v>3500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174837.24</v>
      </c>
    </row>
    <row r="208" spans="2:6" x14ac:dyDescent="0.2">
      <c r="D208" s="8">
        <v>2940</v>
      </c>
      <c r="E208" s="8" t="s">
        <v>264</v>
      </c>
      <c r="F208" s="13">
        <f>HLOOKUP($E$5,'Bourgeoisie bilan'!$F$4:$S$229,202,0)</f>
        <v>174837.24</v>
      </c>
    </row>
    <row r="209" spans="3:6" x14ac:dyDescent="0.2">
      <c r="F209" s="13"/>
    </row>
    <row r="210" spans="3:6" ht="15" x14ac:dyDescent="0.25">
      <c r="C210" s="127">
        <v>295</v>
      </c>
      <c r="D210" s="127"/>
      <c r="E210" s="127" t="s">
        <v>265</v>
      </c>
      <c r="F210" s="128">
        <f>HLOOKUP($E$5,'Bourgeoisie bilan'!$F$4:$S$229,204,0)</f>
        <v>23562589</v>
      </c>
    </row>
    <row r="211" spans="3:6" x14ac:dyDescent="0.2">
      <c r="D211" s="8">
        <v>2950</v>
      </c>
      <c r="E211" s="8" t="s">
        <v>265</v>
      </c>
      <c r="F211" s="13">
        <f>HLOOKUP($E$5,'Bourgeoisie bilan'!$F$4:$S$229,205,0)</f>
        <v>23562589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23503936.819999997</v>
      </c>
    </row>
    <row r="220" spans="3:6" x14ac:dyDescent="0.2">
      <c r="D220" s="8">
        <v>2990</v>
      </c>
      <c r="E220" s="8" t="s">
        <v>441</v>
      </c>
      <c r="F220" s="13">
        <f>HLOOKUP($E$5,'Bourgeoisie bilan'!$F$4:$S$229,214,0)</f>
        <v>207293.84</v>
      </c>
    </row>
    <row r="221" spans="3:6" x14ac:dyDescent="0.2">
      <c r="D221" s="8">
        <v>2999</v>
      </c>
      <c r="E221" s="8" t="s">
        <v>842</v>
      </c>
      <c r="F221" s="13">
        <f>HLOOKUP($E$5,'Bourgeoisie bilan'!$F$4:$S$229,215,0)</f>
        <v>23296642.980000004</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1575.55</v>
      </c>
    </row>
    <row r="225" spans="4:6" x14ac:dyDescent="0.2">
      <c r="D225" s="8">
        <v>2990</v>
      </c>
      <c r="E225" s="8" t="s">
        <v>583</v>
      </c>
      <c r="F225" s="13">
        <f>HLOOKUP($E$5,'Bourgeoisie bilan'!$F$4:$S$229,219,0)</f>
        <v>207293.84</v>
      </c>
    </row>
    <row r="226" spans="4:6" x14ac:dyDescent="0.2">
      <c r="F226" s="13"/>
    </row>
    <row r="227" spans="4:6" ht="15" x14ac:dyDescent="0.25">
      <c r="E227" s="7" t="s">
        <v>582</v>
      </c>
      <c r="F227" s="13">
        <f>HLOOKUP($E$5,'Bourgeoisie bilan'!$F$4:$S$229,221,0)</f>
        <v>208869.38999999998</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2023-11-17T09:32:39Z</dcterms:modified>
</cp:coreProperties>
</file>