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6" activeTab="6"/>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K218" i="24" s="1"/>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BK217"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9" i="49" l="1"/>
  <c r="E158" i="49"/>
  <c r="E147" i="49"/>
  <c r="E145" i="49"/>
  <c r="E151" i="49"/>
  <c r="E152" i="49"/>
  <c r="E136" i="49"/>
  <c r="E139" i="49"/>
  <c r="E141" i="49"/>
  <c r="E137" i="49"/>
  <c r="E142" i="49"/>
  <c r="E130" i="49"/>
  <c r="E129" i="49"/>
  <c r="E123" i="49"/>
  <c r="E113" i="49"/>
  <c r="E117" i="49"/>
  <c r="E114" i="49"/>
  <c r="E111" i="49"/>
  <c r="E115" i="49"/>
  <c r="E119" i="49"/>
  <c r="E106" i="49"/>
  <c r="E107" i="49"/>
  <c r="E105" i="49"/>
  <c r="E94" i="49"/>
  <c r="E93" i="49"/>
  <c r="E97" i="49"/>
  <c r="E101" i="49"/>
  <c r="E98" i="49"/>
  <c r="E100" i="49"/>
  <c r="E95" i="49"/>
  <c r="E99" i="49"/>
  <c r="E87" i="49"/>
  <c r="E89" i="49"/>
  <c r="E84" i="49"/>
  <c r="E81" i="49"/>
  <c r="E83" i="49"/>
  <c r="E71" i="49"/>
  <c r="E69" i="49"/>
  <c r="E73" i="49"/>
  <c r="E74" i="49"/>
  <c r="E76" i="49"/>
  <c r="E75" i="49"/>
  <c r="E61" i="49"/>
  <c r="E65" i="49"/>
  <c r="E63" i="49"/>
  <c r="E58" i="49"/>
  <c r="E57" i="49" s="1"/>
  <c r="E49" i="49"/>
  <c r="E55" i="49"/>
  <c r="E53" i="49"/>
  <c r="E51" i="49"/>
  <c r="E45" i="49"/>
  <c r="E37" i="49"/>
  <c r="E41" i="49"/>
  <c r="E39" i="49"/>
  <c r="E33" i="49"/>
  <c r="E25" i="49"/>
  <c r="E23" i="49"/>
  <c r="E21" i="49"/>
  <c r="E29" i="49"/>
  <c r="E27" i="49"/>
  <c r="E15" i="49"/>
  <c r="E13" i="49"/>
  <c r="E11" i="49"/>
  <c r="E17" i="49"/>
  <c r="E14" i="49"/>
  <c r="E148" i="49"/>
  <c r="E126" i="49"/>
  <c r="E122" i="49"/>
  <c r="E121" i="49" s="1"/>
  <c r="E112" i="49"/>
  <c r="E104" i="49"/>
  <c r="E82" i="49"/>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96" i="49"/>
  <c r="E116" i="49"/>
  <c r="E128" i="49"/>
  <c r="E138" i="49"/>
  <c r="E127" i="49"/>
  <c r="E133" i="49"/>
  <c r="E132" i="49" s="1"/>
  <c r="E140" i="49"/>
  <c r="E146" i="49"/>
  <c r="E150"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90" i="49"/>
  <c r="E64" i="49"/>
  <c r="E36" i="49"/>
  <c r="E40"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7" i="49" l="1"/>
  <c r="E68" i="49"/>
  <c r="E103" i="49"/>
  <c r="E92" i="49"/>
  <c r="E80" i="49"/>
  <c r="E86" i="49"/>
  <c r="E170" i="23"/>
  <c r="E125" i="49"/>
  <c r="C67" i="25"/>
  <c r="D42" i="27"/>
  <c r="C42" i="25"/>
  <c r="E47" i="49"/>
  <c r="E144" i="49"/>
  <c r="E135" i="49"/>
  <c r="E60" i="49"/>
  <c r="E19" i="49"/>
  <c r="E9" i="49"/>
  <c r="E109" i="49"/>
  <c r="AX160" i="23"/>
  <c r="AX161" i="23" s="1"/>
  <c r="AH160" i="23"/>
  <c r="AH161" i="23" s="1"/>
  <c r="E35"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1"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8" i="49"/>
  <c r="E79"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<sst xmlns="http://schemas.openxmlformats.org/spreadsheetml/2006/main" count="5442" uniqueCount="871">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</sst>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0">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C43" sqref="C4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B6" sqref="B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8" t="s">
        <v>587</v>
      </c>
    </row>
    <row r="6" spans="1:3" ht="15.75" thickBot="1" x14ac:dyDescent="0.3">
      <c r="B6" s="96" t="s">
        <v>49</v>
      </c>
    </row>
    <row r="9" spans="1:3" ht="15" x14ac:dyDescent="0.25">
      <c r="A9" s="100" t="s">
        <v>215</v>
      </c>
      <c r="B9" s="100" t="s">
        <v>200</v>
      </c>
      <c r="C9" s="100" t="s">
        <v>852</v>
      </c>
    </row>
    <row r="10" spans="1:3" x14ac:dyDescent="0.2">
      <c r="A10" s="101">
        <v>90</v>
      </c>
      <c r="B10" s="102" t="s">
        <v>217</v>
      </c>
      <c r="C10" s="103">
        <f>HLOOKUP($B$6,'4.1 Comptes 2022 natures'!$E$4:$BE$170,151,0)</f>
        <v>7224.1500000000233</v>
      </c>
    </row>
    <row r="11" spans="1:3" x14ac:dyDescent="0.2">
      <c r="A11" s="101">
        <v>900</v>
      </c>
      <c r="B11" s="102" t="s">
        <v>218</v>
      </c>
      <c r="C11" s="103">
        <f>HLOOKUP($B$6,'4.1 Comptes 2022 natures'!$E$4:$BE$170,152,0)</f>
        <v>-143672.57999999999</v>
      </c>
    </row>
    <row r="12" spans="1:3" x14ac:dyDescent="0.2">
      <c r="A12" s="101">
        <v>901</v>
      </c>
      <c r="B12" s="102" t="s">
        <v>219</v>
      </c>
      <c r="C12" s="103">
        <f>HLOOKUP($B$6,'4.1 Comptes 2022 natures'!$E$4:$BE$170,153,0)</f>
        <v>150896.73000000001</v>
      </c>
    </row>
    <row r="13" spans="1:3" x14ac:dyDescent="0.2">
      <c r="A13" s="101">
        <v>400</v>
      </c>
      <c r="B13" s="102" t="s">
        <v>137</v>
      </c>
      <c r="C13" s="103">
        <f>HLOOKUP($B$6,'4.1 Comptes 2022 natures'!$E$4:$BE$170,75,0)</f>
        <v>4101354</v>
      </c>
    </row>
    <row r="14" spans="1:3" x14ac:dyDescent="0.2">
      <c r="A14" s="101">
        <v>401</v>
      </c>
      <c r="B14" s="102" t="s">
        <v>138</v>
      </c>
      <c r="C14" s="103">
        <f>HLOOKUP($B$6,'4.1 Comptes 2022 natures'!$E$4:$BE$170,76,0)</f>
        <v>49702.400000000001</v>
      </c>
    </row>
    <row r="15" spans="1:3" x14ac:dyDescent="0.2">
      <c r="A15" s="101">
        <v>4021</v>
      </c>
      <c r="B15" s="102" t="s">
        <v>213</v>
      </c>
      <c r="C15" s="103">
        <f>HLOOKUP($B$6,'4.1 Comptes 2022 natures'!$E$4:$BE$170,161,0)</f>
        <v>340555</v>
      </c>
    </row>
    <row r="16" spans="1:3" x14ac:dyDescent="0.2">
      <c r="A16" s="101" t="s">
        <v>216</v>
      </c>
      <c r="B16" s="102" t="s">
        <v>220</v>
      </c>
      <c r="C16" s="103">
        <f>HLOOKUP($B$6,'6.1 Investissements'!$E$4:$BI$183,180,0)</f>
        <v>264388.7</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A2" sqref="A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B6" sqref="B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6" sqref="D6"/>
    </sheetView>
  </sheetViews>
  <sheetFormatPr baseColWidth="10" defaultRowHeight="14.25" x14ac:dyDescent="0.2"/>
  <cols>
    <col min="1" max="1" width="9.42578125" style="8" customWidth="1"/>
    <col min="2" max="2" width="3.28515625" style="8" customWidth="1"/>
    <col min="3" max="3" width="63.28515625" style="8" customWidth="1"/>
    <col min="4" max="4" width="15.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28" sqref="D28"/>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726</v>
      </c>
    </row>
    <row r="5" spans="1:5" ht="15" thickBot="1" x14ac:dyDescent="0.25">
      <c r="B5" s="8" t="s">
        <v>587</v>
      </c>
    </row>
    <row r="6" spans="1:5" ht="15.75" thickBot="1" x14ac:dyDescent="0.3">
      <c r="B6" s="211" t="s">
        <v>49</v>
      </c>
      <c r="C6" s="212"/>
      <c r="D6" s="213"/>
    </row>
    <row r="8" spans="1:5" ht="15" x14ac:dyDescent="0.25">
      <c r="B8" s="100" t="s">
        <v>222</v>
      </c>
      <c r="C8" s="100"/>
      <c r="D8" s="100" t="s">
        <v>200</v>
      </c>
      <c r="E8" s="100" t="s">
        <v>201</v>
      </c>
    </row>
    <row r="9" spans="1:5" x14ac:dyDescent="0.2">
      <c r="B9" s="102">
        <v>90</v>
      </c>
      <c r="C9" s="106"/>
      <c r="D9" s="102" t="s">
        <v>194</v>
      </c>
      <c r="E9" s="103">
        <f>HLOOKUP($B$6,'4.1 Comptes 2022 natures'!$E$4:$BE$174,151,0)</f>
        <v>7224.1500000000233</v>
      </c>
    </row>
    <row r="10" spans="1:5" x14ac:dyDescent="0.2">
      <c r="B10" s="102">
        <v>33</v>
      </c>
      <c r="C10" s="106" t="s">
        <v>224</v>
      </c>
      <c r="D10" s="102" t="s">
        <v>97</v>
      </c>
      <c r="E10" s="103">
        <f>HLOOKUP($B$6,'4.1 Comptes 2022 natures'!$E$4:$BE$174,25,0)</f>
        <v>581198.1</v>
      </c>
    </row>
    <row r="11" spans="1:5" x14ac:dyDescent="0.2">
      <c r="B11" s="102">
        <v>35</v>
      </c>
      <c r="C11" s="106" t="s">
        <v>224</v>
      </c>
      <c r="D11" s="102" t="s">
        <v>226</v>
      </c>
      <c r="E11" s="103">
        <f>HLOOKUP($B$6,'4.1 Comptes 2022 natures'!$E$4:$BE$174,37,0)</f>
        <v>1391.7</v>
      </c>
    </row>
    <row r="12" spans="1:5" x14ac:dyDescent="0.2">
      <c r="B12" s="102">
        <v>45</v>
      </c>
      <c r="C12" s="106" t="s">
        <v>225</v>
      </c>
      <c r="D12" s="102" t="s">
        <v>173</v>
      </c>
      <c r="E12" s="103">
        <f>HLOOKUP($B$6,'4.1 Comptes 2022 natures'!$E$4:$BE$174,115,0)</f>
        <v>70983.350000000006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13000</v>
      </c>
    </row>
    <row r="15" spans="1:5" x14ac:dyDescent="0.2">
      <c r="B15" s="102">
        <v>366</v>
      </c>
      <c r="C15" s="106" t="s">
        <v>224</v>
      </c>
      <c r="D15" s="102" t="s">
        <v>231</v>
      </c>
      <c r="E15" s="103">
        <f>HLOOKUP($B$6,'4.1 Comptes 2022 natures'!$E$4:$BE$174,48,0)</f>
        <v>1597</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151597</v>
      </c>
    </row>
    <row r="19" spans="2:5" x14ac:dyDescent="0.2">
      <c r="B19" s="102"/>
      <c r="C19" s="106"/>
      <c r="D19" s="102"/>
      <c r="E19" s="103"/>
    </row>
    <row r="20" spans="2:5" ht="15" x14ac:dyDescent="0.25">
      <c r="B20" s="107"/>
      <c r="C20" s="107"/>
      <c r="D20" s="104" t="s">
        <v>228</v>
      </c>
      <c r="E20" s="105">
        <f>E9+E10+E11-E12+E13+E14+E15+E16-E17-E18</f>
        <v>381830.6</v>
      </c>
    </row>
    <row r="21" spans="2:5" x14ac:dyDescent="0.2">
      <c r="B21" s="102"/>
      <c r="C21" s="102"/>
      <c r="D21" s="102"/>
      <c r="E21" s="103"/>
    </row>
    <row r="22" spans="2:5" x14ac:dyDescent="0.2">
      <c r="B22" s="102" t="s">
        <v>223</v>
      </c>
      <c r="C22" s="108" t="s">
        <v>225</v>
      </c>
      <c r="D22" s="102" t="s">
        <v>229</v>
      </c>
      <c r="E22" s="109">
        <f>HLOOKUP($B$6,'6.1 Investissements'!$E$4:$BI$183,180,0)</f>
        <v>264388.7</v>
      </c>
    </row>
    <row r="23" spans="2:5" x14ac:dyDescent="0.2">
      <c r="B23" s="102"/>
      <c r="C23" s="102"/>
      <c r="D23" s="102"/>
      <c r="E23" s="103"/>
    </row>
    <row r="24" spans="2:5" ht="15" x14ac:dyDescent="0.25">
      <c r="B24" s="107"/>
      <c r="C24" s="107"/>
      <c r="D24" s="104" t="s">
        <v>230</v>
      </c>
      <c r="E24" s="105">
        <f>E20-E22</f>
        <v>117441.89999999997</v>
      </c>
    </row>
  </sheetData>
  <mergeCells count="1">
    <mergeCell ref="B6:D6"/>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pane="topRight" activeCell="C1" sqref="C1"/>
      <selection pane="bottomLeft" activeCell="A4" sqref="A4"/>
      <selection pane="bottomRight" activeCell="BD45" sqref="BD45"/>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B5" sqref="B5"/>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row r="5" spans="1:3" ht="15.75" thickBot="1" x14ac:dyDescent="0.3">
      <c r="B5" s="96" t="s">
        <v>49</v>
      </c>
    </row>
    <row r="7" spans="1:3" ht="15" x14ac:dyDescent="0.25">
      <c r="C7" s="33" t="s">
        <v>201</v>
      </c>
    </row>
    <row r="8" spans="1:3" ht="15" x14ac:dyDescent="0.25">
      <c r="A8" s="110">
        <v>0</v>
      </c>
      <c r="B8" s="89" t="s">
        <v>297</v>
      </c>
      <c r="C8" s="111">
        <f>C9-C10</f>
        <v>500225.83000000007</v>
      </c>
    </row>
    <row r="9" spans="1:3" ht="15" x14ac:dyDescent="0.25">
      <c r="A9" s="112"/>
      <c r="B9" s="8" t="s">
        <v>307</v>
      </c>
      <c r="C9" s="13">
        <f>HLOOKUP($B$5,'4.11 Comptes 2020 fonctionnelle'!$C$4:$BC$48,3,0)</f>
        <v>537138.42000000004</v>
      </c>
    </row>
    <row r="10" spans="1:3" ht="15" x14ac:dyDescent="0.25">
      <c r="A10" s="112"/>
      <c r="B10" s="8" t="s">
        <v>308</v>
      </c>
      <c r="C10" s="13">
        <f>HLOOKUP($B$5,'4.11 Comptes 2020 fonctionnelle'!$C$4:$BC$48,4,0)</f>
        <v>36912.589999999997</v>
      </c>
    </row>
    <row r="11" spans="1:3" ht="15" x14ac:dyDescent="0.25">
      <c r="A11" s="33"/>
      <c r="B11" s="7"/>
      <c r="C11" s="13"/>
    </row>
    <row r="12" spans="1:3" ht="15" x14ac:dyDescent="0.25">
      <c r="A12" s="110" t="s">
        <v>298</v>
      </c>
      <c r="B12" s="89" t="s">
        <v>299</v>
      </c>
      <c r="C12" s="111">
        <f>C13-C14</f>
        <v>1507.4899999999907</v>
      </c>
    </row>
    <row r="13" spans="1:3" ht="15" x14ac:dyDescent="0.25">
      <c r="A13" s="112"/>
      <c r="B13" s="8" t="s">
        <v>307</v>
      </c>
      <c r="C13" s="13">
        <f>HLOOKUP($B$5,'4.11 Comptes 2020 fonctionnelle'!$C$4:$BC$48,7,0)</f>
        <v>122101.4</v>
      </c>
    </row>
    <row r="14" spans="1:3" ht="15" x14ac:dyDescent="0.25">
      <c r="A14" s="112"/>
      <c r="B14" s="8" t="s">
        <v>308</v>
      </c>
      <c r="C14" s="13">
        <f>HLOOKUP($B$5,'4.11 Comptes 2020 fonctionnelle'!$C$4:$BC$48,8,0)</f>
        <v>120593.91</v>
      </c>
    </row>
    <row r="15" spans="1:3" ht="15" x14ac:dyDescent="0.25">
      <c r="A15" s="33"/>
      <c r="B15" s="7"/>
      <c r="C15" s="13"/>
    </row>
    <row r="16" spans="1:3" ht="15" x14ac:dyDescent="0.25">
      <c r="A16" s="113">
        <v>2</v>
      </c>
      <c r="B16" s="89" t="s">
        <v>300</v>
      </c>
      <c r="C16" s="111">
        <f>C17-C18</f>
        <v>2372113.71</v>
      </c>
    </row>
    <row r="17" spans="1:3" ht="15" x14ac:dyDescent="0.25">
      <c r="A17" s="33"/>
      <c r="B17" s="8" t="s">
        <v>307</v>
      </c>
      <c r="C17" s="13">
        <f>HLOOKUP($B$5,'4.11 Comptes 2020 fonctionnelle'!$C$4:$BC$48,11,0)</f>
        <v>2503369.23</v>
      </c>
    </row>
    <row r="18" spans="1:3" ht="15" x14ac:dyDescent="0.25">
      <c r="A18" s="33"/>
      <c r="B18" s="8" t="s">
        <v>308</v>
      </c>
      <c r="C18" s="13">
        <f>HLOOKUP($B$5,'4.11 Comptes 2020 fonctionnelle'!$C$4:$BC$48,12,0)</f>
        <v>131255.51999999999</v>
      </c>
    </row>
    <row r="19" spans="1:3" ht="15" x14ac:dyDescent="0.25">
      <c r="A19" s="33"/>
      <c r="B19" s="7"/>
      <c r="C19" s="13"/>
    </row>
    <row r="20" spans="1:3" ht="15" x14ac:dyDescent="0.25">
      <c r="A20" s="113">
        <v>3</v>
      </c>
      <c r="B20" s="89" t="s">
        <v>301</v>
      </c>
      <c r="C20" s="111">
        <f>C21-C22</f>
        <v>150381.16</v>
      </c>
    </row>
    <row r="21" spans="1:3" ht="15" x14ac:dyDescent="0.25">
      <c r="A21" s="33"/>
      <c r="B21" s="8" t="s">
        <v>307</v>
      </c>
      <c r="C21" s="13">
        <f>HLOOKUP($B$5,'4.11 Comptes 2020 fonctionnelle'!$C$4:$BC$48,15,0)</f>
        <v>172609.51</v>
      </c>
    </row>
    <row r="22" spans="1:3" ht="15" x14ac:dyDescent="0.25">
      <c r="A22" s="33"/>
      <c r="B22" s="8" t="s">
        <v>308</v>
      </c>
      <c r="C22" s="13">
        <f>HLOOKUP($B$5,'4.11 Comptes 2020 fonctionnelle'!$C$4:$BC$48,16,0)</f>
        <v>22228.35</v>
      </c>
    </row>
    <row r="23" spans="1:3" ht="15" x14ac:dyDescent="0.25">
      <c r="A23" s="33"/>
      <c r="B23" s="7"/>
      <c r="C23" s="13"/>
    </row>
    <row r="24" spans="1:3" ht="15" x14ac:dyDescent="0.25">
      <c r="A24" s="113">
        <v>4</v>
      </c>
      <c r="B24" s="89" t="s">
        <v>302</v>
      </c>
      <c r="C24" s="111">
        <f>C25-C26</f>
        <v>12578.8</v>
      </c>
    </row>
    <row r="25" spans="1:3" ht="15" x14ac:dyDescent="0.25">
      <c r="A25" s="33"/>
      <c r="B25" s="8" t="s">
        <v>307</v>
      </c>
      <c r="C25" s="13">
        <f>HLOOKUP($B$5,'4.11 Comptes 2020 fonctionnelle'!$C$4:$BC$48,19,0)</f>
        <v>22578.799999999999</v>
      </c>
    </row>
    <row r="26" spans="1:3" ht="15" x14ac:dyDescent="0.25">
      <c r="A26" s="33"/>
      <c r="B26" s="8" t="s">
        <v>308</v>
      </c>
      <c r="C26" s="13">
        <f>HLOOKUP($B$5,'4.11 Comptes 2020 fonctionnelle'!$C$4:$BC$48,20,0)</f>
        <v>10000</v>
      </c>
    </row>
    <row r="27" spans="1:3" ht="15" x14ac:dyDescent="0.25">
      <c r="A27" s="33"/>
      <c r="B27" s="7"/>
      <c r="C27" s="13"/>
    </row>
    <row r="28" spans="1:3" ht="15" x14ac:dyDescent="0.25">
      <c r="A28" s="113">
        <v>5</v>
      </c>
      <c r="B28" s="89" t="s">
        <v>303</v>
      </c>
      <c r="C28" s="111">
        <f>C29-C30</f>
        <v>1357964.3499999999</v>
      </c>
    </row>
    <row r="29" spans="1:3" ht="15" x14ac:dyDescent="0.25">
      <c r="A29" s="33"/>
      <c r="B29" s="8" t="s">
        <v>307</v>
      </c>
      <c r="C29" s="13">
        <f>HLOOKUP($B$5,'4.11 Comptes 2020 fonctionnelle'!$C$4:$BC$48,23,0)</f>
        <v>1571883.45</v>
      </c>
    </row>
    <row r="30" spans="1:3" ht="15" x14ac:dyDescent="0.25">
      <c r="A30" s="33"/>
      <c r="B30" s="8" t="s">
        <v>308</v>
      </c>
      <c r="C30" s="13">
        <f>HLOOKUP($B$5,'4.11 Comptes 2020 fonctionnelle'!$C$4:$BC$48,24,0)</f>
        <v>213919.1</v>
      </c>
    </row>
    <row r="31" spans="1:3" ht="15" x14ac:dyDescent="0.25">
      <c r="A31" s="33"/>
      <c r="B31" s="7"/>
      <c r="C31" s="13"/>
    </row>
    <row r="32" spans="1:3" ht="15" x14ac:dyDescent="0.25">
      <c r="A32" s="113">
        <v>6</v>
      </c>
      <c r="B32" s="89" t="s">
        <v>861</v>
      </c>
      <c r="C32" s="111">
        <f>C33-C34</f>
        <v>553576.44999999995</v>
      </c>
    </row>
    <row r="33" spans="1:3" ht="15" x14ac:dyDescent="0.25">
      <c r="A33" s="33"/>
      <c r="B33" s="8" t="s">
        <v>307</v>
      </c>
      <c r="C33" s="13">
        <f>HLOOKUP($B$5,'4.11 Comptes 2020 fonctionnelle'!$C$4:$BC$48,27,0)</f>
        <v>727241.75</v>
      </c>
    </row>
    <row r="34" spans="1:3" ht="15" x14ac:dyDescent="0.25">
      <c r="A34" s="33"/>
      <c r="B34" s="8" t="s">
        <v>308</v>
      </c>
      <c r="C34" s="13">
        <f>HLOOKUP($B$5,'4.11 Comptes 2020 fonctionnelle'!$C$4:$BC$48,28,0)</f>
        <v>173665.3</v>
      </c>
    </row>
    <row r="35" spans="1:3" ht="15" x14ac:dyDescent="0.25">
      <c r="A35" s="33"/>
      <c r="B35" s="7"/>
      <c r="C35" s="13"/>
    </row>
    <row r="36" spans="1:3" ht="15" x14ac:dyDescent="0.25">
      <c r="A36" s="113">
        <v>7</v>
      </c>
      <c r="B36" s="89" t="s">
        <v>304</v>
      </c>
      <c r="C36" s="111">
        <f>C37-C38</f>
        <v>-53094.280000000028</v>
      </c>
    </row>
    <row r="37" spans="1:3" ht="15" x14ac:dyDescent="0.25">
      <c r="A37" s="33"/>
      <c r="B37" s="8" t="s">
        <v>307</v>
      </c>
      <c r="C37" s="13">
        <f>HLOOKUP($B$5,'4.11 Comptes 2020 fonctionnelle'!$C$4:$BC$48,31,0)</f>
        <v>781184.25</v>
      </c>
    </row>
    <row r="38" spans="1:3" ht="15" x14ac:dyDescent="0.25">
      <c r="A38" s="33"/>
      <c r="B38" s="8" t="s">
        <v>308</v>
      </c>
      <c r="C38" s="13">
        <f>HLOOKUP($B$5,'4.11 Comptes 2020 fonctionnelle'!$C$4:$BC$48,32,0)</f>
        <v>834278.53</v>
      </c>
    </row>
    <row r="39" spans="1:3" ht="15" x14ac:dyDescent="0.25">
      <c r="A39" s="33"/>
      <c r="B39" s="7"/>
      <c r="C39" s="13"/>
    </row>
    <row r="40" spans="1:3" ht="15" x14ac:dyDescent="0.25">
      <c r="A40" s="113">
        <v>8</v>
      </c>
      <c r="B40" s="89" t="s">
        <v>305</v>
      </c>
      <c r="C40" s="111">
        <f>C41-C42</f>
        <v>5893.9700000000012</v>
      </c>
    </row>
    <row r="41" spans="1:3" ht="15" x14ac:dyDescent="0.25">
      <c r="A41" s="33"/>
      <c r="B41" s="8" t="s">
        <v>307</v>
      </c>
      <c r="C41" s="13">
        <f>HLOOKUP($B$5,'4.11 Comptes 2020 fonctionnelle'!$C$4:$BC$48,35,0)</f>
        <v>158712.09</v>
      </c>
    </row>
    <row r="42" spans="1:3" ht="15" x14ac:dyDescent="0.25">
      <c r="A42" s="33"/>
      <c r="B42" s="8" t="s">
        <v>308</v>
      </c>
      <c r="C42" s="13">
        <f>HLOOKUP($B$5,'4.11 Comptes 2020 fonctionnelle'!$C$4:$BC$48,36,0)</f>
        <v>152818.12</v>
      </c>
    </row>
    <row r="43" spans="1:3" ht="15" x14ac:dyDescent="0.25">
      <c r="A43" s="33"/>
      <c r="B43" s="7"/>
      <c r="C43" s="13"/>
    </row>
    <row r="44" spans="1:3" ht="15" x14ac:dyDescent="0.25">
      <c r="A44" s="113">
        <v>9</v>
      </c>
      <c r="B44" s="89" t="s">
        <v>306</v>
      </c>
      <c r="C44" s="111">
        <f>C45-C46</f>
        <v>-4901147.4800000004</v>
      </c>
    </row>
    <row r="45" spans="1:3" ht="15" customHeight="1" x14ac:dyDescent="0.3">
      <c r="A45" s="114"/>
      <c r="B45" s="8" t="s">
        <v>307</v>
      </c>
      <c r="C45" s="13">
        <f>HLOOKUP($B$5,'4.11 Comptes 2020 fonctionnelle'!$C$4:$BC$48,39,0)</f>
        <v>525193.39</v>
      </c>
    </row>
    <row r="46" spans="1:3" ht="15" customHeight="1" x14ac:dyDescent="0.3">
      <c r="A46" s="114"/>
      <c r="B46" s="8" t="s">
        <v>308</v>
      </c>
      <c r="C46" s="13">
        <f>HLOOKUP($B$5,'4.11 Comptes 2020 fonctionnelle'!$C$4:$BC$48,40,0)</f>
        <v>5426340.8700000001</v>
      </c>
    </row>
    <row r="47" spans="1:3" ht="20.25" x14ac:dyDescent="0.3">
      <c r="A47" s="114"/>
      <c r="B47" s="115"/>
      <c r="C47" s="13"/>
    </row>
    <row r="48" spans="1:3" ht="15" x14ac:dyDescent="0.25">
      <c r="A48" s="113"/>
      <c r="B48" s="89" t="s">
        <v>727</v>
      </c>
      <c r="C48" s="117">
        <f>C49-C50</f>
        <v>0</v>
      </c>
    </row>
    <row r="49" spans="1:3" ht="20.25" x14ac:dyDescent="0.3">
      <c r="A49" s="114"/>
      <c r="B49" s="8" t="s">
        <v>307</v>
      </c>
      <c r="C49" s="13">
        <f>HLOOKUP($B$5,'4.11 Comptes 2020 fonctionnelle'!$C$4:$BC$48,43,0)</f>
        <v>7122012.2899999991</v>
      </c>
    </row>
    <row r="50" spans="1:3" ht="20.25" x14ac:dyDescent="0.3">
      <c r="A50" s="114"/>
      <c r="B50" s="8" t="s">
        <v>308</v>
      </c>
      <c r="C50" s="13">
        <f>HLOOKUP($B$5,'4.11 Comptes 2020 fonctionnelle'!$C$4:$BC$48,44,0)</f>
        <v>7122012.29</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C24" sqref="C24"/>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E37" sqref="E37"/>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08" t="s">
        <v>725</v>
      </c>
      <c r="H2" s="209"/>
      <c r="I2" s="209"/>
      <c r="J2" s="209"/>
      <c r="K2" s="210"/>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M5" activePane="bottomRight" state="frozen"/>
      <selection pane="topRight" activeCell="E1" sqref="E1"/>
      <selection pane="bottomLeft" activeCell="A4" sqref="A4"/>
      <selection pane="bottomRight" activeCell="M15" sqref="M15"/>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59034862.589999996</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915185372.45000029</v>
      </c>
      <c r="BH121" s="124">
        <f t="shared" si="16"/>
        <v>450488338.53000009</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47318439.43</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646617537.25999999</v>
      </c>
      <c r="BH122" s="126">
        <f t="shared" si="16"/>
        <v>352784472.90999997</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362937.54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17332224.73</v>
      </c>
      <c r="BH143" s="128">
        <f t="shared" si="29"/>
        <v>7362584.6600000001</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4516.55</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1956759.7499999995</v>
      </c>
      <c r="BH146" s="99">
        <f t="shared" si="29"/>
        <v>1113662.55</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f>BH217+BI217+BJ217</f>
        <v>-1818630.08</v>
      </c>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f>BH218+BI218+BJ218</f>
        <v>106997787</v>
      </c>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0.10000001639127731</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9.9999785423278809E-2</v>
      </c>
      <c r="BH226" s="25">
        <f t="shared" si="54"/>
        <v>9.9999904632568359E-2</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E2" sqref="E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row r="5" spans="1:6" ht="15.75" thickBot="1" x14ac:dyDescent="0.3">
      <c r="A5" s="8" t="s">
        <v>628</v>
      </c>
      <c r="E5" s="96" t="s">
        <v>22</v>
      </c>
    </row>
    <row r="8" spans="1:6" ht="20.25" x14ac:dyDescent="0.3">
      <c r="A8" s="118">
        <v>1</v>
      </c>
      <c r="B8" s="118"/>
      <c r="C8" s="118"/>
      <c r="D8" s="118"/>
      <c r="E8" s="118" t="s">
        <v>238</v>
      </c>
      <c r="F8" s="132">
        <f>HLOOKUP($E$5,'5. Bilan'!$F$4:$BF$227,2,0)</f>
        <v>59034862.690000013</v>
      </c>
    </row>
    <row r="9" spans="1:6" ht="15" x14ac:dyDescent="0.25">
      <c r="A9" s="16"/>
      <c r="B9" s="120">
        <v>10</v>
      </c>
      <c r="C9" s="120"/>
      <c r="D9" s="120"/>
      <c r="E9" s="120" t="s">
        <v>239</v>
      </c>
      <c r="F9" s="121">
        <f>HLOOKUP($E$5,'5. Bilan'!$F$4:$BF$227,3,0)</f>
        <v>18227970.310000002</v>
      </c>
    </row>
    <row r="10" spans="1:6" ht="15" x14ac:dyDescent="0.25">
      <c r="A10" s="17"/>
      <c r="B10" s="17"/>
      <c r="C10" s="89">
        <v>100</v>
      </c>
      <c r="D10" s="89"/>
      <c r="E10" s="89" t="s">
        <v>240</v>
      </c>
      <c r="F10" s="133">
        <f>SUM(F11:F16)</f>
        <v>5194596.42</v>
      </c>
    </row>
    <row r="11" spans="1:6" x14ac:dyDescent="0.2">
      <c r="D11" s="8">
        <v>1000</v>
      </c>
      <c r="E11" s="8" t="s">
        <v>310</v>
      </c>
      <c r="F11" s="13">
        <f>HLOOKUP($E$5,'5. Bilan'!$F$4:$BF$227,5,0)</f>
        <v>5960.65</v>
      </c>
    </row>
    <row r="12" spans="1:6" x14ac:dyDescent="0.2">
      <c r="D12" s="8">
        <v>1001</v>
      </c>
      <c r="E12" s="8" t="s">
        <v>311</v>
      </c>
      <c r="F12" s="13">
        <f>HLOOKUP($E$5,'5. Bilan'!$F$4:$BF$227,6,0)</f>
        <v>1177412.73</v>
      </c>
    </row>
    <row r="13" spans="1:6" x14ac:dyDescent="0.2">
      <c r="D13" s="8">
        <v>1002</v>
      </c>
      <c r="E13" s="8" t="s">
        <v>319</v>
      </c>
      <c r="F13" s="13">
        <f>HLOOKUP($E$5,'5. Bilan'!$F$4:$BF$227,7,0)</f>
        <v>4011223.04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6214125.1900000004</v>
      </c>
    </row>
    <row r="19" spans="1:6" x14ac:dyDescent="0.2">
      <c r="D19" s="8">
        <v>1010</v>
      </c>
      <c r="E19" s="8" t="s">
        <v>315</v>
      </c>
      <c r="F19" s="13">
        <f>HLOOKUP($E$5,'5. Bilan'!$F$4:$BF$227,13,0)</f>
        <v>1418179.93</v>
      </c>
    </row>
    <row r="20" spans="1:6" x14ac:dyDescent="0.2">
      <c r="D20" s="8">
        <v>1011</v>
      </c>
      <c r="E20" s="8" t="s">
        <v>396</v>
      </c>
      <c r="F20" s="13">
        <f>HLOOKUP($E$5,'5. Bilan'!$F$4:$BF$227,14,0)</f>
        <v>646810.16</v>
      </c>
    </row>
    <row r="21" spans="1:6" x14ac:dyDescent="0.2">
      <c r="D21" s="8">
        <v>1012</v>
      </c>
      <c r="E21" s="8" t="s">
        <v>316</v>
      </c>
      <c r="F21" s="13">
        <f>HLOOKUP($E$5,'5. Bilan'!$F$4:$BF$227,15,0)</f>
        <v>4140310.81</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8824.2900000000009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1785905.0400000003</v>
      </c>
    </row>
    <row r="35" spans="3:6" x14ac:dyDescent="0.2">
      <c r="D35" s="8">
        <v>1040</v>
      </c>
      <c r="E35" s="8" t="s">
        <v>61</v>
      </c>
      <c r="F35" s="13">
        <f>HLOOKUP($E$5,'5. Bilan'!$F$4:$BF$227,29,0)</f>
        <v>0</v>
      </c>
    </row>
    <row r="36" spans="3:6" x14ac:dyDescent="0.2">
      <c r="D36" s="8">
        <v>1041</v>
      </c>
      <c r="E36" s="8" t="s">
        <v>327</v>
      </c>
      <c r="F36" s="13">
        <f>HLOOKUP($E$5,'5. Bilan'!$F$4:$BF$227,30,0)</f>
        <v>171845.33</v>
      </c>
    </row>
    <row r="37" spans="3:6" x14ac:dyDescent="0.2">
      <c r="D37" s="8">
        <v>1042</v>
      </c>
      <c r="E37" s="8" t="s">
        <v>328</v>
      </c>
      <c r="F37" s="13">
        <f>HLOOKUP($E$5,'5. Bilan'!$F$4:$BF$227,31,0)</f>
        <v>1302531.96</v>
      </c>
    </row>
    <row r="38" spans="3:6" x14ac:dyDescent="0.2">
      <c r="D38" s="8">
        <v>1043</v>
      </c>
      <c r="E38" s="8" t="s">
        <v>329</v>
      </c>
      <c r="F38" s="13">
        <f>HLOOKUP($E$5,'5. Bilan'!$F$4:$BF$227,32,0)</f>
        <v>87844.3</v>
      </c>
    </row>
    <row r="39" spans="3:6" x14ac:dyDescent="0.2">
      <c r="D39" s="8">
        <v>1044</v>
      </c>
      <c r="E39" s="8" t="s">
        <v>330</v>
      </c>
      <c r="F39" s="13">
        <f>HLOOKUP($E$5,'5. Bilan'!$F$4:$BF$227,33,0)</f>
        <v>0</v>
      </c>
    </row>
    <row r="40" spans="3:6" x14ac:dyDescent="0.2">
      <c r="D40" s="8">
        <v>1045</v>
      </c>
      <c r="E40" s="8" t="s">
        <v>331</v>
      </c>
      <c r="F40" s="13">
        <f>HLOOKUP($E$5,'5. Bilan'!$F$4:$BF$227,34,0)</f>
        <v>36670.85</v>
      </c>
    </row>
    <row r="41" spans="3:6" x14ac:dyDescent="0.2">
      <c r="D41" s="8">
        <v>1046</v>
      </c>
      <c r="E41" s="8" t="s">
        <v>332</v>
      </c>
      <c r="F41" s="13">
        <f>HLOOKUP($E$5,'5. Bilan'!$F$4:$BF$227,35,0)</f>
        <v>187012.6</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248120</v>
      </c>
    </row>
    <row r="45" spans="3:6" x14ac:dyDescent="0.2">
      <c r="D45" s="8">
        <v>1060</v>
      </c>
      <c r="E45" s="8" t="s">
        <v>334</v>
      </c>
      <c r="F45" s="13">
        <f>HLOOKUP($E$5,'5. Bilan'!$F$4:$BF$227,39,0)</f>
        <v>0</v>
      </c>
    </row>
    <row r="46" spans="3:6" x14ac:dyDescent="0.2">
      <c r="D46" s="8">
        <v>1061</v>
      </c>
      <c r="E46" s="8" t="s">
        <v>335</v>
      </c>
      <c r="F46" s="13">
        <f>HLOOKUP($E$5,'5. Bilan'!$F$4:$BF$227,40,0)</f>
        <v>199120</v>
      </c>
    </row>
    <row r="47" spans="3:6" x14ac:dyDescent="0.2">
      <c r="D47" s="8">
        <v>1062</v>
      </c>
      <c r="E47" s="8" t="s">
        <v>336</v>
      </c>
      <c r="F47" s="13">
        <f>HLOOKUP($E$5,'5. Bilan'!$F$4:$BF$227,41,0)</f>
        <v>0</v>
      </c>
    </row>
    <row r="48" spans="3:6" x14ac:dyDescent="0.2">
      <c r="D48" s="8">
        <v>1063</v>
      </c>
      <c r="E48" s="8" t="s">
        <v>337</v>
      </c>
      <c r="F48" s="13">
        <f>HLOOKUP($E$5,'5. Bilan'!$F$4:$BF$227,42,0)</f>
        <v>49000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284034.5</v>
      </c>
    </row>
    <row r="52" spans="3:6" x14ac:dyDescent="0.2">
      <c r="D52" s="8">
        <v>1070</v>
      </c>
      <c r="E52" s="8" t="s">
        <v>339</v>
      </c>
      <c r="F52" s="13">
        <f>HLOOKUP($E$5,'5. Bilan'!$F$4:$BF$227,46,0)</f>
        <v>284034.5</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4501189.16</v>
      </c>
    </row>
    <row r="58" spans="3:6" x14ac:dyDescent="0.2">
      <c r="D58" s="8">
        <v>1080</v>
      </c>
      <c r="E58" s="8" t="s">
        <v>344</v>
      </c>
      <c r="F58" s="13">
        <f>HLOOKUP($E$5,'5. Bilan'!$F$4:$BF$227,52,0)</f>
        <v>2236396.37</v>
      </c>
    </row>
    <row r="59" spans="3:6" x14ac:dyDescent="0.2">
      <c r="D59" s="8">
        <v>1084</v>
      </c>
      <c r="E59" s="8" t="s">
        <v>345</v>
      </c>
      <c r="F59" s="13">
        <f>HLOOKUP($E$5,'5. Bilan'!$F$4:$BF$227,53,0)</f>
        <v>1124850</v>
      </c>
    </row>
    <row r="60" spans="3:6" x14ac:dyDescent="0.2">
      <c r="D60" s="8">
        <v>1086</v>
      </c>
      <c r="E60" s="8" t="s">
        <v>346</v>
      </c>
      <c r="F60" s="13">
        <f>HLOOKUP($E$5,'5. Bilan'!$F$4:$BF$227,54,0)</f>
        <v>0</v>
      </c>
    </row>
    <row r="61" spans="3:6" x14ac:dyDescent="0.2">
      <c r="D61" s="8">
        <v>1087</v>
      </c>
      <c r="E61" s="8" t="s">
        <v>347</v>
      </c>
      <c r="F61" s="13">
        <f>HLOOKUP($E$5,'5. Bilan'!$F$4:$BF$227,55,0)</f>
        <v>1139942.79</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40806892.38000001</v>
      </c>
    </row>
    <row r="72" spans="2:6" ht="15" x14ac:dyDescent="0.25">
      <c r="C72" s="89">
        <v>140</v>
      </c>
      <c r="D72" s="89"/>
      <c r="E72" s="89" t="s">
        <v>248</v>
      </c>
      <c r="F72" s="111">
        <f>SUM(F73:F81)</f>
        <v>37877333.000000007</v>
      </c>
    </row>
    <row r="73" spans="2:6" x14ac:dyDescent="0.2">
      <c r="D73" s="8">
        <v>1400</v>
      </c>
      <c r="E73" s="8" t="s">
        <v>354</v>
      </c>
      <c r="F73" s="13">
        <f>HLOOKUP($E$5,'5. Bilan'!$F$4:$BF$227,67,0)</f>
        <v>141611.04999999999</v>
      </c>
    </row>
    <row r="74" spans="2:6" x14ac:dyDescent="0.2">
      <c r="D74" s="8">
        <v>1401</v>
      </c>
      <c r="E74" s="8" t="s">
        <v>355</v>
      </c>
      <c r="F74" s="13">
        <f>HLOOKUP($E$5,'5. Bilan'!$F$4:$BF$227,68,0)</f>
        <v>12991407.800000001</v>
      </c>
    </row>
    <row r="75" spans="2:6" x14ac:dyDescent="0.2">
      <c r="D75" s="8">
        <v>1402</v>
      </c>
      <c r="E75" s="8" t="s">
        <v>356</v>
      </c>
      <c r="F75" s="13">
        <f>HLOOKUP($E$5,'5. Bilan'!$F$4:$BF$227,69,0)</f>
        <v>86945.3</v>
      </c>
    </row>
    <row r="76" spans="2:6" x14ac:dyDescent="0.2">
      <c r="D76" s="8">
        <v>1403</v>
      </c>
      <c r="E76" s="8" t="s">
        <v>357</v>
      </c>
      <c r="F76" s="13">
        <f>HLOOKUP($E$5,'5. Bilan'!$F$4:$BF$227,70,0)</f>
        <v>5704087.2999999998</v>
      </c>
    </row>
    <row r="77" spans="2:6" x14ac:dyDescent="0.2">
      <c r="D77" s="8">
        <v>1404</v>
      </c>
      <c r="E77" s="8" t="s">
        <v>358</v>
      </c>
      <c r="F77" s="13">
        <f>HLOOKUP($E$5,'5. Bilan'!$F$4:$BF$227,71,0)</f>
        <v>14237115.300000001</v>
      </c>
    </row>
    <row r="78" spans="2:6" x14ac:dyDescent="0.2">
      <c r="D78" s="8">
        <v>1405</v>
      </c>
      <c r="E78" s="8" t="s">
        <v>359</v>
      </c>
      <c r="F78" s="13">
        <f>HLOOKUP($E$5,'5. Bilan'!$F$4:$BF$227,72,0)</f>
        <v>0</v>
      </c>
    </row>
    <row r="79" spans="2:6" x14ac:dyDescent="0.2">
      <c r="D79" s="8">
        <v>1406</v>
      </c>
      <c r="E79" s="8" t="s">
        <v>360</v>
      </c>
      <c r="F79" s="13">
        <f>HLOOKUP($E$5,'5. Bilan'!$F$4:$BF$227,73,0)</f>
        <v>589979.15</v>
      </c>
    </row>
    <row r="80" spans="2:6" x14ac:dyDescent="0.2">
      <c r="D80" s="8">
        <v>1407</v>
      </c>
      <c r="E80" s="8" t="s">
        <v>361</v>
      </c>
      <c r="F80" s="13">
        <f>HLOOKUP($E$5,'5. Bilan'!$F$4:$BF$227,74,0)</f>
        <v>4126187.1</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530200.1</v>
      </c>
    </row>
    <row r="84" spans="3:6" x14ac:dyDescent="0.2">
      <c r="D84" s="17">
        <v>1420</v>
      </c>
      <c r="E84" s="17" t="s">
        <v>363</v>
      </c>
      <c r="F84" s="13">
        <f>HLOOKUP($E$5,'5. Bilan'!$F$4:$BF$227,78,0)</f>
        <v>112996.8</v>
      </c>
    </row>
    <row r="85" spans="3:6" x14ac:dyDescent="0.2">
      <c r="D85" s="17">
        <v>1421</v>
      </c>
      <c r="E85" s="17" t="s">
        <v>364</v>
      </c>
      <c r="F85" s="13">
        <f>HLOOKUP($E$5,'5. Bilan'!$F$4:$BF$227,79,0)</f>
        <v>0</v>
      </c>
    </row>
    <row r="86" spans="3:6" x14ac:dyDescent="0.2">
      <c r="D86" s="17">
        <v>1427</v>
      </c>
      <c r="E86" s="17" t="s">
        <v>576</v>
      </c>
      <c r="F86" s="13">
        <f>HLOOKUP($E$5,'5. Bilan'!$F$4:$BF$227,80,0)</f>
        <v>339019.85</v>
      </c>
    </row>
    <row r="87" spans="3:6" x14ac:dyDescent="0.2">
      <c r="D87" s="17">
        <v>1429</v>
      </c>
      <c r="E87" s="17" t="s">
        <v>462</v>
      </c>
      <c r="F87" s="13">
        <f>HLOOKUP($E$5,'5. Bilan'!$F$4:$BF$227,81,0)</f>
        <v>78183.45</v>
      </c>
    </row>
    <row r="88" spans="3:6" x14ac:dyDescent="0.2">
      <c r="F88" s="13"/>
    </row>
    <row r="89" spans="3:6" ht="15" x14ac:dyDescent="0.25">
      <c r="C89" s="89">
        <v>144</v>
      </c>
      <c r="D89" s="89"/>
      <c r="E89" s="89" t="s">
        <v>249</v>
      </c>
      <c r="F89" s="111">
        <f>SUM(F90:F98)</f>
        <v>180802</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20790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160012</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22040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10000</v>
      </c>
    </row>
    <row r="106" spans="3:6" x14ac:dyDescent="0.2">
      <c r="D106" s="8">
        <v>1455</v>
      </c>
      <c r="E106" s="8" t="s">
        <v>380</v>
      </c>
      <c r="F106" s="13">
        <f>HLOOKUP($E$5,'5. Bilan'!$F$4:$BF$227,100,0)</f>
        <v>12040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2196517.2799999998</v>
      </c>
    </row>
    <row r="112" spans="3:6" x14ac:dyDescent="0.2">
      <c r="D112" s="8">
        <v>1460</v>
      </c>
      <c r="E112" s="8" t="s">
        <v>391</v>
      </c>
      <c r="F112" s="13">
        <f>HLOOKUP($E$5,'5. Bilan'!$F$4:$BF$227,106,0)</f>
        <v>0</v>
      </c>
    </row>
    <row r="113" spans="1:6" x14ac:dyDescent="0.2">
      <c r="D113" s="8">
        <v>1461</v>
      </c>
      <c r="E113" s="8" t="s">
        <v>392</v>
      </c>
      <c r="F113" s="13">
        <f>HLOOKUP($E$5,'5. Bilan'!$F$4:$BF$227,107,0)</f>
        <v>86616.9</v>
      </c>
    </row>
    <row r="114" spans="1:6" x14ac:dyDescent="0.2">
      <c r="D114" s="8">
        <v>1462</v>
      </c>
      <c r="E114" s="8" t="s">
        <v>384</v>
      </c>
      <c r="F114" s="13">
        <f>HLOOKUP($E$5,'5. Bilan'!$F$4:$BF$227,108,0)</f>
        <v>1976903.63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132996.75</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59034862.589999996</v>
      </c>
    </row>
    <row r="125" spans="1:6" ht="15" x14ac:dyDescent="0.25">
      <c r="A125" s="7"/>
      <c r="B125" s="125">
        <v>20</v>
      </c>
      <c r="C125" s="125"/>
      <c r="D125" s="125"/>
      <c r="E125" s="125" t="s">
        <v>251</v>
      </c>
      <c r="F125" s="126">
        <f>HLOOKUP($E$5,'5. Bilan'!$F$4:$BF$227,119,0)</f>
        <v>47318439.43</v>
      </c>
    </row>
    <row r="126" spans="1:6" ht="15" x14ac:dyDescent="0.25">
      <c r="C126" s="127">
        <v>200</v>
      </c>
      <c r="D126" s="127"/>
      <c r="E126" s="127" t="s">
        <v>252</v>
      </c>
      <c r="F126" s="128">
        <f>SUM(F127:F134)</f>
        <v>2440635.39</v>
      </c>
    </row>
    <row r="127" spans="1:6" x14ac:dyDescent="0.2">
      <c r="D127" s="8">
        <v>2000</v>
      </c>
      <c r="E127" s="8" t="s">
        <v>395</v>
      </c>
      <c r="F127" s="13">
        <f>HLOOKUP($E$5,'5. Bilan'!$F$4:$BF$227,121,0)</f>
        <v>2219570.15</v>
      </c>
    </row>
    <row r="128" spans="1:6" x14ac:dyDescent="0.2">
      <c r="D128" s="8">
        <v>2001</v>
      </c>
      <c r="E128" s="8" t="s">
        <v>396</v>
      </c>
      <c r="F128" s="13">
        <f>HLOOKUP($E$5,'5. Bilan'!$F$4:$BF$227,122,0)</f>
        <v>51927.9</v>
      </c>
    </row>
    <row r="129" spans="3:6" x14ac:dyDescent="0.2">
      <c r="D129" s="8">
        <v>2002</v>
      </c>
      <c r="E129" s="8" t="s">
        <v>397</v>
      </c>
      <c r="F129" s="13">
        <f>HLOOKUP($E$5,'5. Bilan'!$F$4:$BF$227,123,0)</f>
        <v>79439.64</v>
      </c>
    </row>
    <row r="130" spans="3:6" x14ac:dyDescent="0.2">
      <c r="D130" s="8">
        <v>2003</v>
      </c>
      <c r="E130" s="8" t="s">
        <v>398</v>
      </c>
      <c r="F130" s="13">
        <f>HLOOKUP($E$5,'5. Bilan'!$F$4:$BF$227,124,0)</f>
        <v>80150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9547.7000000000007</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9445973.3000000007</v>
      </c>
    </row>
    <row r="137" spans="3:6" x14ac:dyDescent="0.2">
      <c r="D137" s="8">
        <v>2010</v>
      </c>
      <c r="E137" s="8" t="s">
        <v>402</v>
      </c>
      <c r="F137" s="13">
        <f>HLOOKUP($E$5,'5. Bilan'!$F$4:$BF$227,131,0)</f>
        <v>0</v>
      </c>
    </row>
    <row r="138" spans="3:6" x14ac:dyDescent="0.2">
      <c r="D138" s="8">
        <v>2011</v>
      </c>
      <c r="E138" s="8" t="s">
        <v>403</v>
      </c>
      <c r="F138" s="13">
        <f>HLOOKUP($E$5,'5. Bilan'!$F$4:$BF$227,132,0)</f>
        <v>3000000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6446160.1500000004</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-186.85</v>
      </c>
    </row>
    <row r="145" spans="3:6" x14ac:dyDescent="0.2">
      <c r="F145" s="13"/>
    </row>
    <row r="146" spans="3:6" ht="15" x14ac:dyDescent="0.25">
      <c r="C146" s="127">
        <v>204</v>
      </c>
      <c r="D146" s="127"/>
      <c r="E146" s="127" t="s">
        <v>254</v>
      </c>
      <c r="F146" s="128">
        <f>SUM(F147:F154)</f>
        <v>362937.54</v>
      </c>
    </row>
    <row r="147" spans="3:6" x14ac:dyDescent="0.2">
      <c r="D147" s="8">
        <v>2040</v>
      </c>
      <c r="E147" s="8" t="s">
        <v>61</v>
      </c>
      <c r="F147" s="13">
        <f>HLOOKUP($E$5,'5. Bilan'!$F$4:$BF$227,141,0)</f>
        <v>19536.150000000001</v>
      </c>
    </row>
    <row r="148" spans="3:6" x14ac:dyDescent="0.2">
      <c r="D148" s="8">
        <v>2041</v>
      </c>
      <c r="E148" s="8" t="s">
        <v>276</v>
      </c>
      <c r="F148" s="13">
        <f>HLOOKUP($E$5,'5. Bilan'!$F$4:$BF$227,142,0)</f>
        <v>179426.65</v>
      </c>
    </row>
    <row r="149" spans="3:6" x14ac:dyDescent="0.2">
      <c r="D149" s="8">
        <v>2042</v>
      </c>
      <c r="E149" s="8" t="s">
        <v>328</v>
      </c>
      <c r="F149" s="13">
        <f>HLOOKUP($E$5,'5. Bilan'!$F$4:$BF$227,143,0)</f>
        <v>4516.55</v>
      </c>
    </row>
    <row r="150" spans="3:6" x14ac:dyDescent="0.2">
      <c r="D150" s="8">
        <v>2043</v>
      </c>
      <c r="E150" s="8" t="s">
        <v>329</v>
      </c>
      <c r="F150" s="13">
        <f>HLOOKUP($E$5,'5. Bilan'!$F$4:$BF$227,144,0)</f>
        <v>103911.86</v>
      </c>
    </row>
    <row r="151" spans="3:6" x14ac:dyDescent="0.2">
      <c r="D151" s="8">
        <v>2044</v>
      </c>
      <c r="E151" s="8" t="s">
        <v>409</v>
      </c>
      <c r="F151" s="13">
        <f>HLOOKUP($E$5,'5. Bilan'!$F$4:$BF$227,145,0)</f>
        <v>57375</v>
      </c>
    </row>
    <row r="152" spans="3:6" x14ac:dyDescent="0.2">
      <c r="D152" s="8">
        <v>2045</v>
      </c>
      <c r="E152" s="8" t="s">
        <v>331</v>
      </c>
      <c r="F152" s="13">
        <f>HLOOKUP($E$5,'5. Bilan'!$F$4:$BF$227,146,0)</f>
        <v>-1828.67</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109573.70000000001</v>
      </c>
    </row>
    <row r="157" spans="3:6" x14ac:dyDescent="0.2">
      <c r="D157" s="8">
        <v>2050</v>
      </c>
      <c r="E157" s="8" t="s">
        <v>412</v>
      </c>
      <c r="F157" s="13">
        <f>HLOOKUP($E$5,'5. Bilan'!$F$4:$BF$227,151,0)</f>
        <v>105000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495.6</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4078.1</v>
      </c>
    </row>
    <row r="167" spans="3:6" x14ac:dyDescent="0.2">
      <c r="F167" s="13"/>
    </row>
    <row r="168" spans="3:6" ht="15" x14ac:dyDescent="0.25">
      <c r="C168" s="127">
        <v>206</v>
      </c>
      <c r="D168" s="127"/>
      <c r="E168" s="127" t="s">
        <v>256</v>
      </c>
      <c r="F168" s="128">
        <f>SUM(F169:F174)</f>
        <v>33729190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33729190</v>
      </c>
    </row>
    <row r="172" spans="3:6" x14ac:dyDescent="0.2">
      <c r="D172" s="8">
        <v>2064</v>
      </c>
      <c r="E172" s="8" t="s">
        <v>445</v>
      </c>
      <c r="F172" s="13">
        <f>HLOOKUP($E$5,'5. Bilan'!$F$4:$BF$227,166,0)</f>
        <v>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477423.5</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477423.5</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752706</v>
      </c>
    </row>
    <row r="188" spans="3:6" x14ac:dyDescent="0.2">
      <c r="D188" s="8">
        <v>2090</v>
      </c>
      <c r="E188" s="8" t="s">
        <v>258</v>
      </c>
      <c r="F188" s="13">
        <f>HLOOKUP($E$5,'5. Bilan'!$F$4:$BF$227,182,0)</f>
        <v>0</v>
      </c>
    </row>
    <row r="189" spans="3:6" x14ac:dyDescent="0.2">
      <c r="D189" s="8">
        <v>2091</v>
      </c>
      <c r="E189" s="8" t="s">
        <v>437</v>
      </c>
      <c r="F189" s="13">
        <f>HLOOKUP($E$5,'5. Bilan'!$F$4:$BF$227,183,0)</f>
        <v>752706</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11716423.159999998</v>
      </c>
    </row>
    <row r="194" spans="2:6" ht="15" x14ac:dyDescent="0.25">
      <c r="C194" s="127">
        <v>290</v>
      </c>
      <c r="D194" s="127"/>
      <c r="E194" s="127" t="s">
        <v>260</v>
      </c>
      <c r="F194" s="128">
        <f>SUM(F195)</f>
        <v>4590811.22</v>
      </c>
    </row>
    <row r="195" spans="2:6" x14ac:dyDescent="0.2">
      <c r="D195" s="8">
        <v>2900</v>
      </c>
      <c r="E195" s="8" t="s">
        <v>260</v>
      </c>
      <c r="F195" s="13">
        <f>HLOOKUP($E$5,'5. Bilan'!$F$4:$BF$227,189,0)</f>
        <v>4590811.22</v>
      </c>
    </row>
    <row r="196" spans="2:6" x14ac:dyDescent="0.2">
      <c r="F196" s="13"/>
    </row>
    <row r="197" spans="2:6" ht="15" x14ac:dyDescent="0.25">
      <c r="C197" s="127">
        <v>291</v>
      </c>
      <c r="D197" s="127"/>
      <c r="E197" s="127" t="s">
        <v>261</v>
      </c>
      <c r="F197" s="128">
        <f>SUM(F198:F199)</f>
        <v>269724.81</v>
      </c>
    </row>
    <row r="198" spans="2:6" x14ac:dyDescent="0.2">
      <c r="D198" s="8">
        <v>2910</v>
      </c>
      <c r="E198" s="8" t="s">
        <v>261</v>
      </c>
      <c r="F198" s="13">
        <f>HLOOKUP($E$5,'5. Bilan'!$F$4:$BF$227,192,0)</f>
        <v>0</v>
      </c>
    </row>
    <row r="199" spans="2:6" x14ac:dyDescent="0.2">
      <c r="D199" s="8">
        <v>2911</v>
      </c>
      <c r="E199" s="8" t="s">
        <v>440</v>
      </c>
      <c r="F199" s="13">
        <f>HLOOKUP($E$5,'5. Bilan'!$F$4:$BF$227,193,0)</f>
        <v>269724.81</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3312134.98</v>
      </c>
    </row>
    <row r="205" spans="2:6" x14ac:dyDescent="0.2">
      <c r="D205" s="8">
        <v>2930</v>
      </c>
      <c r="E205" s="8" t="s">
        <v>263</v>
      </c>
      <c r="F205" s="13">
        <f>HLOOKUP($E$5,'5. Bilan'!$F$4:$BF$227,199,0)</f>
        <v>3312134.98</v>
      </c>
    </row>
    <row r="206" spans="2:6" x14ac:dyDescent="0.2">
      <c r="F206" s="13"/>
    </row>
    <row r="207" spans="2:6" ht="15" x14ac:dyDescent="0.25">
      <c r="C207" s="127">
        <v>294</v>
      </c>
      <c r="D207" s="127"/>
      <c r="E207" s="127" t="s">
        <v>264</v>
      </c>
      <c r="F207" s="128">
        <f>SUM(F208)</f>
        <v>987900</v>
      </c>
    </row>
    <row r="208" spans="2:6" x14ac:dyDescent="0.2">
      <c r="D208" s="8">
        <v>2940</v>
      </c>
      <c r="E208" s="8" t="s">
        <v>264</v>
      </c>
      <c r="F208" s="13">
        <f>HLOOKUP($E$5,'5. Bilan'!$F$4:$BF$227,202,0)</f>
        <v>987900</v>
      </c>
    </row>
    <row r="209" spans="3:6" x14ac:dyDescent="0.2">
      <c r="F209" s="13"/>
    </row>
    <row r="210" spans="3:6" ht="15" x14ac:dyDescent="0.25">
      <c r="C210" s="127">
        <v>295</v>
      </c>
      <c r="D210" s="127"/>
      <c r="E210" s="127" t="s">
        <v>265</v>
      </c>
      <c r="F210" s="128">
        <f>SUM(F211)</f>
        <v>1843840.03</v>
      </c>
    </row>
    <row r="211" spans="3:6" x14ac:dyDescent="0.2">
      <c r="D211" s="8">
        <v>2950</v>
      </c>
      <c r="E211" s="8" t="s">
        <v>265</v>
      </c>
      <c r="F211" s="13">
        <f>HLOOKUP($E$5,'5. Bilan'!$F$4:$BF$227,205,0)</f>
        <v>1843840.03</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712012.12</v>
      </c>
    </row>
    <row r="220" spans="3:6" x14ac:dyDescent="0.2">
      <c r="D220" s="8">
        <v>2990</v>
      </c>
      <c r="E220" s="8" t="s">
        <v>441</v>
      </c>
      <c r="F220" s="13">
        <f>HLOOKUP($E$5,'5. Bilan'!$F$4:$BF$227,214,0)</f>
        <v>383432.05</v>
      </c>
    </row>
    <row r="221" spans="3:6" x14ac:dyDescent="0.2">
      <c r="D221" s="8">
        <v>2999</v>
      </c>
      <c r="E221" s="8" t="s">
        <v>842</v>
      </c>
      <c r="F221" s="13">
        <f>HLOOKUP($E$5,'5. Bilan'!$F$4:$BF$227,215,0)</f>
        <v>328580.07</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702588.75</v>
      </c>
    </row>
    <row r="225" spans="4:6" x14ac:dyDescent="0.2">
      <c r="D225" s="8">
        <v>2990</v>
      </c>
      <c r="E225" s="8" t="s">
        <v>583</v>
      </c>
      <c r="F225" s="13">
        <f>HLOOKUP($E$5,'5. Bilan'!$F$4:$BF$227,219,0)</f>
        <v>383432.05</v>
      </c>
    </row>
    <row r="226" spans="4:6" x14ac:dyDescent="0.2">
      <c r="F226" s="13"/>
    </row>
    <row r="227" spans="4:6" ht="15" x14ac:dyDescent="0.25">
      <c r="E227" s="7" t="s">
        <v>582</v>
      </c>
      <c r="F227" s="13">
        <f>HLOOKUP($E$5,'5. Bilan'!$F$4:$BF$227,221,0)</f>
        <v>1086020.8</v>
      </c>
    </row>
    <row r="228" spans="4:6" x14ac:dyDescent="0.2">
      <c r="F228" s="13"/>
    </row>
    <row r="229" spans="4:6" x14ac:dyDescent="0.2">
      <c r="E229" s="90" t="s">
        <v>581</v>
      </c>
      <c r="F229" s="13">
        <f>HLOOKUP($E$5,'5. Bilan'!$F$4:$BF$227,223,0)</f>
        <v>0.10000001639127731</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E9" sqref="E9"/>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915185372.45000029</v>
      </c>
    </row>
    <row r="120" spans="1:6" ht="15" x14ac:dyDescent="0.25">
      <c r="A120" s="7"/>
      <c r="B120" s="125">
        <v>20</v>
      </c>
      <c r="C120" s="125"/>
      <c r="D120" s="125"/>
      <c r="E120" s="125" t="s">
        <v>251</v>
      </c>
      <c r="F120" s="126">
        <f>'5. Bilan'!BG122</f>
        <v>646617537.25999999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17332224.73</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1956759.7499999995</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9.9999785423278809E-2</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I37" sqref="I37"/>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pane="topRight" activeCell="C1" sqref="C1"/>
      <selection pane="bottomLeft" activeCell="A7" sqref="A7"/>
      <selection pane="bottomRight" activeCell="BD30" sqref="BD30"/>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47318439.43</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646617537.25999999</v>
      </c>
      <c r="BE10" s="19">
        <f t="shared" ref="BE10:BE24" si="0">SUM(C10:U10)</f>
        <v>352784472.90999997</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29090469.119999997</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299391701.24999994</v>
      </c>
      <c r="BE24" s="141">
        <f t="shared" si="0"/>
        <v>190004876.63999996</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3974.6507883590652</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4053.2282034793197</v>
      </c>
      <c r="BE25" s="117">
        <f t="shared" si="7"/>
        <v>4833.6227489887797</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C6" sqref="C6"/>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29090469.119999997</v>
      </c>
      <c r="E13" s="13">
        <f>'5.4 Tableau de l''endettement'!M25</f>
        <v>3974.6507883590652</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B5" sqref="B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pane="topRight" activeCell="E1" sqref="E1"/>
      <selection pane="bottomLeft" activeCell="A4" sqref="A4"/>
      <selection pane="bottomRight" activeCell="BJ154" sqref="BJ154"/>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D4" sqref="D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13" sqref="D1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14" t="s">
        <v>635</v>
      </c>
      <c r="B14" s="215"/>
      <c r="C14" s="215"/>
      <c r="D14" s="215"/>
      <c r="E14" s="215"/>
      <c r="F14" s="215"/>
      <c r="G14" s="215"/>
      <c r="H14" s="216"/>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14" t="s">
        <v>647</v>
      </c>
      <c r="B24" s="215"/>
      <c r="C24" s="215"/>
      <c r="D24" s="215"/>
      <c r="E24" s="215"/>
      <c r="F24" s="215"/>
      <c r="G24" s="215"/>
      <c r="H24" s="216"/>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14" t="s">
        <v>654</v>
      </c>
      <c r="B32" s="215"/>
      <c r="C32" s="215"/>
      <c r="D32" s="215"/>
      <c r="E32" s="215"/>
      <c r="F32" s="215"/>
      <c r="G32" s="215"/>
      <c r="H32" s="216"/>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14" t="s">
        <v>664</v>
      </c>
      <c r="B42" s="215"/>
      <c r="C42" s="215"/>
      <c r="D42" s="215"/>
      <c r="E42" s="215"/>
      <c r="F42" s="215"/>
      <c r="G42" s="215"/>
      <c r="H42" s="216"/>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14" t="s">
        <v>674</v>
      </c>
      <c r="B53" s="215"/>
      <c r="C53" s="215"/>
      <c r="D53" s="215"/>
      <c r="E53" s="215"/>
      <c r="F53" s="215"/>
      <c r="G53" s="215"/>
      <c r="H53" s="216"/>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14" t="s">
        <v>682</v>
      </c>
      <c r="B62" s="215"/>
      <c r="C62" s="215"/>
      <c r="D62" s="215"/>
      <c r="E62" s="215"/>
      <c r="F62" s="215"/>
      <c r="G62" s="215"/>
      <c r="H62" s="216"/>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14" t="s">
        <v>691</v>
      </c>
      <c r="B71" s="215"/>
      <c r="C71" s="215"/>
      <c r="D71" s="215"/>
      <c r="E71" s="215"/>
      <c r="F71" s="215"/>
      <c r="G71" s="215"/>
      <c r="H71" s="216"/>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14" t="s">
        <v>703</v>
      </c>
      <c r="B81" s="215"/>
      <c r="C81" s="215"/>
      <c r="D81" s="215"/>
      <c r="E81" s="215"/>
      <c r="F81" s="215"/>
      <c r="G81" s="215"/>
      <c r="H81" s="216"/>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14" t="s">
        <v>710</v>
      </c>
      <c r="B89" s="215"/>
      <c r="C89" s="215"/>
      <c r="D89" s="215"/>
      <c r="E89" s="215"/>
      <c r="F89" s="215"/>
      <c r="G89" s="215"/>
      <c r="H89" s="216"/>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14" t="s">
        <v>718</v>
      </c>
      <c r="B98" s="215"/>
      <c r="C98" s="215"/>
      <c r="D98" s="215"/>
      <c r="E98" s="215"/>
      <c r="F98" s="215"/>
      <c r="G98" s="215"/>
      <c r="H98" s="216"/>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E24" sqref="E24"/>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pane="topRight" activeCell="E1" sqref="E1"/>
      <selection pane="bottomLeft" activeCell="A4" sqref="A4"/>
      <selection pane="bottomRight" activeCell="BK13" sqref="BK1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pane="topRight" activeCell="E1" sqref="E1"/>
      <selection pane="bottomLeft" activeCell="A12" sqref="A12"/>
      <selection pane="bottomRight" activeCell="AU35" sqref="AU3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17" t="s">
        <v>491</v>
      </c>
      <c r="B2" s="217"/>
      <c r="C2" s="217"/>
      <c r="D2" s="217"/>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pane="topRight" activeCell="E1" sqref="E1"/>
      <selection pane="bottomLeft" activeCell="A6" sqref="A6"/>
      <selection pane="bottomRight" activeCell="S34" sqref="S3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pane="topRight" activeCell="E1" sqref="E1"/>
      <selection pane="bottomLeft" activeCell="A12" sqref="A12"/>
      <selection pane="bottomRight" activeCell="A10" sqref="A10"/>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17" t="s">
        <v>491</v>
      </c>
      <c r="B2" s="217"/>
      <c r="C2" s="217"/>
      <c r="D2" s="217"/>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pane="topRight" activeCell="E1" sqref="E1"/>
      <selection pane="bottomLeft" activeCell="A12" sqref="A12"/>
      <selection pane="bottomRight" activeCell="BK19" sqref="BK1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17" t="s">
        <v>491</v>
      </c>
      <c r="B2" s="217"/>
      <c r="C2" s="217"/>
      <c r="D2" s="217"/>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pane="topRight" activeCell="E1" sqref="E1"/>
      <selection pane="bottomLeft" activeCell="A12" sqref="A12"/>
      <selection pane="bottomRight" activeCell="BK6" sqref="BK6:BK1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17" t="s">
        <v>491</v>
      </c>
      <c r="B2" s="217"/>
      <c r="C2" s="217"/>
      <c r="D2" s="217"/>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pane="topRight" activeCell="E1" sqref="E1"/>
      <selection pane="bottomLeft" activeCell="A11" sqref="A11"/>
      <selection pane="bottomRight" activeCell="BB23" sqref="BB2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17" t="s">
        <v>491</v>
      </c>
      <c r="B6" s="217"/>
      <c r="C6" s="217"/>
      <c r="D6" s="217"/>
    </row>
    <row r="7" spans="1:60" ht="15" thickBot="1" x14ac:dyDescent="0.25"/>
    <row r="8" spans="1:60" ht="15.75" thickBot="1" x14ac:dyDescent="0.3">
      <c r="A8" s="218" t="s">
        <v>562</v>
      </c>
      <c r="B8" s="219"/>
      <c r="C8" s="219"/>
      <c r="D8" s="220"/>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11" sqref="B11"/>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17"/>
      <c r="B1" s="217"/>
      <c r="C1" s="217"/>
      <c r="D1" s="217"/>
    </row>
    <row r="2" spans="1:8" ht="18" x14ac:dyDescent="0.25">
      <c r="A2" s="224" t="s">
        <v>831</v>
      </c>
      <c r="B2" s="224"/>
      <c r="C2" s="224"/>
      <c r="D2" s="224"/>
      <c r="E2" s="217"/>
      <c r="F2" s="217"/>
      <c r="G2" s="217"/>
      <c r="H2" s="217"/>
    </row>
    <row r="3" spans="1:8" ht="18" x14ac:dyDescent="0.25">
      <c r="A3" s="193"/>
      <c r="B3" s="193"/>
      <c r="C3" s="193"/>
      <c r="D3" s="193"/>
      <c r="E3" s="193"/>
      <c r="F3" s="193"/>
      <c r="G3" s="193"/>
      <c r="H3" s="193"/>
    </row>
    <row r="4" spans="1:8" ht="15" thickBot="1" x14ac:dyDescent="0.25">
      <c r="B4" s="225" t="s">
        <v>782</v>
      </c>
      <c r="C4" s="225"/>
      <c r="D4" s="225"/>
    </row>
    <row r="5" spans="1:8" ht="15.75" thickBot="1" x14ac:dyDescent="0.3">
      <c r="A5" s="32" t="s">
        <v>569</v>
      </c>
      <c r="B5" s="211" t="s">
        <v>49</v>
      </c>
      <c r="C5" s="212"/>
      <c r="D5" s="213"/>
      <c r="F5" s="158"/>
    </row>
    <row r="6" spans="1:8" ht="15.75" thickBot="1" x14ac:dyDescent="0.3">
      <c r="E6" s="7"/>
      <c r="H6" s="165"/>
    </row>
    <row r="7" spans="1:8" ht="15.75" thickBot="1" x14ac:dyDescent="0.3">
      <c r="A7" s="221" t="s">
        <v>562</v>
      </c>
      <c r="B7" s="222"/>
      <c r="C7" s="222"/>
      <c r="D7" s="223"/>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pane="topRight" activeCell="E1" sqref="E1"/>
      <selection pane="bottomLeft" activeCell="A4" sqref="A4"/>
      <selection pane="bottomRight" activeCell="Q157" sqref="Q157"/>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pane="topRight" activeCell="E1" sqref="E1"/>
      <selection pane="bottomLeft" activeCell="A4" sqref="A4"/>
      <selection pane="bottomRight"/>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C25" sqref="C25"/>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B6" sqref="B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32" sqref="B3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B6" sqref="B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C4" sqref="C4"/>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B6" sqref="B6:D6"/>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1" t="s">
        <v>740</v>
      </c>
      <c r="C6" s="212"/>
      <c r="D6" s="213"/>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pane="topRight" activeCell="F1" sqref="F1"/>
      <selection pane="bottomLeft" activeCell="A4" sqref="A4"/>
      <selection pane="bottomRight" activeCell="R219" sqref="R219"/>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E5" sqref="E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B6" sqref="B6"/>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33" sqref="B3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C39" sqref="C39"/>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pane="topRight" activeCell="E1" sqref="E1"/>
      <selection pane="bottomLeft" activeCell="A4" sqref="A4"/>
      <selection pane="bottomRight" activeCell="Q180" sqref="Q180"/>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4" sqref="D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pane="topRight" activeCell="E1" sqref="E1"/>
      <selection pane="bottomLeft" activeCell="A4" sqref="A4"/>
      <selection pane="bottomRight" activeCell="AA157" sqref="AA157"/>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C7" sqref="C7"/>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6" sqref="B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A7" sqref="A7"/>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6" sqref="B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pane="topRight" activeCell="F1" sqref="F1"/>
      <selection pane="bottomLeft" activeCell="A4" sqref="A4"/>
      <selection pane="bottomRight" activeCell="AB219" sqref="AB219"/>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E5" sqref="E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F31" sqref="F31"/>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A2" sqref="A2"/>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5" sqref="B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abSelected="1" workbookViewId="0">
      <selection activeCell="D166" sqref="D166"/>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226">
        <f>HLOOKUP(D5,'4.1 Comptes 2022 natures'!$E$4:$BE$159,2,0)</f>
        <v>3735431.19</v>
      </c>
    </row>
    <row r="9" spans="1:5" ht="15" x14ac:dyDescent="0.25">
      <c r="A9" s="79"/>
      <c r="B9" s="79">
        <v>30</v>
      </c>
      <c r="C9" s="79"/>
      <c r="D9" s="79" t="s">
        <v>61</v>
      </c>
      <c r="E9" s="205">
        <f>HLOOKUP($D$5,'4.1 Comptes 2022 natures'!$E$4:$BE$159,3,0)</f>
        <v>474056.55000000005</v>
      </c>
    </row>
    <row r="10" spans="1:5" x14ac:dyDescent="0.2">
      <c r="C10" s="8">
        <v>300</v>
      </c>
      <c r="D10" s="8" t="s">
        <v>80</v>
      </c>
      <c r="E10" s="139">
        <f>HLOOKUP($D$5,'4.1 Comptes 2022 natures'!$E$4:$BE$159,4,0)</f>
        <v>44845</v>
      </c>
    </row>
    <row r="11" spans="1:5" x14ac:dyDescent="0.2">
      <c r="C11" s="8">
        <v>301</v>
      </c>
      <c r="D11" s="8" t="s">
        <v>81</v>
      </c>
      <c r="E11" s="139">
        <f>HLOOKUP($D$5,'4.1 Comptes 2022 natures'!$E$4:$BE$159,5,0)</f>
        <v>356986.4</v>
      </c>
    </row>
    <row r="12" spans="1:5" x14ac:dyDescent="0.2">
      <c r="C12" s="8">
        <v>302</v>
      </c>
      <c r="D12" s="8" t="s">
        <v>82</v>
      </c>
      <c r="E12" s="139">
        <f>HLOOKUP($D$5,'4.1 Comptes 2022 natures'!$E$4:$BE$159,6,0)</f>
        <v>0</v>
      </c>
    </row>
    <row r="13" spans="1:5" x14ac:dyDescent="0.2">
      <c r="C13" s="8">
        <v>303</v>
      </c>
      <c r="D13" s="8" t="s">
        <v>83</v>
      </c>
      <c r="E13" s="139">
        <f>HLOOKUP($D$5,'4.1 Comptes 2022 natures'!$E$4:$BE$159,7,0)</f>
        <v>0</v>
      </c>
    </row>
    <row r="14" spans="1:5" x14ac:dyDescent="0.2">
      <c r="C14" s="8">
        <v>304</v>
      </c>
      <c r="D14" s="8" t="s">
        <v>578</v>
      </c>
      <c r="E14" s="139">
        <f>HLOOKUP($D$5,'4.1 Comptes 2022 natures'!$E$4:$BE$159,8,0)</f>
        <v>0</v>
      </c>
    </row>
    <row r="15" spans="1:5" x14ac:dyDescent="0.2">
      <c r="C15" s="8">
        <v>305</v>
      </c>
      <c r="D15" s="8" t="s">
        <v>84</v>
      </c>
      <c r="E15" s="139">
        <f>HLOOKUP($D$5,'4.1 Comptes 2022 natures'!$E$4:$BE$159,9,0)</f>
        <v>71318.149999999994</v>
      </c>
    </row>
    <row r="16" spans="1:5" x14ac:dyDescent="0.2">
      <c r="C16" s="8">
        <v>306</v>
      </c>
      <c r="D16" s="8" t="s">
        <v>85</v>
      </c>
      <c r="E16" s="139">
        <f>HLOOKUP($D$5,'4.1 Comptes 2022 natures'!$E$4:$BE$159,10,0)</f>
        <v>0</v>
      </c>
    </row>
    <row r="17" spans="2:5" x14ac:dyDescent="0.2">
      <c r="C17" s="8">
        <v>309</v>
      </c>
      <c r="D17" s="8" t="s">
        <v>86</v>
      </c>
      <c r="E17" s="139">
        <f>HLOOKUP($D$5,'4.1 Comptes 2022 natures'!$E$4:$BE$159,11,0)</f>
        <v>907</v>
      </c>
    </row>
    <row r="18" spans="2:5" x14ac:dyDescent="0.2">
      <c r="E18" s="19"/>
    </row>
    <row r="19" spans="2:5" ht="15" x14ac:dyDescent="0.25">
      <c r="B19" s="79">
        <v>31</v>
      </c>
      <c r="C19" s="79"/>
      <c r="D19" s="79" t="s">
        <v>87</v>
      </c>
      <c r="E19" s="205">
        <f>SUM(E20:E29)</f>
        <v>583887.39</v>
      </c>
    </row>
    <row r="20" spans="2:5" x14ac:dyDescent="0.2">
      <c r="C20" s="8">
        <v>310</v>
      </c>
      <c r="D20" s="8" t="s">
        <v>88</v>
      </c>
      <c r="E20" s="139">
        <f>HLOOKUP($D$5,'4.1 Comptes 2022 natures'!$E$4:$BE$159,14,0)</f>
        <v>71520.05</v>
      </c>
    </row>
    <row r="21" spans="2:5" x14ac:dyDescent="0.2">
      <c r="C21" s="8">
        <v>311</v>
      </c>
      <c r="D21" s="8" t="s">
        <v>449</v>
      </c>
      <c r="E21" s="139">
        <f>HLOOKUP($D$5,'4.1 Comptes 2022 natures'!$E$4:$BE$159,15,0)</f>
        <v>23290.6</v>
      </c>
    </row>
    <row r="22" spans="2:5" x14ac:dyDescent="0.2">
      <c r="C22" s="8">
        <v>312</v>
      </c>
      <c r="D22" s="8" t="s">
        <v>90</v>
      </c>
      <c r="E22" s="139">
        <f>HLOOKUP($D$5,'4.1 Comptes 2022 natures'!$E$4:$BE$159,16,0)</f>
        <v>109076.9</v>
      </c>
    </row>
    <row r="23" spans="2:5" x14ac:dyDescent="0.2">
      <c r="C23" s="8">
        <v>313</v>
      </c>
      <c r="D23" s="8" t="s">
        <v>91</v>
      </c>
      <c r="E23" s="139">
        <f>HLOOKUP($D$5,'4.1 Comptes 2022 natures'!$E$4:$BE$159,17,0)</f>
        <v>201212.12</v>
      </c>
    </row>
    <row r="24" spans="2:5" x14ac:dyDescent="0.2">
      <c r="C24" s="8">
        <v>314</v>
      </c>
      <c r="D24" s="8" t="s">
        <v>841</v>
      </c>
      <c r="E24" s="139">
        <f>HLOOKUP($D$5,'4.1 Comptes 2022 natures'!$E$4:$BE$159,18,0)</f>
        <v>117627.35</v>
      </c>
    </row>
    <row r="25" spans="2:5" x14ac:dyDescent="0.2">
      <c r="C25" s="8">
        <v>315</v>
      </c>
      <c r="D25" s="8" t="s">
        <v>92</v>
      </c>
      <c r="E25" s="139">
        <f>HLOOKUP($D$5,'4.1 Comptes 2022 natures'!$E$4:$BE$159,19,0)</f>
        <v>50105.4</v>
      </c>
    </row>
    <row r="26" spans="2:5" x14ac:dyDescent="0.2">
      <c r="C26" s="8">
        <v>316</v>
      </c>
      <c r="D26" s="8" t="s">
        <v>93</v>
      </c>
      <c r="E26" s="139">
        <f>HLOOKUP($D$5,'4.1 Comptes 2022 natures'!$E$4:$BE$159,20,0)</f>
        <v>3877.2</v>
      </c>
    </row>
    <row r="27" spans="2:5" x14ac:dyDescent="0.2">
      <c r="C27" s="8">
        <v>317</v>
      </c>
      <c r="D27" s="8" t="s">
        <v>94</v>
      </c>
      <c r="E27" s="139">
        <f>HLOOKUP($D$5,'4.1 Comptes 2022 natures'!$E$4:$BE$159,21,0)</f>
        <v>22594.15</v>
      </c>
    </row>
    <row r="28" spans="2:5" x14ac:dyDescent="0.2">
      <c r="C28" s="8">
        <v>318</v>
      </c>
      <c r="D28" s="8" t="s">
        <v>95</v>
      </c>
      <c r="E28" s="139">
        <f>HLOOKUP($D$5,'4.1 Comptes 2022 natures'!$E$4:$BE$159,22,0)</f>
        <v>-25400.880000000001</v>
      </c>
    </row>
    <row r="29" spans="2:5" x14ac:dyDescent="0.2">
      <c r="C29" s="8">
        <v>319</v>
      </c>
      <c r="D29" s="8" t="s">
        <v>96</v>
      </c>
      <c r="E29" s="139">
        <f>HLOOKUP($D$5,'4.1 Comptes 2022 natures'!$E$4:$BE$159,23,0)</f>
        <v>9984.5</v>
      </c>
    </row>
    <row r="30" spans="2:5" x14ac:dyDescent="0.2">
      <c r="E30" s="19"/>
    </row>
    <row r="31" spans="2:5" ht="15" x14ac:dyDescent="0.25">
      <c r="B31" s="79">
        <v>33</v>
      </c>
      <c r="C31" s="79"/>
      <c r="D31" s="79" t="s">
        <v>97</v>
      </c>
      <c r="E31" s="205">
        <f>SUM(E32:E33)</f>
        <v>273439.17</v>
      </c>
    </row>
    <row r="32" spans="2:5" x14ac:dyDescent="0.2">
      <c r="C32" s="8">
        <v>330</v>
      </c>
      <c r="D32" s="8" t="s">
        <v>99</v>
      </c>
      <c r="E32" s="139">
        <f>HLOOKUP($D$5,'4.1 Comptes 2022 natures'!$E$4:$BE$159,26,0)</f>
        <v>273439.17</v>
      </c>
    </row>
    <row r="33" spans="2:5" x14ac:dyDescent="0.2">
      <c r="C33" s="8">
        <v>332</v>
      </c>
      <c r="D33" s="8" t="s">
        <v>98</v>
      </c>
      <c r="E33" s="139">
        <f>HLOOKUP($D$5,'4.1 Comptes 2022 natures'!$E$4:$BE$159,27,0)</f>
        <v>0</v>
      </c>
    </row>
    <row r="34" spans="2:5" x14ac:dyDescent="0.2">
      <c r="E34" s="19"/>
    </row>
    <row r="35" spans="2:5" ht="15" x14ac:dyDescent="0.25">
      <c r="B35" s="79">
        <v>34</v>
      </c>
      <c r="C35" s="79"/>
      <c r="D35" s="79" t="s">
        <v>100</v>
      </c>
      <c r="E35" s="205">
        <f>SUM(E36:E41)</f>
        <v>54405.36</v>
      </c>
    </row>
    <row r="36" spans="2:5" x14ac:dyDescent="0.2">
      <c r="C36" s="8">
        <v>340</v>
      </c>
      <c r="D36" s="8" t="s">
        <v>101</v>
      </c>
      <c r="E36" s="139">
        <f>HLOOKUP($D$5,'4.1 Comptes 2022 natures'!$E$4:$BE$159,30,0)</f>
        <v>54405.36</v>
      </c>
    </row>
    <row r="37" spans="2:5" x14ac:dyDescent="0.2">
      <c r="C37" s="8">
        <v>341</v>
      </c>
      <c r="D37" s="8" t="s">
        <v>102</v>
      </c>
      <c r="E37" s="139">
        <f>HLOOKUP($D$5,'4.1 Comptes 2022 natures'!$E$4:$BE$159,31,0)</f>
        <v>0</v>
      </c>
    </row>
    <row r="38" spans="2:5" x14ac:dyDescent="0.2">
      <c r="C38" s="8">
        <v>342</v>
      </c>
      <c r="D38" s="8" t="s">
        <v>103</v>
      </c>
      <c r="E38" s="139">
        <f>HLOOKUP($D$5,'4.1 Comptes 2022 natures'!$E$4:$BE$159,32,0)</f>
        <v>0</v>
      </c>
    </row>
    <row r="39" spans="2:5" x14ac:dyDescent="0.2">
      <c r="C39" s="8">
        <v>343</v>
      </c>
      <c r="D39" s="8" t="s">
        <v>104</v>
      </c>
      <c r="E39" s="139">
        <f>HLOOKUP($D$5,'4.1 Comptes 2022 natures'!$E$4:$BE$159,33,0)</f>
        <v>0</v>
      </c>
    </row>
    <row r="40" spans="2:5" x14ac:dyDescent="0.2">
      <c r="C40" s="8">
        <v>344</v>
      </c>
      <c r="D40" s="8" t="s">
        <v>105</v>
      </c>
      <c r="E40" s="139">
        <f>HLOOKUP($D$5,'4.1 Comptes 2022 natures'!$E$4:$BE$159,34,0)</f>
        <v>0</v>
      </c>
    </row>
    <row r="41" spans="2:5" x14ac:dyDescent="0.2">
      <c r="C41" s="8">
        <v>349</v>
      </c>
      <c r="D41" s="8" t="s">
        <v>106</v>
      </c>
      <c r="E41" s="139">
        <f>HLOOKUP($D$5,'4.1 Comptes 2022 natures'!$E$4:$BE$159,35,0)</f>
        <v>0</v>
      </c>
    </row>
    <row r="42" spans="2:5" x14ac:dyDescent="0.2">
      <c r="E42" s="19"/>
    </row>
    <row r="43" spans="2:5" ht="15" x14ac:dyDescent="0.25">
      <c r="B43" s="79">
        <v>35</v>
      </c>
      <c r="C43" s="79"/>
      <c r="D43" s="79" t="s">
        <v>108</v>
      </c>
      <c r="E43" s="205">
        <f>SUM(E44:E45)</f>
        <v>13669.95</v>
      </c>
    </row>
    <row r="44" spans="2:5" x14ac:dyDescent="0.2">
      <c r="C44" s="8">
        <v>350</v>
      </c>
      <c r="D44" s="8" t="s">
        <v>108</v>
      </c>
      <c r="E44" s="139">
        <f>HLOOKUP($D$5,'4.1 Comptes 2022 natures'!$E$4:$BE$159,38,0)</f>
        <v>0</v>
      </c>
    </row>
    <row r="45" spans="2:5" x14ac:dyDescent="0.2">
      <c r="C45" s="8">
        <v>351</v>
      </c>
      <c r="D45" s="8" t="s">
        <v>107</v>
      </c>
      <c r="E45" s="139">
        <f>HLOOKUP($D$5,'4.1 Comptes 2022 natures'!$E$4:$BE$159,39,0)</f>
        <v>13669.95</v>
      </c>
    </row>
    <row r="46" spans="2:5" x14ac:dyDescent="0.2">
      <c r="E46" s="19"/>
    </row>
    <row r="47" spans="2:5" ht="15" x14ac:dyDescent="0.25">
      <c r="B47" s="79">
        <v>36</v>
      </c>
      <c r="C47" s="79"/>
      <c r="D47" s="79" t="s">
        <v>109</v>
      </c>
      <c r="E47" s="205">
        <f>SUM(E48:E55)</f>
        <v>2335972.77</v>
      </c>
    </row>
    <row r="48" spans="2:5" x14ac:dyDescent="0.2">
      <c r="C48" s="8">
        <v>360</v>
      </c>
      <c r="D48" s="8" t="s">
        <v>110</v>
      </c>
      <c r="E48" s="139">
        <f>HLOOKUP($D$5,'4.1 Comptes 2022 natures'!$E$4:$BE$159,42,0)</f>
        <v>5823.35</v>
      </c>
    </row>
    <row r="49" spans="2:5" x14ac:dyDescent="0.2">
      <c r="C49" s="8">
        <v>361</v>
      </c>
      <c r="D49" s="8" t="s">
        <v>111</v>
      </c>
      <c r="E49" s="139">
        <f>HLOOKUP($D$5,'4.1 Comptes 2022 natures'!$E$4:$BE$159,43,0)</f>
        <v>1730003.38</v>
      </c>
    </row>
    <row r="50" spans="2:5" x14ac:dyDescent="0.2">
      <c r="C50" s="8">
        <v>362</v>
      </c>
      <c r="D50" s="8" t="s">
        <v>112</v>
      </c>
      <c r="E50" s="139">
        <f>HLOOKUP($D$5,'4.1 Comptes 2022 natures'!$E$4:$BE$159,44,0)</f>
        <v>38535</v>
      </c>
    </row>
    <row r="51" spans="2:5" x14ac:dyDescent="0.2">
      <c r="C51" s="8">
        <v>363</v>
      </c>
      <c r="D51" s="8" t="s">
        <v>113</v>
      </c>
      <c r="E51" s="139">
        <f>HLOOKUP($D$5,'4.1 Comptes 2022 natures'!$E$4:$BE$159,45,0)</f>
        <v>553705.75</v>
      </c>
    </row>
    <row r="52" spans="2:5" x14ac:dyDescent="0.2">
      <c r="C52" s="8">
        <v>364</v>
      </c>
      <c r="D52" s="8" t="s">
        <v>114</v>
      </c>
      <c r="E52" s="139">
        <f>HLOOKUP($D$5,'4.1 Comptes 2022 natures'!$E$4:$BE$159,46,0)</f>
        <v>0</v>
      </c>
    </row>
    <row r="53" spans="2:5" x14ac:dyDescent="0.2">
      <c r="C53" s="8">
        <v>365</v>
      </c>
      <c r="D53" s="8" t="s">
        <v>115</v>
      </c>
      <c r="E53" s="139">
        <f>HLOOKUP($D$5,'4.1 Comptes 2022 natures'!$E$4:$BE$159,47,0)</f>
        <v>0</v>
      </c>
    </row>
    <row r="54" spans="2:5" x14ac:dyDescent="0.2">
      <c r="C54" s="8">
        <v>366</v>
      </c>
      <c r="D54" s="8" t="s">
        <v>116</v>
      </c>
      <c r="E54" s="139">
        <f>HLOOKUP($D$5,'4.1 Comptes 2022 natures'!$E$4:$BE$159,48,0)</f>
        <v>7905.29</v>
      </c>
    </row>
    <row r="55" spans="2:5" x14ac:dyDescent="0.2">
      <c r="C55" s="8">
        <v>369</v>
      </c>
      <c r="D55" s="8" t="s">
        <v>117</v>
      </c>
      <c r="E55" s="139">
        <f>HLOOKUP($D$5,'4.1 Comptes 2022 natures'!$E$4:$BE$159,49,0)</f>
        <v>0</v>
      </c>
    </row>
    <row r="56" spans="2:5" x14ac:dyDescent="0.2">
      <c r="E56" s="19"/>
    </row>
    <row r="57" spans="2:5" ht="15" x14ac:dyDescent="0.25">
      <c r="B57" s="79">
        <v>37</v>
      </c>
      <c r="C57" s="79"/>
      <c r="D57" s="79" t="s">
        <v>118</v>
      </c>
      <c r="E57" s="205">
        <f>SUM(E58)</f>
        <v>0</v>
      </c>
    </row>
    <row r="58" spans="2:5" x14ac:dyDescent="0.2">
      <c r="C58" s="8">
        <v>370</v>
      </c>
      <c r="D58" s="8" t="s">
        <v>119</v>
      </c>
      <c r="E58" s="139">
        <f>HLOOKUP($D$5,'4.1 Comptes 2022 natures'!$E$4:$BE$159,52,0)</f>
        <v>0</v>
      </c>
    </row>
    <row r="59" spans="2:5" x14ac:dyDescent="0.2">
      <c r="E59" s="19"/>
    </row>
    <row r="60" spans="2:5" ht="15" x14ac:dyDescent="0.25">
      <c r="B60" s="79">
        <v>38</v>
      </c>
      <c r="C60" s="79"/>
      <c r="D60" s="79" t="s">
        <v>120</v>
      </c>
      <c r="E60" s="205">
        <f>SUM(E61:E66)</f>
        <v>0</v>
      </c>
    </row>
    <row r="61" spans="2:5" x14ac:dyDescent="0.2">
      <c r="C61" s="8">
        <v>380</v>
      </c>
      <c r="D61" s="8" t="s">
        <v>121</v>
      </c>
      <c r="E61" s="139">
        <f>HLOOKUP($D$5,'4.1 Comptes 2022 natures'!$E$4:$BE$159,55,0)</f>
        <v>0</v>
      </c>
    </row>
    <row r="62" spans="2:5" x14ac:dyDescent="0.2">
      <c r="C62" s="8">
        <v>381</v>
      </c>
      <c r="D62" s="8" t="s">
        <v>122</v>
      </c>
      <c r="E62" s="139">
        <f>HLOOKUP($D$5,'4.1 Comptes 2022 natures'!$E$4:$BE$159,56,0)</f>
        <v>0</v>
      </c>
    </row>
    <row r="63" spans="2:5" x14ac:dyDescent="0.2">
      <c r="C63" s="8">
        <v>384</v>
      </c>
      <c r="D63" s="8" t="s">
        <v>123</v>
      </c>
      <c r="E63" s="139">
        <f>HLOOKUP($D$5,'4.1 Comptes 2022 natures'!$E$4:$BE$159,57,0)</f>
        <v>0</v>
      </c>
    </row>
    <row r="64" spans="2:5" x14ac:dyDescent="0.2">
      <c r="C64" s="8">
        <v>385</v>
      </c>
      <c r="D64" s="8" t="s">
        <v>124</v>
      </c>
      <c r="E64" s="139">
        <f>HLOOKUP($D$5,'4.1 Comptes 2022 natures'!$E$4:$BE$159,58,0)</f>
        <v>0</v>
      </c>
    </row>
    <row r="65" spans="1:5" x14ac:dyDescent="0.2">
      <c r="C65" s="8">
        <v>386</v>
      </c>
      <c r="D65" s="8" t="s">
        <v>125</v>
      </c>
      <c r="E65" s="139">
        <f>HLOOKUP($D$5,'4.1 Comptes 2022 natures'!$E$4:$BE$159,59,0)</f>
        <v>0</v>
      </c>
    </row>
    <row r="66" spans="1:5" x14ac:dyDescent="0.2">
      <c r="C66" s="8">
        <v>389</v>
      </c>
      <c r="D66" s="8" t="s">
        <v>289</v>
      </c>
      <c r="E66" s="139">
        <f>HLOOKUP($D$5,'4.1 Comptes 2022 natures'!$E$4:$BE$159,60,0)</f>
        <v>0</v>
      </c>
    </row>
    <row r="67" spans="1:5" x14ac:dyDescent="0.2">
      <c r="E67" s="19"/>
    </row>
    <row r="68" spans="1:5" ht="15" x14ac:dyDescent="0.25">
      <c r="B68" s="79">
        <v>39</v>
      </c>
      <c r="C68" s="79"/>
      <c r="D68" s="79" t="s">
        <v>127</v>
      </c>
      <c r="E68" s="205">
        <f>SUM(E69:E76)</f>
        <v>0</v>
      </c>
    </row>
    <row r="69" spans="1:5" x14ac:dyDescent="0.2">
      <c r="C69" s="8">
        <v>390</v>
      </c>
      <c r="D69" s="8" t="s">
        <v>128</v>
      </c>
      <c r="E69" s="139">
        <f>HLOOKUP($D$5,'4.1 Comptes 2022 natures'!$E$4:$BE$159,63,0)</f>
        <v>0</v>
      </c>
    </row>
    <row r="70" spans="1:5" x14ac:dyDescent="0.2">
      <c r="C70" s="8">
        <v>391</v>
      </c>
      <c r="D70" s="8" t="s">
        <v>129</v>
      </c>
      <c r="E70" s="139">
        <f>HLOOKUP($D$5,'4.1 Comptes 2022 natures'!$E$4:$BE$159,64,0)</f>
        <v>0</v>
      </c>
    </row>
    <row r="71" spans="1:5" x14ac:dyDescent="0.2">
      <c r="C71" s="8">
        <v>392</v>
      </c>
      <c r="D71" s="8" t="s">
        <v>130</v>
      </c>
      <c r="E71" s="139">
        <f>HLOOKUP($D$5,'4.1 Comptes 2022 natures'!$E$4:$BE$159,65,0)</f>
        <v>0</v>
      </c>
    </row>
    <row r="72" spans="1:5" x14ac:dyDescent="0.2">
      <c r="C72" s="8">
        <v>393</v>
      </c>
      <c r="D72" s="8" t="s">
        <v>131</v>
      </c>
      <c r="E72" s="139">
        <f>HLOOKUP($D$5,'4.1 Comptes 2022 natures'!$E$4:$BE$159,66,0)</f>
        <v>0</v>
      </c>
    </row>
    <row r="73" spans="1:5" x14ac:dyDescent="0.2">
      <c r="C73" s="8">
        <v>394</v>
      </c>
      <c r="D73" s="8" t="s">
        <v>132</v>
      </c>
      <c r="E73" s="139">
        <f>HLOOKUP($D$5,'4.1 Comptes 2022 natures'!$E$4:$BE$159,67,0)</f>
        <v>0</v>
      </c>
    </row>
    <row r="74" spans="1:5" x14ac:dyDescent="0.2">
      <c r="C74" s="8">
        <v>395</v>
      </c>
      <c r="D74" s="8" t="s">
        <v>133</v>
      </c>
      <c r="E74" s="139">
        <f>HLOOKUP($D$5,'4.1 Comptes 2022 natures'!$E$4:$BE$159,68,0)</f>
        <v>0</v>
      </c>
    </row>
    <row r="75" spans="1:5" x14ac:dyDescent="0.2">
      <c r="C75" s="8">
        <v>398</v>
      </c>
      <c r="D75" s="8" t="s">
        <v>134</v>
      </c>
      <c r="E75" s="139">
        <f>HLOOKUP($D$5,'4.1 Comptes 2022 natures'!$E$4:$BE$159,69,0)</f>
        <v>0</v>
      </c>
    </row>
    <row r="76" spans="1:5" x14ac:dyDescent="0.2">
      <c r="C76" s="8">
        <v>399</v>
      </c>
      <c r="D76" s="8" t="s">
        <v>135</v>
      </c>
      <c r="E76" s="139">
        <f>HLOOKUP($D$5,'4.1 Comptes 2022 natures'!$E$4:$BE$159,70,0)</f>
        <v>0</v>
      </c>
    </row>
    <row r="77" spans="1:5" x14ac:dyDescent="0.2">
      <c r="E77" s="19"/>
    </row>
    <row r="78" spans="1:5" x14ac:dyDescent="0.2">
      <c r="E78" s="19"/>
    </row>
    <row r="79" spans="1:5" ht="20.25" x14ac:dyDescent="0.3">
      <c r="A79" s="14">
        <v>4</v>
      </c>
      <c r="B79" s="14"/>
      <c r="C79" s="14"/>
      <c r="D79" s="14" t="s">
        <v>136</v>
      </c>
      <c r="E79" s="227">
        <f>HLOOKUP($D$5,'4.1 Comptes 2022 natures'!$E$4:$BE$159,73,0)</f>
        <v>3851613.9499999997</v>
      </c>
    </row>
    <row r="80" spans="1:5" ht="15" x14ac:dyDescent="0.25">
      <c r="A80" s="7"/>
      <c r="B80" s="81">
        <v>40</v>
      </c>
      <c r="C80" s="81"/>
      <c r="D80" s="81" t="s">
        <v>79</v>
      </c>
      <c r="E80" s="228">
        <f>SUM(E81:E84)</f>
        <v>2612688.9700000002</v>
      </c>
    </row>
    <row r="81" spans="2:5" x14ac:dyDescent="0.2">
      <c r="C81" s="8">
        <v>400</v>
      </c>
      <c r="D81" s="8" t="s">
        <v>137</v>
      </c>
      <c r="E81" s="139">
        <f>HLOOKUP($D$5,'4.1 Comptes 2022 natures'!$E$4:$BE$159,75,0)</f>
        <v>2262700.1</v>
      </c>
    </row>
    <row r="82" spans="2:5" x14ac:dyDescent="0.2">
      <c r="C82" s="8">
        <v>401</v>
      </c>
      <c r="D82" s="8" t="s">
        <v>138</v>
      </c>
      <c r="E82" s="139">
        <f>HLOOKUP($D$5,'4.1 Comptes 2022 natures'!$E$4:$BE$159,76,0)</f>
        <v>104082.17</v>
      </c>
    </row>
    <row r="83" spans="2:5" x14ac:dyDescent="0.2">
      <c r="C83" s="8">
        <v>402</v>
      </c>
      <c r="D83" s="8" t="s">
        <v>139</v>
      </c>
      <c r="E83" s="139">
        <f>HLOOKUP($D$5,'4.1 Comptes 2022 natures'!$E$4:$BE$159,77,0)</f>
        <v>232616.5</v>
      </c>
    </row>
    <row r="84" spans="2:5" x14ac:dyDescent="0.2">
      <c r="C84" s="8">
        <v>403</v>
      </c>
      <c r="D84" s="8" t="s">
        <v>140</v>
      </c>
      <c r="E84" s="139">
        <f>HLOOKUP($D$5,'4.1 Comptes 2022 natures'!$E$4:$BE$159,78,0)</f>
        <v>13290.2</v>
      </c>
    </row>
    <row r="85" spans="2:5" x14ac:dyDescent="0.2">
      <c r="E85" s="19"/>
    </row>
    <row r="86" spans="2:5" ht="15" x14ac:dyDescent="0.25">
      <c r="B86" s="81">
        <v>41</v>
      </c>
      <c r="C86" s="81"/>
      <c r="D86" s="81" t="s">
        <v>141</v>
      </c>
      <c r="E86" s="228">
        <f>SUM(E87:E90)</f>
        <v>0</v>
      </c>
    </row>
    <row r="87" spans="2:5" x14ac:dyDescent="0.2">
      <c r="C87" s="8">
        <v>410</v>
      </c>
      <c r="D87" s="8" t="s">
        <v>142</v>
      </c>
      <c r="E87" s="139">
        <f>HLOOKUP($D$5,'4.1 Comptes 2022 natures'!$E$4:$BE$159,81,0)</f>
        <v>0</v>
      </c>
    </row>
    <row r="88" spans="2:5" x14ac:dyDescent="0.2">
      <c r="C88" s="8">
        <v>411</v>
      </c>
      <c r="D88" s="8" t="s">
        <v>143</v>
      </c>
      <c r="E88" s="139">
        <f>HLOOKUP($D$5,'4.1 Comptes 2022 natures'!$E$4:$BE$159,82,0)</f>
        <v>0</v>
      </c>
    </row>
    <row r="89" spans="2:5" x14ac:dyDescent="0.2">
      <c r="C89" s="8">
        <v>412</v>
      </c>
      <c r="D89" s="8" t="s">
        <v>144</v>
      </c>
      <c r="E89" s="139">
        <f>HLOOKUP($D$5,'4.1 Comptes 2022 natures'!$E$4:$BE$159,83,0)</f>
        <v>0</v>
      </c>
    </row>
    <row r="90" spans="2:5" x14ac:dyDescent="0.2">
      <c r="C90" s="8">
        <v>413</v>
      </c>
      <c r="D90" s="8" t="s">
        <v>145</v>
      </c>
      <c r="E90" s="139">
        <f>HLOOKUP($D$5,'4.1 Comptes 2022 natures'!$E$4:$BE$159,84,0)</f>
        <v>0</v>
      </c>
    </row>
    <row r="91" spans="2:5" x14ac:dyDescent="0.2">
      <c r="E91" s="19"/>
    </row>
    <row r="92" spans="2:5" ht="15" x14ac:dyDescent="0.25">
      <c r="B92" s="81">
        <v>42</v>
      </c>
      <c r="C92" s="81"/>
      <c r="D92" s="81" t="s">
        <v>146</v>
      </c>
      <c r="E92" s="228">
        <f>SUM(E93:E101)</f>
        <v>758551.29999999993</v>
      </c>
    </row>
    <row r="93" spans="2:5" x14ac:dyDescent="0.2">
      <c r="C93" s="8">
        <v>420</v>
      </c>
      <c r="D93" s="8" t="s">
        <v>147</v>
      </c>
      <c r="E93" s="139">
        <f>HLOOKUP($D$5,'4.1 Comptes 2022 natures'!$E$4:$BE$159,87,0)</f>
        <v>36366.400000000001</v>
      </c>
    </row>
    <row r="94" spans="2:5" x14ac:dyDescent="0.2">
      <c r="C94" s="8">
        <v>421</v>
      </c>
      <c r="D94" s="8" t="s">
        <v>148</v>
      </c>
      <c r="E94" s="139">
        <f>HLOOKUP($D$5,'4.1 Comptes 2022 natures'!$E$4:$BE$159,88,0)</f>
        <v>14767.55</v>
      </c>
    </row>
    <row r="95" spans="2:5" x14ac:dyDescent="0.2">
      <c r="C95" s="8">
        <v>422</v>
      </c>
      <c r="D95" s="8" t="s">
        <v>149</v>
      </c>
      <c r="E95" s="139">
        <f>HLOOKUP($D$5,'4.1 Comptes 2022 natures'!$E$4:$BE$159,89,0)</f>
        <v>0</v>
      </c>
    </row>
    <row r="96" spans="2:5" x14ac:dyDescent="0.2">
      <c r="C96" s="8">
        <v>423</v>
      </c>
      <c r="D96" s="8" t="s">
        <v>150</v>
      </c>
      <c r="E96" s="139">
        <f>HLOOKUP($D$5,'4.1 Comptes 2022 natures'!$E$4:$BE$159,90,0)</f>
        <v>2720</v>
      </c>
    </row>
    <row r="97" spans="2:5" x14ac:dyDescent="0.2">
      <c r="C97" s="8">
        <v>424</v>
      </c>
      <c r="D97" s="8" t="s">
        <v>151</v>
      </c>
      <c r="E97" s="139">
        <f>HLOOKUP($D$5,'4.1 Comptes 2022 natures'!$E$4:$BE$159,91,0)</f>
        <v>615870.44999999995</v>
      </c>
    </row>
    <row r="98" spans="2:5" x14ac:dyDescent="0.2">
      <c r="C98" s="8">
        <v>425</v>
      </c>
      <c r="D98" s="8" t="s">
        <v>152</v>
      </c>
      <c r="E98" s="139">
        <f>HLOOKUP($D$5,'4.1 Comptes 2022 natures'!$E$4:$BE$159,92,0)</f>
        <v>12011.4</v>
      </c>
    </row>
    <row r="99" spans="2:5" x14ac:dyDescent="0.2">
      <c r="C99" s="8">
        <v>426</v>
      </c>
      <c r="D99" s="8" t="s">
        <v>153</v>
      </c>
      <c r="E99" s="139">
        <f>HLOOKUP($D$5,'4.1 Comptes 2022 natures'!$E$4:$BE$159,93,0)</f>
        <v>76515.5</v>
      </c>
    </row>
    <row r="100" spans="2:5" x14ac:dyDescent="0.2">
      <c r="C100" s="8">
        <v>427</v>
      </c>
      <c r="D100" s="8" t="s">
        <v>154</v>
      </c>
      <c r="E100" s="139">
        <f>HLOOKUP($D$5,'4.1 Comptes 2022 natures'!$E$4:$BE$159,94,0)</f>
        <v>300</v>
      </c>
    </row>
    <row r="101" spans="2:5" x14ac:dyDescent="0.2">
      <c r="C101" s="8">
        <v>429</v>
      </c>
      <c r="D101" s="8" t="s">
        <v>155</v>
      </c>
      <c r="E101" s="139">
        <f>HLOOKUP($D$5,'4.1 Comptes 2022 natures'!$E$4:$BE$159,95,0)</f>
        <v>0</v>
      </c>
    </row>
    <row r="102" spans="2:5" x14ac:dyDescent="0.2">
      <c r="E102" s="19"/>
    </row>
    <row r="103" spans="2:5" ht="15" x14ac:dyDescent="0.25">
      <c r="B103" s="81">
        <v>43</v>
      </c>
      <c r="C103" s="81"/>
      <c r="D103" s="81" t="s">
        <v>156</v>
      </c>
      <c r="E103" s="228">
        <f>SUM(E104:E107)</f>
        <v>0</v>
      </c>
    </row>
    <row r="104" spans="2:5" x14ac:dyDescent="0.2">
      <c r="C104" s="8">
        <v>430</v>
      </c>
      <c r="D104" s="8" t="s">
        <v>157</v>
      </c>
      <c r="E104" s="139">
        <f>HLOOKUP($D$5,'4.1 Comptes 2022 natures'!$E$4:$BE$159,98,0)</f>
        <v>0</v>
      </c>
    </row>
    <row r="105" spans="2:5" x14ac:dyDescent="0.2">
      <c r="C105" s="8">
        <v>431</v>
      </c>
      <c r="D105" s="8" t="s">
        <v>158</v>
      </c>
      <c r="E105" s="139">
        <f>HLOOKUP($D$5,'4.1 Comptes 2022 natures'!$E$4:$BE$159,99,0)</f>
        <v>0</v>
      </c>
    </row>
    <row r="106" spans="2:5" x14ac:dyDescent="0.2">
      <c r="C106" s="8">
        <v>432</v>
      </c>
      <c r="D106" s="8" t="s">
        <v>159</v>
      </c>
      <c r="E106" s="139">
        <f>HLOOKUP($D$5,'4.1 Comptes 2022 natures'!$E$4:$BE$159,100,0)</f>
        <v>0</v>
      </c>
    </row>
    <row r="107" spans="2:5" x14ac:dyDescent="0.2">
      <c r="C107" s="8">
        <v>439</v>
      </c>
      <c r="D107" s="8" t="s">
        <v>160</v>
      </c>
      <c r="E107" s="139">
        <f>HLOOKUP($D$5,'4.1 Comptes 2022 natures'!$E$4:$BE$159,101,0)</f>
        <v>0</v>
      </c>
    </row>
    <row r="108" spans="2:5" x14ac:dyDescent="0.2">
      <c r="E108" s="19"/>
    </row>
    <row r="109" spans="2:5" ht="15" x14ac:dyDescent="0.25">
      <c r="B109" s="81">
        <v>44</v>
      </c>
      <c r="C109" s="81"/>
      <c r="D109" s="81" t="s">
        <v>161</v>
      </c>
      <c r="E109" s="228">
        <f>SUM(E110:E119)</f>
        <v>58184.759999999995</v>
      </c>
    </row>
    <row r="110" spans="2:5" x14ac:dyDescent="0.2">
      <c r="C110" s="8">
        <v>440</v>
      </c>
      <c r="D110" s="8" t="s">
        <v>162</v>
      </c>
      <c r="E110" s="139">
        <f>HLOOKUP($D$5,'4.1 Comptes 2022 natures'!$E$4:$BE$159,104,0)</f>
        <v>20774.759999999998</v>
      </c>
    </row>
    <row r="111" spans="2:5" x14ac:dyDescent="0.2">
      <c r="C111" s="8">
        <v>441</v>
      </c>
      <c r="D111" s="8" t="s">
        <v>163</v>
      </c>
      <c r="E111" s="139">
        <f>HLOOKUP($D$5,'4.1 Comptes 2022 natures'!$E$4:$BE$159,105,0)</f>
        <v>10419.9</v>
      </c>
    </row>
    <row r="112" spans="2:5" x14ac:dyDescent="0.2">
      <c r="C112" s="8">
        <v>442</v>
      </c>
      <c r="D112" s="8" t="s">
        <v>164</v>
      </c>
      <c r="E112" s="139">
        <f>HLOOKUP($D$5,'4.1 Comptes 2022 natures'!$E$4:$BE$159,106,0)</f>
        <v>177</v>
      </c>
    </row>
    <row r="113" spans="2:5" x14ac:dyDescent="0.2">
      <c r="C113" s="8">
        <v>443</v>
      </c>
      <c r="D113" s="8" t="s">
        <v>165</v>
      </c>
      <c r="E113" s="139">
        <f>HLOOKUP($D$5,'4.1 Comptes 2022 natures'!$E$4:$BE$159,107,0)</f>
        <v>23831.5</v>
      </c>
    </row>
    <row r="114" spans="2:5" x14ac:dyDescent="0.2">
      <c r="C114" s="8">
        <v>444</v>
      </c>
      <c r="D114" s="8" t="s">
        <v>105</v>
      </c>
      <c r="E114" s="139">
        <f>HLOOKUP($D$5,'4.1 Comptes 2022 natures'!$E$4:$BE$159,108,0)</f>
        <v>0</v>
      </c>
    </row>
    <row r="115" spans="2:5" x14ac:dyDescent="0.2">
      <c r="C115" s="8">
        <v>445</v>
      </c>
      <c r="D115" s="8" t="s">
        <v>166</v>
      </c>
      <c r="E115" s="139">
        <f>HLOOKUP($D$5,'4.1 Comptes 2022 natures'!$E$4:$BE$159,109,0)</f>
        <v>0</v>
      </c>
    </row>
    <row r="116" spans="2:5" x14ac:dyDescent="0.2">
      <c r="C116" s="8">
        <v>446</v>
      </c>
      <c r="D116" s="8" t="s">
        <v>167</v>
      </c>
      <c r="E116" s="139">
        <f>HLOOKUP($D$5,'4.1 Comptes 2022 natures'!$E$4:$BE$159,110,0)</f>
        <v>0</v>
      </c>
    </row>
    <row r="117" spans="2:5" x14ac:dyDescent="0.2">
      <c r="C117" s="8">
        <v>447</v>
      </c>
      <c r="D117" s="8" t="s">
        <v>168</v>
      </c>
      <c r="E117" s="139">
        <f>HLOOKUP($D$5,'4.1 Comptes 2022 natures'!$E$4:$BE$159,111,0)</f>
        <v>2981.6</v>
      </c>
    </row>
    <row r="118" spans="2:5" x14ac:dyDescent="0.2">
      <c r="C118" s="8">
        <v>448</v>
      </c>
      <c r="D118" s="8" t="s">
        <v>169</v>
      </c>
      <c r="E118" s="139">
        <f>HLOOKUP($D$5,'4.1 Comptes 2022 natures'!$E$4:$BE$159,112,0)</f>
        <v>0</v>
      </c>
    </row>
    <row r="119" spans="2:5" x14ac:dyDescent="0.2">
      <c r="C119" s="8">
        <v>449</v>
      </c>
      <c r="D119" s="8" t="s">
        <v>170</v>
      </c>
      <c r="E119" s="139">
        <f>HLOOKUP($D$5,'4.1 Comptes 2022 natures'!$E$4:$BE$159,113,0)</f>
        <v>0</v>
      </c>
    </row>
    <row r="120" spans="2:5" x14ac:dyDescent="0.2">
      <c r="E120" s="19"/>
    </row>
    <row r="121" spans="2:5" ht="15" x14ac:dyDescent="0.25">
      <c r="B121" s="81">
        <v>45</v>
      </c>
      <c r="C121" s="81"/>
      <c r="D121" s="81" t="s">
        <v>173</v>
      </c>
      <c r="E121" s="228">
        <f>SUM(E122:E123)</f>
        <v>2234.6</v>
      </c>
    </row>
    <row r="122" spans="2:5" x14ac:dyDescent="0.2">
      <c r="C122" s="8">
        <v>450</v>
      </c>
      <c r="D122" s="8" t="s">
        <v>171</v>
      </c>
      <c r="E122" s="139">
        <f>HLOOKUP($D$5,'4.1 Comptes 2022 natures'!$E$4:$BE$159,116,0)</f>
        <v>2234.6</v>
      </c>
    </row>
    <row r="123" spans="2:5" x14ac:dyDescent="0.2">
      <c r="C123" s="8">
        <v>451</v>
      </c>
      <c r="D123" s="8" t="s">
        <v>172</v>
      </c>
      <c r="E123" s="139">
        <f>HLOOKUP($D$5,'4.1 Comptes 2022 natures'!$E$4:$BE$159,117,0)</f>
        <v>0</v>
      </c>
    </row>
    <row r="124" spans="2:5" x14ac:dyDescent="0.2">
      <c r="E124" s="19"/>
    </row>
    <row r="125" spans="2:5" ht="15" x14ac:dyDescent="0.25">
      <c r="B125" s="81">
        <v>46</v>
      </c>
      <c r="C125" s="81"/>
      <c r="D125" s="81" t="s">
        <v>174</v>
      </c>
      <c r="E125" s="228">
        <f>SUM(E126:E130)</f>
        <v>412481.65</v>
      </c>
    </row>
    <row r="126" spans="2:5" x14ac:dyDescent="0.2">
      <c r="C126" s="8">
        <v>460</v>
      </c>
      <c r="D126" s="8" t="s">
        <v>175</v>
      </c>
      <c r="E126" s="139">
        <f>HLOOKUP($D$5,'4.1 Comptes 2022 natures'!$E$4:$BE$159,120,0)</f>
        <v>8663</v>
      </c>
    </row>
    <row r="127" spans="2:5" x14ac:dyDescent="0.2">
      <c r="C127" s="8">
        <v>461</v>
      </c>
      <c r="D127" s="8" t="s">
        <v>176</v>
      </c>
      <c r="E127" s="139">
        <f>HLOOKUP($D$5,'4.1 Comptes 2022 natures'!$E$4:$BE$159,121,0)</f>
        <v>340584.05</v>
      </c>
    </row>
    <row r="128" spans="2:5" x14ac:dyDescent="0.2">
      <c r="C128" s="8">
        <v>462</v>
      </c>
      <c r="D128" s="8" t="s">
        <v>112</v>
      </c>
      <c r="E128" s="139">
        <f>HLOOKUP($D$5,'4.1 Comptes 2022 natures'!$E$4:$BE$159,122,0)</f>
        <v>0</v>
      </c>
    </row>
    <row r="129" spans="2:5" x14ac:dyDescent="0.2">
      <c r="C129" s="8">
        <v>463</v>
      </c>
      <c r="D129" s="8" t="s">
        <v>177</v>
      </c>
      <c r="E129" s="139">
        <f>HLOOKUP($D$5,'4.1 Comptes 2022 natures'!$E$4:$BE$159,123,0)</f>
        <v>62908.7</v>
      </c>
    </row>
    <row r="130" spans="2:5" x14ac:dyDescent="0.2">
      <c r="C130" s="8">
        <v>469</v>
      </c>
      <c r="D130" s="8" t="s">
        <v>178</v>
      </c>
      <c r="E130" s="139">
        <f>HLOOKUP($D$5,'4.1 Comptes 2022 natures'!$E$4:$BE$159,124,0)</f>
        <v>325.89999999999998</v>
      </c>
    </row>
    <row r="131" spans="2:5" x14ac:dyDescent="0.2">
      <c r="E131" s="19"/>
    </row>
    <row r="132" spans="2:5" ht="15" x14ac:dyDescent="0.25">
      <c r="B132" s="81">
        <v>47</v>
      </c>
      <c r="C132" s="81"/>
      <c r="D132" s="81" t="s">
        <v>118</v>
      </c>
      <c r="E132" s="228">
        <f>SUM(E133)</f>
        <v>0</v>
      </c>
    </row>
    <row r="133" spans="2:5" x14ac:dyDescent="0.2">
      <c r="C133" s="8">
        <v>470</v>
      </c>
      <c r="D133" s="8" t="s">
        <v>179</v>
      </c>
      <c r="E133" s="139">
        <f>HLOOKUP($D$5,'4.1 Comptes 2022 natures'!$E$4:$BE$159,127,0)</f>
        <v>0</v>
      </c>
    </row>
    <row r="134" spans="2:5" x14ac:dyDescent="0.2">
      <c r="E134" s="19"/>
    </row>
    <row r="135" spans="2:5" ht="15" x14ac:dyDescent="0.25">
      <c r="B135" s="81">
        <v>48</v>
      </c>
      <c r="C135" s="81"/>
      <c r="D135" s="81" t="s">
        <v>180</v>
      </c>
      <c r="E135" s="228">
        <f>SUM(E136:E142)</f>
        <v>7472.67</v>
      </c>
    </row>
    <row r="136" spans="2:5" x14ac:dyDescent="0.2">
      <c r="C136" s="8">
        <v>481</v>
      </c>
      <c r="D136" s="8" t="s">
        <v>181</v>
      </c>
      <c r="E136" s="139">
        <f>HLOOKUP($D$5,'4.1 Comptes 2022 natures'!$E$4:$BE$159,130,0)</f>
        <v>0</v>
      </c>
    </row>
    <row r="137" spans="2:5" x14ac:dyDescent="0.2">
      <c r="C137" s="8">
        <v>482</v>
      </c>
      <c r="D137" s="8" t="s">
        <v>182</v>
      </c>
      <c r="E137" s="139">
        <f>HLOOKUP($D$5,'4.1 Comptes 2022 natures'!$E$4:$BE$159,131,0)</f>
        <v>0</v>
      </c>
    </row>
    <row r="138" spans="2:5" x14ac:dyDescent="0.2">
      <c r="C138" s="8">
        <v>483</v>
      </c>
      <c r="D138" s="8" t="s">
        <v>183</v>
      </c>
      <c r="E138" s="139">
        <f>HLOOKUP($D$5,'4.1 Comptes 2022 natures'!$E$4:$BE$159,132,0)</f>
        <v>0</v>
      </c>
    </row>
    <row r="139" spans="2:5" x14ac:dyDescent="0.2">
      <c r="C139" s="8">
        <v>484</v>
      </c>
      <c r="D139" s="8" t="s">
        <v>184</v>
      </c>
      <c r="E139" s="139">
        <f>HLOOKUP($D$5,'4.1 Comptes 2022 natures'!$E$4:$BE$159,133,0)</f>
        <v>0</v>
      </c>
    </row>
    <row r="140" spans="2:5" x14ac:dyDescent="0.2">
      <c r="C140" s="8">
        <v>485</v>
      </c>
      <c r="D140" s="8" t="s">
        <v>185</v>
      </c>
      <c r="E140" s="139">
        <f>HLOOKUP($D$5,'4.1 Comptes 2022 natures'!$E$4:$BE$159,134,0)</f>
        <v>0</v>
      </c>
    </row>
    <row r="141" spans="2:5" x14ac:dyDescent="0.2">
      <c r="C141" s="8">
        <v>486</v>
      </c>
      <c r="D141" s="8" t="s">
        <v>186</v>
      </c>
      <c r="E141" s="139">
        <f>HLOOKUP($D$5,'4.1 Comptes 2022 natures'!$E$4:$BE$159,135,0)</f>
        <v>0</v>
      </c>
    </row>
    <row r="142" spans="2:5" x14ac:dyDescent="0.2">
      <c r="C142" s="8">
        <v>489</v>
      </c>
      <c r="D142" s="8" t="s">
        <v>187</v>
      </c>
      <c r="E142" s="139">
        <f>HLOOKUP($D$5,'4.1 Comptes 2022 natures'!$E$4:$BE$159,136,0)</f>
        <v>7472.67</v>
      </c>
    </row>
    <row r="143" spans="2:5" x14ac:dyDescent="0.2">
      <c r="E143" s="19"/>
    </row>
    <row r="144" spans="2:5" ht="15" x14ac:dyDescent="0.25">
      <c r="B144" s="81">
        <v>49</v>
      </c>
      <c r="C144" s="81"/>
      <c r="D144" s="81" t="s">
        <v>127</v>
      </c>
      <c r="E144" s="228">
        <f>SUM(E145:E152)</f>
        <v>0</v>
      </c>
    </row>
    <row r="145" spans="1:5" x14ac:dyDescent="0.2">
      <c r="C145" s="8">
        <v>490</v>
      </c>
      <c r="D145" s="8" t="s">
        <v>128</v>
      </c>
      <c r="E145" s="139">
        <f>HLOOKUP($D$5,'4.1 Comptes 2022 natures'!$E$4:$BE$159,139,0)</f>
        <v>0</v>
      </c>
    </row>
    <row r="146" spans="1:5" x14ac:dyDescent="0.2">
      <c r="C146" s="8">
        <v>491</v>
      </c>
      <c r="D146" s="8" t="s">
        <v>129</v>
      </c>
      <c r="E146" s="139">
        <f>HLOOKUP($D$5,'4.1 Comptes 2022 natures'!$E$4:$BE$159,140,0)</f>
        <v>0</v>
      </c>
    </row>
    <row r="147" spans="1:5" x14ac:dyDescent="0.2">
      <c r="C147" s="8">
        <v>492</v>
      </c>
      <c r="D147" s="8" t="s">
        <v>188</v>
      </c>
      <c r="E147" s="139">
        <f>HLOOKUP($D$5,'4.1 Comptes 2022 natures'!$E$4:$BE$159,141,0)</f>
        <v>0</v>
      </c>
    </row>
    <row r="148" spans="1:5" x14ac:dyDescent="0.2">
      <c r="C148" s="8">
        <v>493</v>
      </c>
      <c r="D148" s="8" t="s">
        <v>189</v>
      </c>
      <c r="E148" s="139">
        <f>HLOOKUP($D$5,'4.1 Comptes 2022 natures'!$E$4:$BE$159,142,0)</f>
        <v>0</v>
      </c>
    </row>
    <row r="149" spans="1:5" x14ac:dyDescent="0.2">
      <c r="C149" s="8">
        <v>494</v>
      </c>
      <c r="D149" s="8" t="s">
        <v>132</v>
      </c>
      <c r="E149" s="139">
        <f>HLOOKUP($D$5,'4.1 Comptes 2022 natures'!$E$4:$BE$159,143,0)</f>
        <v>0</v>
      </c>
    </row>
    <row r="150" spans="1:5" x14ac:dyDescent="0.2">
      <c r="C150" s="8">
        <v>495</v>
      </c>
      <c r="D150" s="8" t="s">
        <v>190</v>
      </c>
      <c r="E150" s="139">
        <f>HLOOKUP($D$5,'4.1 Comptes 2022 natures'!$E$4:$BE$159,144,0)</f>
        <v>0</v>
      </c>
    </row>
    <row r="151" spans="1:5" x14ac:dyDescent="0.2">
      <c r="C151" s="8">
        <v>498</v>
      </c>
      <c r="D151" s="8" t="s">
        <v>191</v>
      </c>
      <c r="E151" s="139">
        <f>HLOOKUP($D$5,'4.1 Comptes 2022 natures'!$E$4:$BE$159,145,0)</f>
        <v>0</v>
      </c>
    </row>
    <row r="152" spans="1:5" x14ac:dyDescent="0.2">
      <c r="C152" s="8">
        <v>499</v>
      </c>
      <c r="D152" s="8" t="s">
        <v>135</v>
      </c>
      <c r="E152" s="139">
        <f>HLOOKUP($D$5,'4.1 Comptes 2022 natures'!$E$4:$BE$159,146,0)</f>
        <v>0</v>
      </c>
    </row>
    <row r="153" spans="1:5" x14ac:dyDescent="0.2">
      <c r="E153" s="19"/>
    </row>
    <row r="154" spans="1:5" x14ac:dyDescent="0.2">
      <c r="E154" s="19"/>
    </row>
    <row r="155" spans="1:5" x14ac:dyDescent="0.2">
      <c r="E155" s="19"/>
    </row>
    <row r="156" spans="1:5" ht="15" x14ac:dyDescent="0.25">
      <c r="A156" s="83">
        <v>9</v>
      </c>
      <c r="B156" s="83"/>
      <c r="C156" s="83"/>
      <c r="D156" s="83" t="s">
        <v>193</v>
      </c>
      <c r="E156" s="229"/>
    </row>
    <row r="157" spans="1:5" ht="15" x14ac:dyDescent="0.25">
      <c r="A157" s="83"/>
      <c r="B157" s="83">
        <v>90</v>
      </c>
      <c r="C157" s="83"/>
      <c r="D157" s="83" t="s">
        <v>194</v>
      </c>
      <c r="E157" s="149">
        <f>SUM(E158:E159)</f>
        <v>116182.76000000001</v>
      </c>
    </row>
    <row r="158" spans="1:5" x14ac:dyDescent="0.2">
      <c r="C158" s="8">
        <v>900</v>
      </c>
      <c r="D158" s="8" t="s">
        <v>195</v>
      </c>
      <c r="E158" s="139">
        <f>HLOOKUP($D$5,'4.1 Comptes 2022 natures'!$E$4:$BE$159,152,0)</f>
        <v>-206117.81</v>
      </c>
    </row>
    <row r="159" spans="1:5" x14ac:dyDescent="0.2">
      <c r="C159" s="8">
        <v>901</v>
      </c>
      <c r="D159" s="8" t="s">
        <v>196</v>
      </c>
      <c r="E159" s="139">
        <f>HLOOKUP($D$5,'4.1 Comptes 2022 natures'!$E$4:$BE$159,153,0)</f>
        <v>322300.57</v>
      </c>
    </row>
    <row r="160" spans="1:5" x14ac:dyDescent="0.2">
      <c r="E160" s="19"/>
    </row>
    <row r="161" spans="4:5" ht="15" hidden="1" x14ac:dyDescent="0.25">
      <c r="D161" s="7" t="s">
        <v>197</v>
      </c>
      <c r="E161" s="12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pane="topRight" activeCell="E1" sqref="E1"/>
      <selection pane="bottomLeft" activeCell="A4" sqref="A4"/>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840</v>
      </c>
      <c r="B2" s="7"/>
      <c r="C2" s="7"/>
      <c r="D2" s="7"/>
    </row>
    <row r="4" spans="1:5" ht="15" thickBot="1" x14ac:dyDescent="0.25"/>
    <row r="5" spans="1:5" ht="15.75" thickBot="1" x14ac:dyDescent="0.3">
      <c r="A5" s="8" t="s">
        <v>627</v>
      </c>
      <c r="D5" s="96" t="s">
        <v>47</v>
      </c>
    </row>
    <row r="7" spans="1:5" ht="15" x14ac:dyDescent="0.25">
      <c r="E7" s="33" t="s">
        <v>201</v>
      </c>
    </row>
    <row r="8" spans="1:5" ht="20.25" x14ac:dyDescent="0.3">
      <c r="A8" s="11">
        <v>3</v>
      </c>
      <c r="B8" s="11"/>
      <c r="C8" s="11"/>
      <c r="D8" s="11" t="s">
        <v>60</v>
      </c>
      <c r="E8" s="97">
        <f>HLOOKUP($D$5,'4.9 Comptes 2022 par habitant'!$E$4:$BE$159,2,0)</f>
        <v>3797.0064705882351</v>
      </c>
    </row>
    <row r="9" spans="1:5" ht="15" x14ac:dyDescent="0.25">
      <c r="A9" s="79"/>
      <c r="B9" s="79">
        <v>30</v>
      </c>
      <c r="C9" s="79"/>
      <c r="D9" s="79" t="s">
        <v>61</v>
      </c>
      <c r="E9" s="80">
        <f>SUM(E10:E17)</f>
        <v>355.07879795396417</v>
      </c>
    </row>
    <row r="10" spans="1:5" x14ac:dyDescent="0.2">
      <c r="C10" s="8">
        <v>300</v>
      </c>
      <c r="D10" s="8" t="s">
        <v>80</v>
      </c>
      <c r="E10" s="18">
        <f>HLOOKUP($D$5,'4.9 Comptes 2022 par habitant'!$E$4:$BE$159,4,0)</f>
        <v>48.436700767263424</v>
      </c>
    </row>
    <row r="11" spans="1:5" x14ac:dyDescent="0.2">
      <c r="C11" s="8">
        <v>301</v>
      </c>
      <c r="D11" s="8" t="s">
        <v>81</v>
      </c>
      <c r="E11" s="18">
        <f>HLOOKUP($D$5,'4.9 Comptes 2022 par habitant'!$E$4:$BE$159,5,0)</f>
        <v>237.59079283887468</v>
      </c>
    </row>
    <row r="12" spans="1:5" x14ac:dyDescent="0.2">
      <c r="C12" s="8">
        <v>302</v>
      </c>
      <c r="D12" s="8" t="s">
        <v>82</v>
      </c>
      <c r="E12" s="18">
        <f>HLOOKUP($D$5,'4.9 Comptes 2022 par habitant'!$E$4:$BE$159,6,0)</f>
        <v>0</v>
      </c>
    </row>
    <row r="13" spans="1:5" x14ac:dyDescent="0.2">
      <c r="C13" s="8">
        <v>303</v>
      </c>
      <c r="D13" s="8" t="s">
        <v>83</v>
      </c>
      <c r="E13" s="18">
        <f>HLOOKUP($D$5,'4.9 Comptes 2022 par habitant'!$E$4:$BE$159,7,0)</f>
        <v>0</v>
      </c>
    </row>
    <row r="14" spans="1:5" x14ac:dyDescent="0.2">
      <c r="C14" s="8">
        <v>304</v>
      </c>
      <c r="D14" s="8" t="s">
        <v>578</v>
      </c>
      <c r="E14" s="18">
        <f>HLOOKUP($D$5,'4.9 Comptes 2022 par habitant'!$E$4:$BE$159,8,0)</f>
        <v>0</v>
      </c>
    </row>
    <row r="15" spans="1:5" x14ac:dyDescent="0.2">
      <c r="C15" s="8">
        <v>305</v>
      </c>
      <c r="D15" s="8" t="s">
        <v>84</v>
      </c>
      <c r="E15" s="18">
        <f>HLOOKUP($D$5,'4.9 Comptes 2022 par habitant'!$E$4:$BE$159,9,0)</f>
        <v>53.888388746803074</v>
      </c>
    </row>
    <row r="16" spans="1:5" x14ac:dyDescent="0.2">
      <c r="C16" s="8">
        <v>306</v>
      </c>
      <c r="D16" s="8" t="s">
        <v>85</v>
      </c>
      <c r="E16" s="18">
        <f>HLOOKUP($D$5,'4.9 Comptes 2022 par habitant'!$E$4:$BE$159,10,0)</f>
        <v>0</v>
      </c>
    </row>
    <row r="17" spans="2:5" x14ac:dyDescent="0.2">
      <c r="C17" s="8">
        <v>309</v>
      </c>
      <c r="D17" s="8" t="s">
        <v>86</v>
      </c>
      <c r="E17" s="18">
        <f>HLOOKUP($D$5,'4.9 Comptes 2022 par habitant'!$E$4:$BE$159,11,0)</f>
        <v>15.162915601023018</v>
      </c>
    </row>
    <row r="18" spans="2:5" x14ac:dyDescent="0.2">
      <c r="E18" s="13"/>
    </row>
    <row r="19" spans="2:5" ht="15" x14ac:dyDescent="0.25">
      <c r="B19" s="79">
        <v>31</v>
      </c>
      <c r="C19" s="79"/>
      <c r="D19" s="79" t="s">
        <v>87</v>
      </c>
      <c r="E19" s="80">
        <f>SUM(E20:E29)</f>
        <v>763.55023017902806</v>
      </c>
    </row>
    <row r="20" spans="2:5" x14ac:dyDescent="0.2">
      <c r="C20" s="8">
        <v>310</v>
      </c>
      <c r="D20" s="8" t="s">
        <v>88</v>
      </c>
      <c r="E20" s="18">
        <f>HLOOKUP($D$5,'4.9 Comptes 2022 par habitant'!$E$4:$BE$159,14,0)</f>
        <v>36.079667519181584</v>
      </c>
    </row>
    <row r="21" spans="2:5" x14ac:dyDescent="0.2">
      <c r="C21" s="8">
        <v>311</v>
      </c>
      <c r="D21" s="8" t="s">
        <v>449</v>
      </c>
      <c r="E21" s="18">
        <f>HLOOKUP($D$5,'4.9 Comptes 2022 par habitant'!$E$4:$BE$159,15,0)</f>
        <v>17.294373401534529</v>
      </c>
    </row>
    <row r="22" spans="2:5" x14ac:dyDescent="0.2">
      <c r="C22" s="8">
        <v>312</v>
      </c>
      <c r="D22" s="8" t="s">
        <v>90</v>
      </c>
      <c r="E22" s="18">
        <f>HLOOKUP($D$5,'4.9 Comptes 2022 par habitant'!$E$4:$BE$159,16,0)</f>
        <v>168.34386189258311</v>
      </c>
    </row>
    <row r="23" spans="2:5" x14ac:dyDescent="0.2">
      <c r="C23" s="8">
        <v>313</v>
      </c>
      <c r="D23" s="8" t="s">
        <v>91</v>
      </c>
      <c r="E23" s="18">
        <f>HLOOKUP($D$5,'4.9 Comptes 2022 par habitant'!$E$4:$BE$159,17,0)</f>
        <v>337.22895140664957</v>
      </c>
    </row>
    <row r="24" spans="2:5" x14ac:dyDescent="0.2">
      <c r="C24" s="8">
        <v>314</v>
      </c>
      <c r="D24" s="8" t="s">
        <v>841</v>
      </c>
      <c r="E24" s="18">
        <f>HLOOKUP($D$5,'4.9 Comptes 2022 par habitant'!$E$4:$BE$159,18,0)</f>
        <v>120.23498721227621</v>
      </c>
    </row>
    <row r="25" spans="2:5" x14ac:dyDescent="0.2">
      <c r="C25" s="8">
        <v>315</v>
      </c>
      <c r="D25" s="8" t="s">
        <v>92</v>
      </c>
      <c r="E25" s="18">
        <f>HLOOKUP($D$5,'4.9 Comptes 2022 par habitant'!$E$4:$BE$159,19,0)</f>
        <v>19.617391304347827</v>
      </c>
    </row>
    <row r="26" spans="2:5" x14ac:dyDescent="0.2">
      <c r="C26" s="8">
        <v>316</v>
      </c>
      <c r="D26" s="8" t="s">
        <v>93</v>
      </c>
      <c r="E26" s="18">
        <f>HLOOKUP($D$5,'4.9 Comptes 2022 par habitant'!$E$4:$BE$159,20,0)</f>
        <v>0</v>
      </c>
    </row>
    <row r="27" spans="2:5" x14ac:dyDescent="0.2">
      <c r="C27" s="8">
        <v>317</v>
      </c>
      <c r="D27" s="8" t="s">
        <v>94</v>
      </c>
      <c r="E27" s="18">
        <f>HLOOKUP($D$5,'4.9 Comptes 2022 par habitant'!$E$4:$BE$159,21,0)</f>
        <v>7.0352941176470596</v>
      </c>
    </row>
    <row r="28" spans="2:5" x14ac:dyDescent="0.2">
      <c r="C28" s="8">
        <v>318</v>
      </c>
      <c r="D28" s="8" t="s">
        <v>95</v>
      </c>
      <c r="E28" s="18">
        <f>HLOOKUP($D$5,'4.9 Comptes 2022 par habitant'!$E$4:$BE$159,22,0)</f>
        <v>51.390639386189264</v>
      </c>
    </row>
    <row r="29" spans="2:5" x14ac:dyDescent="0.2">
      <c r="C29" s="8">
        <v>319</v>
      </c>
      <c r="D29" s="8" t="s">
        <v>96</v>
      </c>
      <c r="E29" s="18">
        <f>HLOOKUP($D$5,'4.9 Comptes 2022 par habitant'!$E$4:$BE$159,23,0)</f>
        <v>6.3250639386189258</v>
      </c>
    </row>
    <row r="30" spans="2:5" x14ac:dyDescent="0.2">
      <c r="E30" s="13"/>
    </row>
    <row r="31" spans="2:5" ht="15" x14ac:dyDescent="0.25">
      <c r="B31" s="79">
        <v>33</v>
      </c>
      <c r="C31" s="79"/>
      <c r="D31" s="79" t="s">
        <v>97</v>
      </c>
      <c r="E31" s="80">
        <f>SUM(E32:E33)</f>
        <v>118.54219948849105</v>
      </c>
    </row>
    <row r="32" spans="2:5" x14ac:dyDescent="0.2">
      <c r="C32" s="8">
        <v>330</v>
      </c>
      <c r="D32" s="8" t="s">
        <v>99</v>
      </c>
      <c r="E32" s="18">
        <f>HLOOKUP($D$5,'4.9 Comptes 2022 par habitant'!$E$4:$BE$159,26,0)</f>
        <v>116.08695652173913</v>
      </c>
    </row>
    <row r="33" spans="2:5" x14ac:dyDescent="0.2">
      <c r="C33" s="8">
        <v>332</v>
      </c>
      <c r="D33" s="8" t="s">
        <v>98</v>
      </c>
      <c r="E33" s="18">
        <f>HLOOKUP($D$5,'4.9 Comptes 2022 par habitant'!$E$4:$BE$159,27,0)</f>
        <v>2.4552429667519182</v>
      </c>
    </row>
    <row r="34" spans="2:5" x14ac:dyDescent="0.2">
      <c r="E34" s="13"/>
    </row>
    <row r="35" spans="2:5" ht="15" x14ac:dyDescent="0.25">
      <c r="B35" s="79">
        <v>34</v>
      </c>
      <c r="C35" s="79"/>
      <c r="D35" s="79" t="s">
        <v>100</v>
      </c>
      <c r="E35" s="80">
        <f>SUM(E36:E41)</f>
        <v>61.193759590792837</v>
      </c>
    </row>
    <row r="36" spans="2:5" x14ac:dyDescent="0.2">
      <c r="C36" s="8">
        <v>340</v>
      </c>
      <c r="D36" s="8" t="s">
        <v>101</v>
      </c>
      <c r="E36" s="18">
        <f>HLOOKUP($D$5,'4.9 Comptes 2022 par habitant'!$E$4:$BE$159,30,0)</f>
        <v>48.360383631713553</v>
      </c>
    </row>
    <row r="37" spans="2:5" x14ac:dyDescent="0.2">
      <c r="C37" s="8">
        <v>341</v>
      </c>
      <c r="D37" s="8" t="s">
        <v>102</v>
      </c>
      <c r="E37" s="18">
        <f>HLOOKUP($D$5,'4.9 Comptes 2022 par habitant'!$E$4:$BE$159,31,0)</f>
        <v>0</v>
      </c>
    </row>
    <row r="38" spans="2:5" x14ac:dyDescent="0.2">
      <c r="C38" s="8">
        <v>342</v>
      </c>
      <c r="D38" s="8" t="s">
        <v>103</v>
      </c>
      <c r="E38" s="18">
        <f>HLOOKUP($D$5,'4.9 Comptes 2022 par habitant'!$E$4:$BE$159,32,0)</f>
        <v>0</v>
      </c>
    </row>
    <row r="39" spans="2:5" x14ac:dyDescent="0.2">
      <c r="C39" s="8">
        <v>343</v>
      </c>
      <c r="D39" s="8" t="s">
        <v>104</v>
      </c>
      <c r="E39" s="18">
        <f>HLOOKUP($D$5,'4.9 Comptes 2022 par habitant'!$E$4:$BE$159,33,0)</f>
        <v>12.833375959079286</v>
      </c>
    </row>
    <row r="40" spans="2:5" x14ac:dyDescent="0.2">
      <c r="C40" s="8">
        <v>344</v>
      </c>
      <c r="D40" s="8" t="s">
        <v>105</v>
      </c>
      <c r="E40" s="18">
        <f>HLOOKUP($D$5,'4.9 Comptes 2022 par habitant'!$E$4:$BE$159,34,0)</f>
        <v>0</v>
      </c>
    </row>
    <row r="41" spans="2:5" x14ac:dyDescent="0.2">
      <c r="C41" s="8">
        <v>349</v>
      </c>
      <c r="D41" s="8" t="s">
        <v>106</v>
      </c>
      <c r="E41" s="18">
        <f>HLOOKUP($D$5,'4.9 Comptes 2022 par habitant'!$E$4:$BE$159,35,0)</f>
        <v>0</v>
      </c>
    </row>
    <row r="42" spans="2:5" x14ac:dyDescent="0.2">
      <c r="E42" s="13"/>
    </row>
    <row r="43" spans="2:5" ht="15" x14ac:dyDescent="0.25">
      <c r="B43" s="79">
        <v>35</v>
      </c>
      <c r="C43" s="79"/>
      <c r="D43" s="79" t="s">
        <v>108</v>
      </c>
      <c r="E43" s="80">
        <f>SUM(E44:E45)</f>
        <v>2.9269565217391307</v>
      </c>
    </row>
    <row r="44" spans="2:5" x14ac:dyDescent="0.2">
      <c r="C44" s="8">
        <v>350</v>
      </c>
      <c r="D44" s="8" t="s">
        <v>108</v>
      </c>
      <c r="E44" s="18">
        <f>HLOOKUP($D$5,'4.9 Comptes 2022 par habitant'!$E$4:$BE$159,38,0)</f>
        <v>0</v>
      </c>
    </row>
    <row r="45" spans="2:5" x14ac:dyDescent="0.2">
      <c r="C45" s="8">
        <v>351</v>
      </c>
      <c r="D45" s="8" t="s">
        <v>107</v>
      </c>
      <c r="E45" s="18">
        <f>HLOOKUP($D$5,'4.9 Comptes 2022 par habitant'!$E$4:$BE$159,39,0)</f>
        <v>2.9269565217391307</v>
      </c>
    </row>
    <row r="46" spans="2:5" x14ac:dyDescent="0.2">
      <c r="E46" s="13"/>
    </row>
    <row r="47" spans="2:5" ht="15" x14ac:dyDescent="0.25">
      <c r="B47" s="79">
        <v>36</v>
      </c>
      <c r="C47" s="79"/>
      <c r="D47" s="79" t="s">
        <v>109</v>
      </c>
      <c r="E47" s="80">
        <f>SUM(E48:E55)</f>
        <v>2493.3615856777492</v>
      </c>
    </row>
    <row r="48" spans="2:5" x14ac:dyDescent="0.2">
      <c r="C48" s="8">
        <v>360</v>
      </c>
      <c r="D48" s="8" t="s">
        <v>110</v>
      </c>
      <c r="E48" s="18">
        <f>HLOOKUP($D$5,'4.9 Comptes 2022 par habitant'!$E$4:$BE$159,42,0)</f>
        <v>8.3759590792838878</v>
      </c>
    </row>
    <row r="49" spans="2:5" x14ac:dyDescent="0.2">
      <c r="C49" s="8">
        <v>361</v>
      </c>
      <c r="D49" s="8" t="s">
        <v>111</v>
      </c>
      <c r="E49" s="18">
        <f>HLOOKUP($D$5,'4.9 Comptes 2022 par habitant'!$E$4:$BE$159,43,0)</f>
        <v>1970.7810230179027</v>
      </c>
    </row>
    <row r="50" spans="2:5" x14ac:dyDescent="0.2">
      <c r="C50" s="8">
        <v>362</v>
      </c>
      <c r="D50" s="8" t="s">
        <v>112</v>
      </c>
      <c r="E50" s="18">
        <f>HLOOKUP($D$5,'4.9 Comptes 2022 par habitant'!$E$4:$BE$159,44,0)</f>
        <v>15.432225063938619</v>
      </c>
    </row>
    <row r="51" spans="2:5" x14ac:dyDescent="0.2">
      <c r="C51" s="8">
        <v>363</v>
      </c>
      <c r="D51" s="8" t="s">
        <v>113</v>
      </c>
      <c r="E51" s="18">
        <f>HLOOKUP($D$5,'4.9 Comptes 2022 par habitant'!$E$4:$BE$159,45,0)</f>
        <v>497.95652173913044</v>
      </c>
    </row>
    <row r="52" spans="2:5" x14ac:dyDescent="0.2">
      <c r="C52" s="8">
        <v>364</v>
      </c>
      <c r="D52" s="8" t="s">
        <v>114</v>
      </c>
      <c r="E52" s="18">
        <f>HLOOKUP($D$5,'4.9 Comptes 2022 par habitant'!$E$4:$BE$159,46,0)</f>
        <v>0</v>
      </c>
    </row>
    <row r="53" spans="2:5" x14ac:dyDescent="0.2">
      <c r="C53" s="8">
        <v>365</v>
      </c>
      <c r="D53" s="8" t="s">
        <v>115</v>
      </c>
      <c r="E53" s="18">
        <f>HLOOKUP($D$5,'4.9 Comptes 2022 par habitant'!$E$4:$BE$159,47,0)</f>
        <v>0</v>
      </c>
    </row>
    <row r="54" spans="2:5" x14ac:dyDescent="0.2">
      <c r="C54" s="8">
        <v>366</v>
      </c>
      <c r="D54" s="8" t="s">
        <v>116</v>
      </c>
      <c r="E54" s="18">
        <f>HLOOKUP($D$5,'4.9 Comptes 2022 par habitant'!$E$4:$BE$159,48,0)</f>
        <v>0.81585677749360619</v>
      </c>
    </row>
    <row r="55" spans="2:5" x14ac:dyDescent="0.2">
      <c r="C55" s="8">
        <v>369</v>
      </c>
      <c r="D55" s="8" t="s">
        <v>117</v>
      </c>
      <c r="E55" s="18">
        <f>HLOOKUP($D$5,'4.9 Comptes 2022 par habitant'!$E$4:$BE$159,49,0)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HLOOKUP($D$5,'4.9 Comptes 2022 par habitant'!$E$4:$BE$159,52,0)</f>
        <v>0</v>
      </c>
    </row>
    <row r="59" spans="2:5" x14ac:dyDescent="0.2">
      <c r="E59" s="13"/>
    </row>
    <row r="60" spans="2:5" ht="15" x14ac:dyDescent="0.25">
      <c r="B60" s="79">
        <v>38</v>
      </c>
      <c r="C60" s="79"/>
      <c r="D60" s="79" t="s">
        <v>120</v>
      </c>
      <c r="E60" s="80">
        <f>SUM(E61:E66)</f>
        <v>2.3529411764705883</v>
      </c>
    </row>
    <row r="61" spans="2:5" x14ac:dyDescent="0.2">
      <c r="C61" s="8">
        <v>380</v>
      </c>
      <c r="D61" s="8" t="s">
        <v>121</v>
      </c>
      <c r="E61" s="18">
        <f>HLOOKUP($D$5,'4.9 Comptes 2022 par habitant'!$E$4:$BE$159,55,0)</f>
        <v>0</v>
      </c>
    </row>
    <row r="62" spans="2:5" x14ac:dyDescent="0.2">
      <c r="C62" s="8">
        <v>381</v>
      </c>
      <c r="D62" s="8" t="s">
        <v>122</v>
      </c>
      <c r="E62" s="18">
        <f>HLOOKUP($D$5,'4.9 Comptes 2022 par habitant'!$E$4:$BE$159,56,0)</f>
        <v>0</v>
      </c>
    </row>
    <row r="63" spans="2:5" x14ac:dyDescent="0.2">
      <c r="C63" s="8">
        <v>384</v>
      </c>
      <c r="D63" s="8" t="s">
        <v>123</v>
      </c>
      <c r="E63" s="18">
        <f>HLOOKUP($D$5,'4.9 Comptes 2022 par habitant'!$E$4:$BE$159,57,0)</f>
        <v>0</v>
      </c>
    </row>
    <row r="64" spans="2:5" x14ac:dyDescent="0.2">
      <c r="C64" s="8">
        <v>385</v>
      </c>
      <c r="D64" s="8" t="s">
        <v>124</v>
      </c>
      <c r="E64" s="18">
        <f>HLOOKUP($D$5,'4.9 Comptes 2022 par habitant'!$E$4:$BE$159,58,0)</f>
        <v>0</v>
      </c>
    </row>
    <row r="65" spans="1:5" x14ac:dyDescent="0.2">
      <c r="C65" s="8">
        <v>386</v>
      </c>
      <c r="D65" s="8" t="s">
        <v>125</v>
      </c>
      <c r="E65" s="18">
        <f>HLOOKUP($D$5,'4.9 Comptes 2022 par habitant'!$E$4:$BE$159,59,0)</f>
        <v>0</v>
      </c>
    </row>
    <row r="66" spans="1:5" x14ac:dyDescent="0.2">
      <c r="C66" s="8">
        <v>389</v>
      </c>
      <c r="D66" s="8" t="s">
        <v>289</v>
      </c>
      <c r="E66" s="18">
        <f>HLOOKUP($D$5,'4.9 Comptes 2022 par habitant'!$E$4:$BE$159,60,0)</f>
        <v>2.3529411764705883</v>
      </c>
    </row>
    <row r="67" spans="1:5" x14ac:dyDescent="0.2">
      <c r="E67" s="13"/>
    </row>
    <row r="68" spans="1:5" ht="15" x14ac:dyDescent="0.25">
      <c r="B68" s="79">
        <v>39</v>
      </c>
      <c r="C68" s="79"/>
      <c r="D68" s="79" t="s">
        <v>127</v>
      </c>
      <c r="E68" s="80">
        <f>SUM(E69:E76)</f>
        <v>0</v>
      </c>
    </row>
    <row r="69" spans="1:5" x14ac:dyDescent="0.2">
      <c r="C69" s="8">
        <v>390</v>
      </c>
      <c r="D69" s="8" t="s">
        <v>128</v>
      </c>
      <c r="E69" s="18">
        <f>HLOOKUP($D$5,'4.9 Comptes 2022 par habitant'!$E$4:$BE$159,63,0)</f>
        <v>0</v>
      </c>
    </row>
    <row r="70" spans="1:5" x14ac:dyDescent="0.2">
      <c r="C70" s="8">
        <v>391</v>
      </c>
      <c r="D70" s="8" t="s">
        <v>129</v>
      </c>
      <c r="E70" s="18">
        <f>HLOOKUP($D$5,'4.9 Comptes 2022 par habitant'!$E$4:$BE$159,64,0)</f>
        <v>0</v>
      </c>
    </row>
    <row r="71" spans="1:5" x14ac:dyDescent="0.2">
      <c r="C71" s="8">
        <v>392</v>
      </c>
      <c r="D71" s="8" t="s">
        <v>130</v>
      </c>
      <c r="E71" s="18">
        <f>HLOOKUP($D$5,'4.9 Comptes 2022 par habitant'!$E$4:$BE$159,65,0)</f>
        <v>0</v>
      </c>
    </row>
    <row r="72" spans="1:5" x14ac:dyDescent="0.2">
      <c r="C72" s="8">
        <v>393</v>
      </c>
      <c r="D72" s="8" t="s">
        <v>131</v>
      </c>
      <c r="E72" s="18">
        <f>HLOOKUP($D$5,'4.9 Comptes 2022 par habitant'!$E$4:$BE$159,66,0)</f>
        <v>0</v>
      </c>
    </row>
    <row r="73" spans="1:5" x14ac:dyDescent="0.2">
      <c r="C73" s="8">
        <v>394</v>
      </c>
      <c r="D73" s="8" t="s">
        <v>132</v>
      </c>
      <c r="E73" s="18">
        <f>HLOOKUP($D$5,'4.9 Comptes 2022 par habitant'!$E$4:$BE$159,67,0)</f>
        <v>0</v>
      </c>
    </row>
    <row r="74" spans="1:5" x14ac:dyDescent="0.2">
      <c r="C74" s="8">
        <v>395</v>
      </c>
      <c r="D74" s="8" t="s">
        <v>133</v>
      </c>
      <c r="E74" s="18">
        <f>HLOOKUP($D$5,'4.9 Comptes 2022 par habitant'!$E$4:$BE$159,68,0)</f>
        <v>0</v>
      </c>
    </row>
    <row r="75" spans="1:5" x14ac:dyDescent="0.2">
      <c r="C75" s="8">
        <v>398</v>
      </c>
      <c r="D75" s="8" t="s">
        <v>134</v>
      </c>
      <c r="E75" s="18">
        <f>HLOOKUP($D$5,'4.9 Comptes 2022 par habitant'!$E$4:$BE$159,69,0)</f>
        <v>0</v>
      </c>
    </row>
    <row r="76" spans="1:5" x14ac:dyDescent="0.2">
      <c r="C76" s="8">
        <v>399</v>
      </c>
      <c r="D76" s="8" t="s">
        <v>135</v>
      </c>
      <c r="E76" s="18">
        <f>HLOOKUP($D$5,'4.9 Comptes 2022 par habitant'!$E$4:$BE$159,70,0)</f>
        <v>0</v>
      </c>
    </row>
    <row r="77" spans="1:5" x14ac:dyDescent="0.2">
      <c r="E77" s="13"/>
    </row>
    <row r="78" spans="1:5" x14ac:dyDescent="0.2">
      <c r="E78" s="13"/>
    </row>
    <row r="79" spans="1:5" ht="20.25" x14ac:dyDescent="0.3">
      <c r="A79" s="14">
        <v>4</v>
      </c>
      <c r="B79" s="14"/>
      <c r="C79" s="14"/>
      <c r="D79" s="14" t="s">
        <v>136</v>
      </c>
      <c r="E79" s="98">
        <f>HLOOKUP($D$5,'4.9 Comptes 2022 par habitant'!$E$4:$BE$159,73,0)</f>
        <v>4132.501713554987</v>
      </c>
    </row>
    <row r="80" spans="1:5" ht="15" x14ac:dyDescent="0.25">
      <c r="A80" s="7"/>
      <c r="B80" s="81">
        <v>40</v>
      </c>
      <c r="C80" s="81"/>
      <c r="D80" s="81" t="s">
        <v>79</v>
      </c>
      <c r="E80" s="82">
        <f>SUM(E81:E84)</f>
        <v>2196.6719437340153</v>
      </c>
    </row>
    <row r="81" spans="2:5" x14ac:dyDescent="0.2">
      <c r="C81" s="8">
        <v>400</v>
      </c>
      <c r="D81" s="8" t="s">
        <v>137</v>
      </c>
      <c r="E81" s="18">
        <f>HLOOKUP($D$5,'4.9 Comptes 2022 par habitant'!$E$4:$BE$159,75,0)</f>
        <v>1774.0862659846546</v>
      </c>
    </row>
    <row r="82" spans="2:5" x14ac:dyDescent="0.2">
      <c r="C82" s="8">
        <v>401</v>
      </c>
      <c r="D82" s="8" t="s">
        <v>138</v>
      </c>
      <c r="E82" s="18">
        <f>HLOOKUP($D$5,'4.9 Comptes 2022 par habitant'!$E$4:$BE$159,76,0)</f>
        <v>41.110997442455243</v>
      </c>
    </row>
    <row r="83" spans="2:5" x14ac:dyDescent="0.2">
      <c r="C83" s="8">
        <v>402</v>
      </c>
      <c r="D83" s="8" t="s">
        <v>139</v>
      </c>
      <c r="E83" s="18">
        <f>HLOOKUP($D$5,'4.9 Comptes 2022 par habitant'!$E$4:$BE$159,77,0)</f>
        <v>342.85166240409205</v>
      </c>
    </row>
    <row r="84" spans="2:5" x14ac:dyDescent="0.2">
      <c r="C84" s="8">
        <v>403</v>
      </c>
      <c r="D84" s="8" t="s">
        <v>140</v>
      </c>
      <c r="E84" s="18">
        <f>HLOOKUP($D$5,'4.9 Comptes 2022 par habitant'!$E$4:$BE$159,78,0)</f>
        <v>38.623017902813302</v>
      </c>
    </row>
    <row r="85" spans="2:5" x14ac:dyDescent="0.2">
      <c r="E85" s="13"/>
    </row>
    <row r="86" spans="2:5" ht="15" x14ac:dyDescent="0.25">
      <c r="B86" s="81">
        <v>41</v>
      </c>
      <c r="C86" s="81"/>
      <c r="D86" s="81" t="s">
        <v>141</v>
      </c>
      <c r="E86" s="82">
        <f>SUM(E87:E90)</f>
        <v>0</v>
      </c>
    </row>
    <row r="87" spans="2:5" x14ac:dyDescent="0.2">
      <c r="C87" s="8">
        <v>410</v>
      </c>
      <c r="D87" s="8" t="s">
        <v>142</v>
      </c>
      <c r="E87" s="18">
        <f>HLOOKUP($D$5,'4.9 Comptes 2022 par habitant'!$E$4:$BE$159,81,0)</f>
        <v>0</v>
      </c>
    </row>
    <row r="88" spans="2:5" x14ac:dyDescent="0.2">
      <c r="C88" s="8">
        <v>411</v>
      </c>
      <c r="D88" s="8" t="s">
        <v>143</v>
      </c>
      <c r="E88" s="18">
        <f>HLOOKUP($D$5,'4.9 Comptes 2022 par habitant'!$E$4:$BE$159,82,0)</f>
        <v>0</v>
      </c>
    </row>
    <row r="89" spans="2:5" x14ac:dyDescent="0.2">
      <c r="C89" s="8">
        <v>412</v>
      </c>
      <c r="D89" s="8" t="s">
        <v>144</v>
      </c>
      <c r="E89" s="18">
        <f>HLOOKUP($D$5,'4.9 Comptes 2022 par habitant'!$E$4:$BE$159,83,0)</f>
        <v>0</v>
      </c>
    </row>
    <row r="90" spans="2:5" x14ac:dyDescent="0.2">
      <c r="C90" s="8">
        <v>413</v>
      </c>
      <c r="D90" s="8" t="s">
        <v>145</v>
      </c>
      <c r="E90" s="18">
        <f>HLOOKUP($D$5,'4.9 Comptes 2022 par habitant'!$E$4:$BE$159,84,0)</f>
        <v>0</v>
      </c>
    </row>
    <row r="91" spans="2:5" x14ac:dyDescent="0.2">
      <c r="E91" s="13"/>
    </row>
    <row r="92" spans="2:5" ht="15" x14ac:dyDescent="0.25">
      <c r="B92" s="81">
        <v>42</v>
      </c>
      <c r="C92" s="81"/>
      <c r="D92" s="81" t="s">
        <v>146</v>
      </c>
      <c r="E92" s="82">
        <f>SUM(E93:E101)</f>
        <v>856.90575447570347</v>
      </c>
    </row>
    <row r="93" spans="2:5" x14ac:dyDescent="0.2">
      <c r="C93" s="8">
        <v>420</v>
      </c>
      <c r="D93" s="8" t="s">
        <v>147</v>
      </c>
      <c r="E93" s="18">
        <f>HLOOKUP($D$5,'4.9 Comptes 2022 par habitant'!$E$4:$BE$159,87,0)</f>
        <v>17.571355498721228</v>
      </c>
    </row>
    <row r="94" spans="2:5" x14ac:dyDescent="0.2">
      <c r="C94" s="8">
        <v>421</v>
      </c>
      <c r="D94" s="8" t="s">
        <v>148</v>
      </c>
      <c r="E94" s="18">
        <f>HLOOKUP($D$5,'4.9 Comptes 2022 par habitant'!$E$4:$BE$159,88,0)</f>
        <v>11.241048593350383</v>
      </c>
    </row>
    <row r="95" spans="2:5" x14ac:dyDescent="0.2">
      <c r="C95" s="8">
        <v>422</v>
      </c>
      <c r="D95" s="8" t="s">
        <v>149</v>
      </c>
      <c r="E95" s="18">
        <f>HLOOKUP($D$5,'4.9 Comptes 2022 par habitant'!$E$4:$BE$159,89,0)</f>
        <v>0</v>
      </c>
    </row>
    <row r="96" spans="2:5" x14ac:dyDescent="0.2">
      <c r="C96" s="8">
        <v>423</v>
      </c>
      <c r="D96" s="8" t="s">
        <v>150</v>
      </c>
      <c r="E96" s="18">
        <f>HLOOKUP($D$5,'4.9 Comptes 2022 par habitant'!$E$4:$BE$159,90,0)</f>
        <v>22.022506393861892</v>
      </c>
    </row>
    <row r="97" spans="2:5" x14ac:dyDescent="0.2">
      <c r="C97" s="8">
        <v>424</v>
      </c>
      <c r="D97" s="8" t="s">
        <v>151</v>
      </c>
      <c r="E97" s="18">
        <f>HLOOKUP($D$5,'4.9 Comptes 2022 par habitant'!$E$4:$BE$159,91,0)</f>
        <v>725.30984654731469</v>
      </c>
    </row>
    <row r="98" spans="2:5" x14ac:dyDescent="0.2">
      <c r="C98" s="8">
        <v>425</v>
      </c>
      <c r="D98" s="8" t="s">
        <v>152</v>
      </c>
      <c r="E98" s="18">
        <f>HLOOKUP($D$5,'4.9 Comptes 2022 par habitant'!$E$4:$BE$159,92,0)</f>
        <v>13.00383631713555</v>
      </c>
    </row>
    <row r="99" spans="2:5" x14ac:dyDescent="0.2">
      <c r="C99" s="8">
        <v>426</v>
      </c>
      <c r="D99" s="8" t="s">
        <v>153</v>
      </c>
      <c r="E99" s="18">
        <f>HLOOKUP($D$5,'4.9 Comptes 2022 par habitant'!$E$4:$BE$159,93,0)</f>
        <v>67.757161125319698</v>
      </c>
    </row>
    <row r="100" spans="2:5" x14ac:dyDescent="0.2">
      <c r="C100" s="8">
        <v>427</v>
      </c>
      <c r="D100" s="8" t="s">
        <v>154</v>
      </c>
      <c r="E100" s="18">
        <f>HLOOKUP($D$5,'4.9 Comptes 2022 par habitant'!$E$4:$BE$159,94,0)</f>
        <v>0</v>
      </c>
    </row>
    <row r="101" spans="2:5" x14ac:dyDescent="0.2">
      <c r="C101" s="8">
        <v>429</v>
      </c>
      <c r="D101" s="8" t="s">
        <v>155</v>
      </c>
      <c r="E101" s="18">
        <f>HLOOKUP($D$5,'4.9 Comptes 2022 par habitant'!$E$4:$BE$159,95,0)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HLOOKUP($D$5,'4.9 Comptes 2022 par habitant'!$E$4:$BE$159,98,0)</f>
        <v>0</v>
      </c>
    </row>
    <row r="105" spans="2:5" x14ac:dyDescent="0.2">
      <c r="C105" s="8">
        <v>431</v>
      </c>
      <c r="D105" s="8" t="s">
        <v>158</v>
      </c>
      <c r="E105" s="18">
        <f>HLOOKUP($D$5,'4.9 Comptes 2022 par habitant'!$E$4:$BE$159,99,0)</f>
        <v>0</v>
      </c>
    </row>
    <row r="106" spans="2:5" x14ac:dyDescent="0.2">
      <c r="C106" s="8">
        <v>432</v>
      </c>
      <c r="D106" s="8" t="s">
        <v>159</v>
      </c>
      <c r="E106" s="18">
        <f>HLOOKUP($D$5,'4.9 Comptes 2022 par habitant'!$E$4:$BE$159,100,0)</f>
        <v>0</v>
      </c>
    </row>
    <row r="107" spans="2:5" x14ac:dyDescent="0.2">
      <c r="C107" s="8">
        <v>439</v>
      </c>
      <c r="D107" s="8" t="s">
        <v>160</v>
      </c>
      <c r="E107" s="18">
        <f>HLOOKUP($D$5,'4.9 Comptes 2022 par habitant'!$E$4:$BE$159,101,0)</f>
        <v>0</v>
      </c>
    </row>
    <row r="108" spans="2:5" x14ac:dyDescent="0.2">
      <c r="E108" s="13"/>
    </row>
    <row r="109" spans="2:5" ht="15" x14ac:dyDescent="0.25">
      <c r="B109" s="81">
        <v>44</v>
      </c>
      <c r="C109" s="81"/>
      <c r="D109" s="81" t="s">
        <v>161</v>
      </c>
      <c r="E109" s="82">
        <f>SUM(E110:E119)</f>
        <v>120.05739130434783</v>
      </c>
    </row>
    <row r="110" spans="2:5" x14ac:dyDescent="0.2">
      <c r="C110" s="8">
        <v>440</v>
      </c>
      <c r="D110" s="8" t="s">
        <v>162</v>
      </c>
      <c r="E110" s="18">
        <f>HLOOKUP($D$5,'4.9 Comptes 2022 par habitant'!$E$4:$BE$159,104,0)</f>
        <v>30.005856777493609</v>
      </c>
    </row>
    <row r="111" spans="2:5" x14ac:dyDescent="0.2">
      <c r="C111" s="8">
        <v>441</v>
      </c>
      <c r="D111" s="8" t="s">
        <v>163</v>
      </c>
      <c r="E111" s="18">
        <f>HLOOKUP($D$5,'4.9 Comptes 2022 par habitant'!$E$4:$BE$159,105,0)</f>
        <v>0</v>
      </c>
    </row>
    <row r="112" spans="2:5" x14ac:dyDescent="0.2">
      <c r="C112" s="8">
        <v>442</v>
      </c>
      <c r="D112" s="8" t="s">
        <v>164</v>
      </c>
      <c r="E112" s="18">
        <f>HLOOKUP($D$5,'4.9 Comptes 2022 par habitant'!$E$4:$BE$159,106,0)</f>
        <v>0</v>
      </c>
    </row>
    <row r="113" spans="2:5" x14ac:dyDescent="0.2">
      <c r="C113" s="8">
        <v>443</v>
      </c>
      <c r="D113" s="8" t="s">
        <v>165</v>
      </c>
      <c r="E113" s="18">
        <f>HLOOKUP($D$5,'4.9 Comptes 2022 par habitant'!$E$4:$BE$159,107,0)</f>
        <v>85.447953964194383</v>
      </c>
    </row>
    <row r="114" spans="2:5" x14ac:dyDescent="0.2">
      <c r="C114" s="8">
        <v>444</v>
      </c>
      <c r="D114" s="8" t="s">
        <v>105</v>
      </c>
      <c r="E114" s="18">
        <f>HLOOKUP($D$5,'4.9 Comptes 2022 par habitant'!$E$4:$BE$159,108,0)</f>
        <v>0.10230179028132992</v>
      </c>
    </row>
    <row r="115" spans="2:5" x14ac:dyDescent="0.2">
      <c r="C115" s="8">
        <v>445</v>
      </c>
      <c r="D115" s="8" t="s">
        <v>166</v>
      </c>
      <c r="E115" s="18">
        <f>HLOOKUP($D$5,'4.9 Comptes 2022 par habitant'!$E$4:$BE$159,109,0)</f>
        <v>0</v>
      </c>
    </row>
    <row r="116" spans="2:5" x14ac:dyDescent="0.2">
      <c r="C116" s="8">
        <v>446</v>
      </c>
      <c r="D116" s="8" t="s">
        <v>167</v>
      </c>
      <c r="E116" s="18">
        <f>HLOOKUP($D$5,'4.9 Comptes 2022 par habitant'!$E$4:$BE$159,110,0)</f>
        <v>0</v>
      </c>
    </row>
    <row r="117" spans="2:5" x14ac:dyDescent="0.2">
      <c r="C117" s="8">
        <v>447</v>
      </c>
      <c r="D117" s="8" t="s">
        <v>168</v>
      </c>
      <c r="E117" s="18">
        <f>HLOOKUP($D$5,'4.9 Comptes 2022 par habitant'!$E$4:$BE$159,111,0)</f>
        <v>4.2199488491048589</v>
      </c>
    </row>
    <row r="118" spans="2:5" x14ac:dyDescent="0.2">
      <c r="C118" s="8">
        <v>448</v>
      </c>
      <c r="D118" s="8" t="s">
        <v>169</v>
      </c>
      <c r="E118" s="18">
        <f>HLOOKUP($D$5,'4.9 Comptes 2022 par habitant'!$E$4:$BE$159,112,0)</f>
        <v>0</v>
      </c>
    </row>
    <row r="119" spans="2:5" x14ac:dyDescent="0.2">
      <c r="C119" s="8">
        <v>449</v>
      </c>
      <c r="D119" s="8" t="s">
        <v>170</v>
      </c>
      <c r="E119" s="18">
        <f>HLOOKUP($D$5,'4.9 Comptes 2022 par habitant'!$E$4:$BE$159,113,0)</f>
        <v>0.2813299232736573</v>
      </c>
    </row>
    <row r="120" spans="2:5" x14ac:dyDescent="0.2">
      <c r="E120" s="13"/>
    </row>
    <row r="121" spans="2:5" ht="15" x14ac:dyDescent="0.25">
      <c r="B121" s="81">
        <v>45</v>
      </c>
      <c r="C121" s="81"/>
      <c r="D121" s="81" t="s">
        <v>173</v>
      </c>
      <c r="E121" s="82">
        <f>SUM(E122:E123)</f>
        <v>11.508951406649617</v>
      </c>
    </row>
    <row r="122" spans="2:5" x14ac:dyDescent="0.2">
      <c r="C122" s="8">
        <v>450</v>
      </c>
      <c r="D122" s="8" t="s">
        <v>171</v>
      </c>
      <c r="E122" s="18">
        <f>HLOOKUP($D$5,'4.9 Comptes 2022 par habitant'!$E$4:$BE$159,116,0)</f>
        <v>0</v>
      </c>
    </row>
    <row r="123" spans="2:5" x14ac:dyDescent="0.2">
      <c r="C123" s="8">
        <v>451</v>
      </c>
      <c r="D123" s="8" t="s">
        <v>172</v>
      </c>
      <c r="E123" s="18">
        <f>HLOOKUP($D$5,'4.9 Comptes 2022 par habitant'!$E$4:$BE$159,117,0)</f>
        <v>11.508951406649617</v>
      </c>
    </row>
    <row r="124" spans="2:5" x14ac:dyDescent="0.2">
      <c r="E124" s="13"/>
    </row>
    <row r="125" spans="2:5" ht="15" x14ac:dyDescent="0.25">
      <c r="B125" s="81">
        <v>46</v>
      </c>
      <c r="C125" s="81"/>
      <c r="D125" s="81" t="s">
        <v>174</v>
      </c>
      <c r="E125" s="82">
        <f>SUM(E126:E130)</f>
        <v>946.54181585677748</v>
      </c>
    </row>
    <row r="126" spans="2:5" x14ac:dyDescent="0.2">
      <c r="C126" s="8">
        <v>460</v>
      </c>
      <c r="D126" s="8" t="s">
        <v>175</v>
      </c>
      <c r="E126" s="18">
        <f>HLOOKUP($D$5,'4.9 Comptes 2022 par habitant'!$E$4:$BE$159,120,0)</f>
        <v>1.4884910485933505</v>
      </c>
    </row>
    <row r="127" spans="2:5" x14ac:dyDescent="0.2">
      <c r="C127" s="8">
        <v>461</v>
      </c>
      <c r="D127" s="8" t="s">
        <v>176</v>
      </c>
      <c r="E127" s="18">
        <f>HLOOKUP($D$5,'4.9 Comptes 2022 par habitant'!$E$4:$BE$159,121,0)</f>
        <v>466.7410485933504</v>
      </c>
    </row>
    <row r="128" spans="2:5" x14ac:dyDescent="0.2">
      <c r="C128" s="8">
        <v>462</v>
      </c>
      <c r="D128" s="8" t="s">
        <v>112</v>
      </c>
      <c r="E128" s="18">
        <f>HLOOKUP($D$5,'4.9 Comptes 2022 par habitant'!$E$4:$BE$159,122,0)</f>
        <v>376.96675191815859</v>
      </c>
    </row>
    <row r="129" spans="2:5" x14ac:dyDescent="0.2">
      <c r="C129" s="8">
        <v>463</v>
      </c>
      <c r="D129" s="8" t="s">
        <v>177</v>
      </c>
      <c r="E129" s="18">
        <f>HLOOKUP($D$5,'4.9 Comptes 2022 par habitant'!$E$4:$BE$159,123,0)</f>
        <v>101.12800511508952</v>
      </c>
    </row>
    <row r="130" spans="2:5" x14ac:dyDescent="0.2">
      <c r="C130" s="8">
        <v>469</v>
      </c>
      <c r="D130" s="8" t="s">
        <v>178</v>
      </c>
      <c r="E130" s="18">
        <f>HLOOKUP($D$5,'4.9 Comptes 2022 par habitant'!$E$4:$BE$159,124,0)</f>
        <v>0.21751918158567773</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HLOOKUP($D$5,'4.9 Comptes 2022 par habitant'!$E$4:$BE$159,127,0)</f>
        <v>0</v>
      </c>
    </row>
    <row r="134" spans="2:5" x14ac:dyDescent="0.2">
      <c r="E134" s="13"/>
    </row>
    <row r="135" spans="2:5" ht="15" x14ac:dyDescent="0.25">
      <c r="B135" s="81">
        <v>48</v>
      </c>
      <c r="C135" s="81"/>
      <c r="D135" s="81" t="s">
        <v>180</v>
      </c>
      <c r="E135" s="82">
        <f>SUM(E136:E142)</f>
        <v>0.81585677749360619</v>
      </c>
    </row>
    <row r="136" spans="2:5" x14ac:dyDescent="0.2">
      <c r="C136" s="8">
        <v>481</v>
      </c>
      <c r="D136" s="8" t="s">
        <v>181</v>
      </c>
      <c r="E136" s="18">
        <f>HLOOKUP($D$5,'4.9 Comptes 2022 par habitant'!$E$4:$BE$159,130,0)</f>
        <v>0</v>
      </c>
    </row>
    <row r="137" spans="2:5" x14ac:dyDescent="0.2">
      <c r="C137" s="8">
        <v>482</v>
      </c>
      <c r="D137" s="8" t="s">
        <v>182</v>
      </c>
      <c r="E137" s="18">
        <f>HLOOKUP($D$5,'4.9 Comptes 2022 par habitant'!$E$4:$BE$159,131,0)</f>
        <v>0</v>
      </c>
    </row>
    <row r="138" spans="2:5" x14ac:dyDescent="0.2">
      <c r="C138" s="8">
        <v>483</v>
      </c>
      <c r="D138" s="8" t="s">
        <v>183</v>
      </c>
      <c r="E138" s="18">
        <f>HLOOKUP($D$5,'4.9 Comptes 2022 par habitant'!$E$4:$BE$159,132,0)</f>
        <v>0</v>
      </c>
    </row>
    <row r="139" spans="2:5" x14ac:dyDescent="0.2">
      <c r="C139" s="8">
        <v>484</v>
      </c>
      <c r="D139" s="8" t="s">
        <v>184</v>
      </c>
      <c r="E139" s="18">
        <f>HLOOKUP($D$5,'4.9 Comptes 2022 par habitant'!$E$4:$BE$159,133,0)</f>
        <v>0</v>
      </c>
    </row>
    <row r="140" spans="2:5" x14ac:dyDescent="0.2">
      <c r="C140" s="8">
        <v>485</v>
      </c>
      <c r="D140" s="8" t="s">
        <v>185</v>
      </c>
      <c r="E140" s="18">
        <f>HLOOKUP($D$5,'4.9 Comptes 2022 par habitant'!$E$4:$BE$159,134,0)</f>
        <v>0</v>
      </c>
    </row>
    <row r="141" spans="2:5" x14ac:dyDescent="0.2">
      <c r="C141" s="8">
        <v>486</v>
      </c>
      <c r="D141" s="8" t="s">
        <v>186</v>
      </c>
      <c r="E141" s="18">
        <f>HLOOKUP($D$5,'4.9 Comptes 2022 par habitant'!$E$4:$BE$159,135,0)</f>
        <v>0</v>
      </c>
    </row>
    <row r="142" spans="2:5" x14ac:dyDescent="0.2">
      <c r="C142" s="8">
        <v>489</v>
      </c>
      <c r="D142" s="8" t="s">
        <v>187</v>
      </c>
      <c r="E142" s="18">
        <f>HLOOKUP($D$5,'4.9 Comptes 2022 par habitant'!$E$4:$BE$159,136,0)</f>
        <v>0.81585677749360619</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HLOOKUP($D$5,'4.9 Comptes 2022 par habitant'!$E$4:$BE$159,139,0)</f>
        <v>0</v>
      </c>
    </row>
    <row r="146" spans="1:5" x14ac:dyDescent="0.2">
      <c r="C146" s="8">
        <v>491</v>
      </c>
      <c r="D146" s="8" t="s">
        <v>129</v>
      </c>
      <c r="E146" s="18">
        <f>HLOOKUP($D$5,'4.9 Comptes 2022 par habitant'!$E$4:$BE$159,140,0)</f>
        <v>0</v>
      </c>
    </row>
    <row r="147" spans="1:5" x14ac:dyDescent="0.2">
      <c r="C147" s="8">
        <v>492</v>
      </c>
      <c r="D147" s="8" t="s">
        <v>188</v>
      </c>
      <c r="E147" s="18">
        <f>HLOOKUP($D$5,'4.9 Comptes 2022 par habitant'!$E$4:$BE$159,141,0)</f>
        <v>0</v>
      </c>
    </row>
    <row r="148" spans="1:5" x14ac:dyDescent="0.2">
      <c r="C148" s="8">
        <v>493</v>
      </c>
      <c r="D148" s="8" t="s">
        <v>189</v>
      </c>
      <c r="E148" s="18">
        <f>HLOOKUP($D$5,'4.9 Comptes 2022 par habitant'!$E$4:$BE$159,142,0)</f>
        <v>0</v>
      </c>
    </row>
    <row r="149" spans="1:5" x14ac:dyDescent="0.2">
      <c r="C149" s="8">
        <v>494</v>
      </c>
      <c r="D149" s="8" t="s">
        <v>132</v>
      </c>
      <c r="E149" s="18">
        <f>HLOOKUP($D$5,'4.9 Comptes 2022 par habitant'!$E$4:$BE$159,143,0)</f>
        <v>0</v>
      </c>
    </row>
    <row r="150" spans="1:5" x14ac:dyDescent="0.2">
      <c r="C150" s="8">
        <v>495</v>
      </c>
      <c r="D150" s="8" t="s">
        <v>190</v>
      </c>
      <c r="E150" s="18">
        <f>HLOOKUP($D$5,'4.9 Comptes 2022 par habitant'!$E$4:$BE$159,144,0)</f>
        <v>0</v>
      </c>
    </row>
    <row r="151" spans="1:5" x14ac:dyDescent="0.2">
      <c r="C151" s="8">
        <v>498</v>
      </c>
      <c r="D151" s="8" t="s">
        <v>191</v>
      </c>
      <c r="E151" s="18">
        <f>HLOOKUP($D$5,'4.9 Comptes 2022 par habitant'!$E$4:$BE$159,145,0)</f>
        <v>0</v>
      </c>
    </row>
    <row r="152" spans="1:5" x14ac:dyDescent="0.2">
      <c r="C152" s="8">
        <v>499</v>
      </c>
      <c r="D152" s="8" t="s">
        <v>135</v>
      </c>
      <c r="E152" s="18">
        <f>HLOOKUP($D$5,'4.9 Comptes 2022 par habitant'!$E$4:$BE$159,146,0)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335.4952429667519</v>
      </c>
    </row>
    <row r="158" spans="1:5" x14ac:dyDescent="0.2">
      <c r="C158" s="8">
        <v>900</v>
      </c>
      <c r="D158" s="8" t="s">
        <v>195</v>
      </c>
      <c r="E158" s="18">
        <f>HLOOKUP($D$5,'4.9 Comptes 2022 par habitant'!$E$4:$BE$159,152,0)</f>
        <v>0.64370843989769821</v>
      </c>
    </row>
    <row r="159" spans="1:5" x14ac:dyDescent="0.2">
      <c r="C159" s="8">
        <v>901</v>
      </c>
      <c r="D159" s="8" t="s">
        <v>196</v>
      </c>
      <c r="E159" s="18">
        <f>HLOOKUP($D$5,'4.9 Comptes 2022 par habitant'!$E$4:$BE$159,153,0)</f>
        <v>334.85153452685421</v>
      </c>
    </row>
    <row r="160" spans="1:5" x14ac:dyDescent="0.2">
      <c r="E160" s="13"/>
    </row>
    <row r="161" spans="4:5" ht="15" x14ac:dyDescent="0.25">
      <c r="D161" s="7" t="s">
        <v>197</v>
      </c>
      <c r="E161" s="99">
        <f>HLOOKUP($D$5,'4.9 Comptes 2022 par habitant'!$E$4:$BE$159,155,0)</f>
        <v>335.4952429667519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2023-10-17T08:13:40Z</dcterms:modified>
</cp:coreProperties>
</file>