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8" activeTab="8"/>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K218" i="24" s="1"/>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BK217"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<sst xmlns="http://schemas.openxmlformats.org/spreadsheetml/2006/main" count="5443" uniqueCount="871">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</sst>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row r="5" spans="1:3" ht="15.75" thickBot="1" x14ac:dyDescent="0.3">
      <c r="B5" s="96" t="s">
        <v>49</v>
      </c>
    </row>
    <row r="7" spans="1:3" ht="15" x14ac:dyDescent="0.25">
      <c r="C7" s="33" t="s">
        <v>201</v>
      </c>
    </row>
    <row r="8" spans="1:3" ht="15" x14ac:dyDescent="0.25">
      <c r="A8" s="110">
        <v>0</v>
      </c>
      <c r="B8" s="89" t="s">
        <v>297</v>
      </c>
      <c r="C8" s="111">
        <f>C9-C10</f>
        <v>500225.83000000007</v>
      </c>
    </row>
    <row r="9" spans="1:3" ht="15" x14ac:dyDescent="0.25">
      <c r="A9" s="112"/>
      <c r="B9" s="8" t="s">
        <v>307</v>
      </c>
      <c r="C9" s="13">
        <f>HLOOKUP($B$5,'4.11 Comptes 2020 fonctionnelle'!$C$4:$BC$48,3,0)</f>
        <v>537138.42000000004</v>
      </c>
    </row>
    <row r="10" spans="1:3" ht="15" x14ac:dyDescent="0.25">
      <c r="A10" s="112"/>
      <c r="B10" s="8" t="s">
        <v>308</v>
      </c>
      <c r="C10" s="13">
        <f>HLOOKUP($B$5,'4.11 Comptes 2020 fonctionnelle'!$C$4:$BC$48,4,0)</f>
        <v>36912.589999999997</v>
      </c>
    </row>
    <row r="11" spans="1:3" ht="15" x14ac:dyDescent="0.25">
      <c r="A11" s="33"/>
      <c r="B11" s="7"/>
      <c r="C11" s="13"/>
    </row>
    <row r="12" spans="1:3" ht="15" x14ac:dyDescent="0.25">
      <c r="A12" s="110" t="s">
        <v>298</v>
      </c>
      <c r="B12" s="89" t="s">
        <v>299</v>
      </c>
      <c r="C12" s="111">
        <f>C13-C14</f>
        <v>1507.4899999999907</v>
      </c>
    </row>
    <row r="13" spans="1:3" ht="15" x14ac:dyDescent="0.25">
      <c r="A13" s="112"/>
      <c r="B13" s="8" t="s">
        <v>307</v>
      </c>
      <c r="C13" s="13">
        <f>HLOOKUP($B$5,'4.11 Comptes 2020 fonctionnelle'!$C$4:$BC$48,7,0)</f>
        <v>122101.4</v>
      </c>
    </row>
    <row r="14" spans="1:3" ht="15" x14ac:dyDescent="0.25">
      <c r="A14" s="112"/>
      <c r="B14" s="8" t="s">
        <v>308</v>
      </c>
      <c r="C14" s="13">
        <f>HLOOKUP($B$5,'4.11 Comptes 2020 fonctionnelle'!$C$4:$BC$48,8,0)</f>
        <v>120593.91</v>
      </c>
    </row>
    <row r="15" spans="1:3" ht="15" x14ac:dyDescent="0.25">
      <c r="A15" s="33"/>
      <c r="B15" s="7"/>
      <c r="C15" s="13"/>
    </row>
    <row r="16" spans="1:3" ht="15" x14ac:dyDescent="0.25">
      <c r="A16" s="113">
        <v>2</v>
      </c>
      <c r="B16" s="89" t="s">
        <v>300</v>
      </c>
      <c r="C16" s="111">
        <f>C17-C18</f>
        <v>2372113.71</v>
      </c>
    </row>
    <row r="17" spans="1:3" ht="15" x14ac:dyDescent="0.25">
      <c r="A17" s="33"/>
      <c r="B17" s="8" t="s">
        <v>307</v>
      </c>
      <c r="C17" s="13">
        <f>HLOOKUP($B$5,'4.11 Comptes 2020 fonctionnelle'!$C$4:$BC$48,11,0)</f>
        <v>2503369.23</v>
      </c>
    </row>
    <row r="18" spans="1:3" ht="15" x14ac:dyDescent="0.25">
      <c r="A18" s="33"/>
      <c r="B18" s="8" t="s">
        <v>308</v>
      </c>
      <c r="C18" s="13">
        <f>HLOOKUP($B$5,'4.11 Comptes 2020 fonctionnelle'!$C$4:$BC$48,12,0)</f>
        <v>131255.51999999999</v>
      </c>
    </row>
    <row r="19" spans="1:3" ht="15" x14ac:dyDescent="0.25">
      <c r="A19" s="33"/>
      <c r="B19" s="7"/>
      <c r="C19" s="13"/>
    </row>
    <row r="20" spans="1:3" ht="15" x14ac:dyDescent="0.25">
      <c r="A20" s="113">
        <v>3</v>
      </c>
      <c r="B20" s="89" t="s">
        <v>301</v>
      </c>
      <c r="C20" s="111">
        <f>C21-C22</f>
        <v>150381.16</v>
      </c>
    </row>
    <row r="21" spans="1:3" ht="15" x14ac:dyDescent="0.25">
      <c r="A21" s="33"/>
      <c r="B21" s="8" t="s">
        <v>307</v>
      </c>
      <c r="C21" s="13">
        <f>HLOOKUP($B$5,'4.11 Comptes 2020 fonctionnelle'!$C$4:$BC$48,15,0)</f>
        <v>172609.51</v>
      </c>
    </row>
    <row r="22" spans="1:3" ht="15" x14ac:dyDescent="0.25">
      <c r="A22" s="33"/>
      <c r="B22" s="8" t="s">
        <v>308</v>
      </c>
      <c r="C22" s="13">
        <f>HLOOKUP($B$5,'4.11 Comptes 2020 fonctionnelle'!$C$4:$BC$48,16,0)</f>
        <v>22228.35</v>
      </c>
    </row>
    <row r="23" spans="1:3" ht="15" x14ac:dyDescent="0.25">
      <c r="A23" s="33"/>
      <c r="B23" s="7"/>
      <c r="C23" s="13"/>
    </row>
    <row r="24" spans="1:3" ht="15" x14ac:dyDescent="0.25">
      <c r="A24" s="113">
        <v>4</v>
      </c>
      <c r="B24" s="89" t="s">
        <v>302</v>
      </c>
      <c r="C24" s="111">
        <f>C25-C26</f>
        <v>12578.8</v>
      </c>
    </row>
    <row r="25" spans="1:3" ht="15" x14ac:dyDescent="0.25">
      <c r="A25" s="33"/>
      <c r="B25" s="8" t="s">
        <v>307</v>
      </c>
      <c r="C25" s="13">
        <f>HLOOKUP($B$5,'4.11 Comptes 2020 fonctionnelle'!$C$4:$BC$48,19,0)</f>
        <v>22578.799999999999</v>
      </c>
    </row>
    <row r="26" spans="1:3" ht="15" x14ac:dyDescent="0.25">
      <c r="A26" s="33"/>
      <c r="B26" s="8" t="s">
        <v>308</v>
      </c>
      <c r="C26" s="13">
        <f>HLOOKUP($B$5,'4.11 Comptes 2020 fonctionnelle'!$C$4:$BC$48,20,0)</f>
        <v>10000</v>
      </c>
    </row>
    <row r="27" spans="1:3" ht="15" x14ac:dyDescent="0.25">
      <c r="A27" s="33"/>
      <c r="B27" s="7"/>
      <c r="C27" s="13"/>
    </row>
    <row r="28" spans="1:3" ht="15" x14ac:dyDescent="0.25">
      <c r="A28" s="113">
        <v>5</v>
      </c>
      <c r="B28" s="89" t="s">
        <v>303</v>
      </c>
      <c r="C28" s="111">
        <f>C29-C30</f>
        <v>1357964.3499999999</v>
      </c>
    </row>
    <row r="29" spans="1:3" ht="15" x14ac:dyDescent="0.25">
      <c r="A29" s="33"/>
      <c r="B29" s="8" t="s">
        <v>307</v>
      </c>
      <c r="C29" s="13">
        <f>HLOOKUP($B$5,'4.11 Comptes 2020 fonctionnelle'!$C$4:$BC$48,23,0)</f>
        <v>1571883.45</v>
      </c>
    </row>
    <row r="30" spans="1:3" ht="15" x14ac:dyDescent="0.25">
      <c r="A30" s="33"/>
      <c r="B30" s="8" t="s">
        <v>308</v>
      </c>
      <c r="C30" s="13">
        <f>HLOOKUP($B$5,'4.11 Comptes 2020 fonctionnelle'!$C$4:$BC$48,24,0)</f>
        <v>213919.1</v>
      </c>
    </row>
    <row r="31" spans="1:3" ht="15" x14ac:dyDescent="0.25">
      <c r="A31" s="33"/>
      <c r="B31" s="7"/>
      <c r="C31" s="13"/>
    </row>
    <row r="32" spans="1:3" ht="15" x14ac:dyDescent="0.25">
      <c r="A32" s="113">
        <v>6</v>
      </c>
      <c r="B32" s="89" t="s">
        <v>861</v>
      </c>
      <c r="C32" s="111">
        <f>C33-C34</f>
        <v>553576.44999999995</v>
      </c>
    </row>
    <row r="33" spans="1:3" ht="15" x14ac:dyDescent="0.25">
      <c r="A33" s="33"/>
      <c r="B33" s="8" t="s">
        <v>307</v>
      </c>
      <c r="C33" s="13">
        <f>HLOOKUP($B$5,'4.11 Comptes 2020 fonctionnelle'!$C$4:$BC$48,27,0)</f>
        <v>727241.75</v>
      </c>
    </row>
    <row r="34" spans="1:3" ht="15" x14ac:dyDescent="0.25">
      <c r="A34" s="33"/>
      <c r="B34" s="8" t="s">
        <v>308</v>
      </c>
      <c r="C34" s="13">
        <f>HLOOKUP($B$5,'4.11 Comptes 2020 fonctionnelle'!$C$4:$BC$48,28,0)</f>
        <v>173665.3</v>
      </c>
    </row>
    <row r="35" spans="1:3" ht="15" x14ac:dyDescent="0.25">
      <c r="A35" s="33"/>
      <c r="B35" s="7"/>
      <c r="C35" s="13"/>
    </row>
    <row r="36" spans="1:3" ht="15" x14ac:dyDescent="0.25">
      <c r="A36" s="113">
        <v>7</v>
      </c>
      <c r="B36" s="89" t="s">
        <v>304</v>
      </c>
      <c r="C36" s="111">
        <f>C37-C38</f>
        <v>-53094.280000000028</v>
      </c>
    </row>
    <row r="37" spans="1:3" ht="15" x14ac:dyDescent="0.25">
      <c r="A37" s="33"/>
      <c r="B37" s="8" t="s">
        <v>307</v>
      </c>
      <c r="C37" s="13">
        <f>HLOOKUP($B$5,'4.11 Comptes 2020 fonctionnelle'!$C$4:$BC$48,31,0)</f>
        <v>781184.25</v>
      </c>
    </row>
    <row r="38" spans="1:3" ht="15" x14ac:dyDescent="0.25">
      <c r="A38" s="33"/>
      <c r="B38" s="8" t="s">
        <v>308</v>
      </c>
      <c r="C38" s="13">
        <f>HLOOKUP($B$5,'4.11 Comptes 2020 fonctionnelle'!$C$4:$BC$48,32,0)</f>
        <v>834278.53</v>
      </c>
    </row>
    <row r="39" spans="1:3" ht="15" x14ac:dyDescent="0.25">
      <c r="A39" s="33"/>
      <c r="B39" s="7"/>
      <c r="C39" s="13"/>
    </row>
    <row r="40" spans="1:3" ht="15" x14ac:dyDescent="0.25">
      <c r="A40" s="113">
        <v>8</v>
      </c>
      <c r="B40" s="89" t="s">
        <v>305</v>
      </c>
      <c r="C40" s="111">
        <f>C41-C42</f>
        <v>5893.9700000000012</v>
      </c>
    </row>
    <row r="41" spans="1:3" ht="15" x14ac:dyDescent="0.25">
      <c r="A41" s="33"/>
      <c r="B41" s="8" t="s">
        <v>307</v>
      </c>
      <c r="C41" s="13">
        <f>HLOOKUP($B$5,'4.11 Comptes 2020 fonctionnelle'!$C$4:$BC$48,35,0)</f>
        <v>158712.09</v>
      </c>
    </row>
    <row r="42" spans="1:3" ht="15" x14ac:dyDescent="0.25">
      <c r="A42" s="33"/>
      <c r="B42" s="8" t="s">
        <v>308</v>
      </c>
      <c r="C42" s="13">
        <f>HLOOKUP($B$5,'4.11 Comptes 2020 fonctionnelle'!$C$4:$BC$48,36,0)</f>
        <v>152818.12</v>
      </c>
    </row>
    <row r="43" spans="1:3" ht="15" x14ac:dyDescent="0.25">
      <c r="A43" s="33"/>
      <c r="B43" s="7"/>
      <c r="C43" s="13"/>
    </row>
    <row r="44" spans="1:3" ht="15" x14ac:dyDescent="0.25">
      <c r="A44" s="113">
        <v>9</v>
      </c>
      <c r="B44" s="89" t="s">
        <v>306</v>
      </c>
      <c r="C44" s="111">
        <f>C45-C46</f>
        <v>-4901147.4800000004</v>
      </c>
    </row>
    <row r="45" spans="1:3" ht="15" customHeight="1" x14ac:dyDescent="0.3">
      <c r="A45" s="114"/>
      <c r="B45" s="8" t="s">
        <v>307</v>
      </c>
      <c r="C45" s="13">
        <f>HLOOKUP($B$5,'4.11 Comptes 2020 fonctionnelle'!$C$4:$BC$48,39,0)</f>
        <v>525193.39</v>
      </c>
    </row>
    <row r="46" spans="1:3" ht="15" customHeight="1" x14ac:dyDescent="0.3">
      <c r="A46" s="114"/>
      <c r="B46" s="8" t="s">
        <v>308</v>
      </c>
      <c r="C46" s="13">
        <f>HLOOKUP($B$5,'4.11 Comptes 2020 fonctionnelle'!$C$4:$BC$48,40,0)</f>
        <v>5426340.8700000001</v>
      </c>
    </row>
    <row r="47" spans="1:3" ht="20.25" x14ac:dyDescent="0.3">
      <c r="A47" s="114"/>
      <c r="B47" s="115"/>
      <c r="C47" s="13"/>
    </row>
    <row r="48" spans="1:3" ht="15" x14ac:dyDescent="0.25">
      <c r="A48" s="113"/>
      <c r="B48" s="89" t="s">
        <v>727</v>
      </c>
      <c r="C48" s="117">
        <f>C49-C50</f>
        <v>0</v>
      </c>
    </row>
    <row r="49" spans="1:3" ht="20.25" x14ac:dyDescent="0.3">
      <c r="A49" s="114"/>
      <c r="B49" s="8" t="s">
        <v>307</v>
      </c>
      <c r="C49" s="13">
        <f>HLOOKUP($B$5,'4.11 Comptes 2020 fonctionnelle'!$C$4:$BC$48,43,0)</f>
        <v>7122012.2899999991</v>
      </c>
    </row>
    <row r="50" spans="1:3" ht="20.25" x14ac:dyDescent="0.3">
      <c r="A50" s="114"/>
      <c r="B50" s="8" t="s">
        <v>308</v>
      </c>
      <c r="C50" s="13">
        <f>HLOOKUP($B$5,'4.11 Comptes 2020 fonctionnelle'!$C$4:$BC$48,44,0)</f>
        <v>7122012.29</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M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59034862.589999996</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915185372.45000029</v>
      </c>
      <c r="BH121" s="124">
        <f t="shared" si="16"/>
        <v>450488338.53000009</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47318439.43</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646617537.25999999</v>
      </c>
      <c r="BH122" s="126">
        <f t="shared" si="16"/>
        <v>352784472.90999997</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362937.54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17332224.73</v>
      </c>
      <c r="BH143" s="128">
        <f t="shared" si="29"/>
        <v>7362584.6600000001</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4516.55</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1956759.7499999995</v>
      </c>
      <c r="BH146" s="99">
        <f t="shared" si="29"/>
        <v>1113662.55</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f>BH217+BI217+BJ217</f>
        <v>-1818630.08</v>
      </c>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f>BH218+BI218+BJ218</f>
        <v>106997787</v>
      </c>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0.10000001639127731</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9.9999785423278809E-2</v>
      </c>
      <c r="BH226" s="25">
        <f t="shared" si="54"/>
        <v>9.9999904632568359E-2</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59034862.589999996</v>
      </c>
    </row>
    <row r="125" spans="1:6" ht="15" x14ac:dyDescent="0.25">
      <c r="A125" s="7"/>
      <c r="B125" s="125">
        <v>20</v>
      </c>
      <c r="C125" s="125"/>
      <c r="D125" s="125"/>
      <c r="E125" s="125" t="s">
        <v>251</v>
      </c>
      <c r="F125" s="126">
        <f>HLOOKUP($E$5,'5. Bilan'!$F$4:$BF$227,119,0)</f>
        <v>47318439.43</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362937.54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4516.55</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842</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0.10000001639127731</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915185372.45000029</v>
      </c>
    </row>
    <row r="120" spans="1:6" ht="15" x14ac:dyDescent="0.25">
      <c r="A120" s="7"/>
      <c r="B120" s="125">
        <v>20</v>
      </c>
      <c r="C120" s="125"/>
      <c r="D120" s="125"/>
      <c r="E120" s="125" t="s">
        <v>251</v>
      </c>
      <c r="F120" s="126">
        <f>'5. Bilan'!BG122</f>
        <v>646617537.25999999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17332224.73</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1956759.7499999995</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9.9999785423278809E-2</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47318439.43</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646617537.25999999</v>
      </c>
      <c r="BE10" s="19">
        <f t="shared" ref="BE10:BE24" si="0">SUM(C10:U10)</f>
        <v>352784472.90999997</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29090469.119999997</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299391701.24999994</v>
      </c>
      <c r="BE24" s="141">
        <f t="shared" si="0"/>
        <v>190004876.63999996</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3974.6507883590652</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4053.2282034793197</v>
      </c>
      <c r="BE25" s="117">
        <f t="shared" si="7"/>
        <v>4833.6227489887797</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29090469.119999997</v>
      </c>
      <c r="E13" s="13">
        <f>'5.4 Tableau de l''endettement'!M25</f>
        <v>3974.6507883590652</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23" t="s">
        <v>491</v>
      </c>
      <c r="B2" s="223"/>
      <c r="C2" s="223"/>
      <c r="D2" s="223"/>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3" t="s">
        <v>491</v>
      </c>
      <c r="B2" s="223"/>
      <c r="C2" s="223"/>
      <c r="D2" s="223"/>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D3" sqref="D3"/>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tabSelected="1" workbookViewId="0">
      <selection activeCell="D2" sqref="D2"/>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2023-10-17T08:55:38Z</dcterms:modified>
</cp:coreProperties>
</file>