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0" activeTab="3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2" sheetId="69" state="hidden" r:id="rId52"/>
    <sheet name="Comptes 2022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BF9" i="42"/>
  <c r="D5" i="38" s="1"/>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<sst xmlns="http://schemas.openxmlformats.org/spreadsheetml/2006/main" count="5450" uniqueCount="871">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</sst>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B17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AW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tabSelected="1" workbookViewId="0">
      <pane xSplit="4" ySplit="4" topLeftCell="BF5" activePane="bottomRight" state="frozen"/>
      <selection pane="topRight" activeCell="E1" sqref="E1"/>
      <selection pane="bottomLeft" activeCell="A12" sqref="A12"/>
      <selection pane="bottomRight" activeCell="A49" sqref="A4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hidden="1"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3" t="s">
        <v>491</v>
      </c>
      <c r="B1" s="223"/>
      <c r="C1" s="223"/>
      <c r="D1" s="223"/>
    </row>
    <row r="3" spans="1:62" ht="15" hidden="1"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hidden="1"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hidden="1"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hidden="1"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hidden="1" thickBot="1" x14ac:dyDescent="0.25">
      <c r="A7" s="165"/>
      <c r="B7" s="166"/>
      <c r="C7" s="165"/>
      <c r="D7" s="167"/>
      <c r="BF7" s="13"/>
      <c r="BG7" s="13"/>
      <c r="BH7" s="13"/>
    </row>
    <row r="8" spans="1:62" ht="15.75" hidden="1"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hidden="1" x14ac:dyDescent="0.2">
      <c r="B9" s="169"/>
      <c r="D9" s="13"/>
      <c r="BF9" s="13"/>
      <c r="BG9" s="13"/>
      <c r="BH9" s="13"/>
    </row>
    <row r="10" spans="1:62" hidden="1"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hidden="1"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hidden="1"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hidden="1"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hidden="1" thickBot="1" x14ac:dyDescent="0.25">
      <c r="A14" s="165"/>
      <c r="B14" s="166"/>
      <c r="C14" s="165"/>
      <c r="D14" s="167"/>
      <c r="BF14" s="13"/>
      <c r="BG14" s="13"/>
      <c r="BH14" s="13"/>
      <c r="BJ14" s="13"/>
    </row>
    <row r="15" spans="1:62" ht="15.75" hidden="1"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hidden="1" thickBot="1" x14ac:dyDescent="0.25">
      <c r="B16" s="169"/>
      <c r="D16" s="13"/>
      <c r="BF16" s="13"/>
      <c r="BG16" s="13"/>
      <c r="BH16" s="13"/>
      <c r="BJ16" s="13"/>
    </row>
    <row r="17" spans="1:69" ht="15.75" hidden="1"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hidden="1" x14ac:dyDescent="0.2">
      <c r="A18" s="173" t="s">
        <v>502</v>
      </c>
      <c r="B18" s="169"/>
      <c r="D18" s="13"/>
      <c r="BF18" s="13"/>
      <c r="BG18" s="13"/>
      <c r="BH18" s="13"/>
      <c r="BJ18" s="13"/>
    </row>
    <row r="19" spans="1:69" hidden="1" x14ac:dyDescent="0.2">
      <c r="A19" s="173"/>
      <c r="B19" s="169"/>
      <c r="D19" s="13"/>
      <c r="BF19" s="13"/>
      <c r="BG19" s="13"/>
      <c r="BH19" s="13"/>
      <c r="BJ19" s="13"/>
    </row>
    <row r="20" spans="1:69" hidden="1"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BC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4065.5557827117036</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A12" sqref="A12"/>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I38"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A12" sqref="A12"/>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A12" sqref="A1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A12" sqref="A1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2" sqref="A1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A12" sqref="A1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A12" sqref="A12"/>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A12" sqref="A12"/>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19" t="s">
        <v>743</v>
      </c>
      <c r="C5" s="219"/>
      <c r="D5" s="219"/>
    </row>
    <row r="6" spans="1:5" ht="15.75" thickBot="1" x14ac:dyDescent="0.3">
      <c r="B6" s="216" t="s">
        <v>28</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A12" sqref="A1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C8"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A12" sqref="A1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A12" sqref="A12"/>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U146"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35329809.579999998</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5528265.3400000008</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c r="X7" s="13">
        <v>24561.599999999999</v>
      </c>
      <c r="Y7" s="13">
        <v>49020</v>
      </c>
      <c r="Z7" s="13">
        <v>9259</v>
      </c>
      <c r="AA7" s="13">
        <v>21724.1</v>
      </c>
      <c r="AB7" s="13">
        <v>9211.75</v>
      </c>
      <c r="AC7" s="13">
        <v>5951</v>
      </c>
      <c r="AD7" s="13">
        <v>4866.6000000000004</v>
      </c>
      <c r="AE7" s="13">
        <v>1995</v>
      </c>
      <c r="AF7" s="13">
        <f t="shared" ref="AF7:AF14" si="2">SUM(E7:AE7)</f>
        <v>269766.64999999997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c r="X8" s="13">
        <v>59900.6</v>
      </c>
      <c r="Y8" s="13">
        <v>928775.9</v>
      </c>
      <c r="Z8" s="13">
        <v>31900.400000000001</v>
      </c>
      <c r="AA8" s="13">
        <v>298856.65000000002</v>
      </c>
      <c r="AB8" s="13">
        <v>27953.5</v>
      </c>
      <c r="AC8" s="13">
        <v>8754.5499999999993</v>
      </c>
      <c r="AD8" s="13">
        <v>525242.44999999995</v>
      </c>
      <c r="AE8" s="13">
        <v>23135</v>
      </c>
      <c r="AF8" s="13">
        <f t="shared" si="2"/>
        <v>4196000</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c r="X12" s="13">
        <v>6284</v>
      </c>
      <c r="Y12" s="13">
        <v>186849.22</v>
      </c>
      <c r="Z12" s="13">
        <v>2720.65</v>
      </c>
      <c r="AA12" s="13">
        <v>60583.3</v>
      </c>
      <c r="AB12" s="13">
        <v>4584.3999999999996</v>
      </c>
      <c r="AC12" s="13">
        <v>894</v>
      </c>
      <c r="AD12" s="13">
        <v>116000.35</v>
      </c>
      <c r="AE12" s="13">
        <v>3310.55</v>
      </c>
      <c r="AF12" s="13">
        <f t="shared" si="2"/>
        <v>901892.84</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c r="X14" s="13">
        <v>0</v>
      </c>
      <c r="Y14" s="13">
        <v>15530.4</v>
      </c>
      <c r="Z14" s="13">
        <v>1185.9000000000001</v>
      </c>
      <c r="AA14" s="13">
        <v>180</v>
      </c>
      <c r="AB14" s="13">
        <v>393</v>
      </c>
      <c r="AC14" s="13">
        <v>812.5</v>
      </c>
      <c r="AD14" s="13">
        <v>20437</v>
      </c>
      <c r="AE14" s="13">
        <v>2025.4</v>
      </c>
      <c r="AF14" s="13">
        <f t="shared" si="2"/>
        <v>87829.65</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16089955.869999999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c r="X20" s="13">
        <v>74711.5</v>
      </c>
      <c r="Y20" s="13">
        <v>1720030.31</v>
      </c>
      <c r="Z20" s="13">
        <v>56735.85</v>
      </c>
      <c r="AA20" s="13">
        <v>139002.75</v>
      </c>
      <c r="AB20" s="13">
        <v>34929.199999999997</v>
      </c>
      <c r="AC20" s="13">
        <v>3793.4</v>
      </c>
      <c r="AD20" s="13">
        <v>642327.76</v>
      </c>
      <c r="AE20" s="13">
        <v>56548.35</v>
      </c>
      <c r="AF20" s="13">
        <f t="shared" si="4"/>
        <v>7251609.2399999993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35944402.580000006</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14912168.84</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c r="X124" s="13">
        <v>0</v>
      </c>
      <c r="Y124" s="13">
        <v>2308857.0699999998</v>
      </c>
      <c r="Z124" s="13">
        <v>0</v>
      </c>
      <c r="AA124" s="13">
        <v>1284803.01</v>
      </c>
      <c r="AB124" s="13">
        <v>158600</v>
      </c>
      <c r="AC124" s="13">
        <v>124603.98</v>
      </c>
      <c r="AD124" s="13">
        <v>2597257.9500000002</v>
      </c>
      <c r="AE124" s="13">
        <v>227404.75</v>
      </c>
      <c r="AF124" s="13">
        <f>SUM(E124:AE124)</f>
        <v>14208683.25</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614593</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c r="X155" s="13">
        <v>9217.26</v>
      </c>
      <c r="Y155" s="13">
        <v>77353.789999999994</v>
      </c>
      <c r="Z155" s="13">
        <v>34988.94</v>
      </c>
      <c r="AA155" s="13">
        <v>0</v>
      </c>
      <c r="AB155" s="13">
        <v>-15808.55</v>
      </c>
      <c r="AC155" s="13">
        <v>0</v>
      </c>
      <c r="AD155" s="13">
        <v>97289.64</v>
      </c>
      <c r="AE155" s="13">
        <v>-35326.9</v>
      </c>
      <c r="AF155" s="13">
        <f>SUM(E155:AE155)</f>
        <v>647342.49</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614593</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614593.00000000745</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-7.4505805969238281E-9</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32112170.399999999</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32771772.600000001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A12" sqref="A12"/>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2022'!$E$4:$AF$168,2,0)</f>
        <v>1691547.51</v>
      </c>
    </row>
    <row r="9" spans="1:5" ht="15" x14ac:dyDescent="0.25">
      <c r="A9" s="79"/>
      <c r="B9" s="79">
        <v>30</v>
      </c>
      <c r="C9" s="79"/>
      <c r="D9" s="79" t="s">
        <v>61</v>
      </c>
      <c r="E9" s="80">
        <f>HLOOKUP($D$5,'Syndicats comptes 2022'!$E$4:$AF$168,3,0)</f>
        <v>381344.05</v>
      </c>
    </row>
    <row r="10" spans="1:5" x14ac:dyDescent="0.2">
      <c r="C10" s="8">
        <v>300</v>
      </c>
      <c r="D10" s="8" t="s">
        <v>80</v>
      </c>
      <c r="E10" s="13">
        <f>HLOOKUP($D$5,'Syndicats comptes 2022'!$E$4:$AF$168,4,0)</f>
        <v>21724.1</v>
      </c>
    </row>
    <row r="11" spans="1:5" x14ac:dyDescent="0.2">
      <c r="C11" s="8">
        <v>301</v>
      </c>
      <c r="D11" s="8" t="s">
        <v>81</v>
      </c>
      <c r="E11" s="13">
        <f>HLOOKUP($D$5,'Syndicats comptes 2022'!$E$4:$AF$168,5,0)</f>
        <v>298856.65000000002</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60583.3</v>
      </c>
    </row>
    <row r="16" spans="1:5" x14ac:dyDescent="0.2">
      <c r="C16" s="8">
        <v>306</v>
      </c>
      <c r="D16" s="8" t="s">
        <v>85</v>
      </c>
      <c r="E16" s="13">
        <f>HLOOKUP($D$5,'Syndicats comptes 2022'!$E$4:$AF$168,10,0)</f>
        <v>0</v>
      </c>
    </row>
    <row r="17" spans="2:5" x14ac:dyDescent="0.2">
      <c r="C17" s="8">
        <v>309</v>
      </c>
      <c r="D17" s="8" t="s">
        <v>86</v>
      </c>
      <c r="E17" s="13">
        <f>HLOOKUP($D$5,'Syndicats comptes 2022'!$E$4:$AF$168,11,0)</f>
        <v>180</v>
      </c>
    </row>
    <row r="18" spans="2:5" x14ac:dyDescent="0.2">
      <c r="E18" s="13"/>
    </row>
    <row r="19" spans="2:5" ht="15" x14ac:dyDescent="0.25">
      <c r="B19" s="79">
        <v>31</v>
      </c>
      <c r="C19" s="79"/>
      <c r="D19" s="79" t="s">
        <v>87</v>
      </c>
      <c r="E19" s="80">
        <f>HLOOKUP($D$5,'Syndicats comptes 2022'!$E$4:$AF$168,13,0)</f>
        <v>550749.17000000004</v>
      </c>
    </row>
    <row r="20" spans="2:5" x14ac:dyDescent="0.2">
      <c r="C20" s="8">
        <v>310</v>
      </c>
      <c r="D20" s="8" t="s">
        <v>88</v>
      </c>
      <c r="E20" s="13">
        <f>HLOOKUP($D$5,'Syndicats comptes 2022'!$E$4:$AF$168,14,0)</f>
        <v>150272.75</v>
      </c>
    </row>
    <row r="21" spans="2:5" x14ac:dyDescent="0.2">
      <c r="C21" s="8">
        <v>311</v>
      </c>
      <c r="D21" s="8" t="s">
        <v>449</v>
      </c>
      <c r="E21" s="13">
        <f>HLOOKUP($D$5,'Syndicats comptes 2022'!$E$4:$AF$168,15,0)</f>
        <v>21026.52</v>
      </c>
    </row>
    <row r="22" spans="2:5" x14ac:dyDescent="0.2">
      <c r="C22" s="8">
        <v>312</v>
      </c>
      <c r="D22" s="8" t="s">
        <v>90</v>
      </c>
      <c r="E22" s="13">
        <f>HLOOKUP($D$5,'Syndicats comptes 2022'!$E$4:$AF$168,16,0)</f>
        <v>108837.67</v>
      </c>
    </row>
    <row r="23" spans="2:5" x14ac:dyDescent="0.2">
      <c r="C23" s="8">
        <v>313</v>
      </c>
      <c r="D23" s="8" t="s">
        <v>91</v>
      </c>
      <c r="E23" s="13">
        <f>HLOOKUP($D$5,'Syndicats comptes 2022'!$E$4:$AF$168,17,0)</f>
        <v>139002.75</v>
      </c>
    </row>
    <row r="24" spans="2:5" x14ac:dyDescent="0.2">
      <c r="C24" s="8">
        <v>314</v>
      </c>
      <c r="D24" s="8" t="s">
        <v>841</v>
      </c>
      <c r="E24" s="13">
        <f>HLOOKUP($D$5,'Syndicats comptes 2022'!$E$4:$AF$168,18,0)</f>
        <v>77154.23</v>
      </c>
    </row>
    <row r="25" spans="2:5" x14ac:dyDescent="0.2">
      <c r="C25" s="8">
        <v>315</v>
      </c>
      <c r="D25" s="8" t="s">
        <v>92</v>
      </c>
      <c r="E25" s="13">
        <f>HLOOKUP($D$5,'Syndicats comptes 2022'!$E$4:$AF$168,19,0)</f>
        <v>51786.83</v>
      </c>
    </row>
    <row r="26" spans="2:5" x14ac:dyDescent="0.2">
      <c r="C26" s="8">
        <v>316</v>
      </c>
      <c r="D26" s="8" t="s">
        <v>93</v>
      </c>
      <c r="E26" s="13">
        <f>HLOOKUP($D$5,'Syndicats comptes 2022'!$E$4:$AF$168,20,0)</f>
        <v>0</v>
      </c>
    </row>
    <row r="27" spans="2:5" x14ac:dyDescent="0.2">
      <c r="C27" s="8">
        <v>317</v>
      </c>
      <c r="D27" s="8" t="s">
        <v>94</v>
      </c>
      <c r="E27" s="13">
        <f>HLOOKUP($D$5,'Syndicats comptes 2022'!$E$4:$AF$168,21,0)</f>
        <v>2619.79</v>
      </c>
    </row>
    <row r="28" spans="2:5" x14ac:dyDescent="0.2">
      <c r="C28" s="8">
        <v>318</v>
      </c>
      <c r="D28" s="8" t="s">
        <v>95</v>
      </c>
      <c r="E28" s="13">
        <f>HLOOKUP($D$5,'Syndicats comptes 2022'!$E$4:$AF$168,22,0)</f>
        <v>-216.9</v>
      </c>
    </row>
    <row r="29" spans="2:5" x14ac:dyDescent="0.2">
      <c r="C29" s="8">
        <v>319</v>
      </c>
      <c r="D29" s="8" t="s">
        <v>96</v>
      </c>
      <c r="E29" s="13">
        <f>HLOOKUP($D$5,'Syndicats comptes 2022'!$E$4:$AF$168,23,0)</f>
        <v>265.52999999999997</v>
      </c>
    </row>
    <row r="30" spans="2:5" x14ac:dyDescent="0.2">
      <c r="E30" s="13"/>
    </row>
    <row r="31" spans="2:5" ht="15" x14ac:dyDescent="0.25">
      <c r="B31" s="79">
        <v>33</v>
      </c>
      <c r="C31" s="79"/>
      <c r="D31" s="79" t="s">
        <v>97</v>
      </c>
      <c r="E31" s="80">
        <f>HLOOKUP($D$5,'Syndicats comptes 2022'!$E$4:$AF$168,25,0)</f>
        <v>153387.85</v>
      </c>
    </row>
    <row r="32" spans="2:5" x14ac:dyDescent="0.2">
      <c r="C32" s="8">
        <v>330</v>
      </c>
      <c r="D32" s="8" t="s">
        <v>99</v>
      </c>
      <c r="E32" s="13">
        <f>HLOOKUP($D$5,'Syndicats comptes 2022'!$E$4:$AF$168,26,0)</f>
        <v>153387.85</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24306.44</v>
      </c>
    </row>
    <row r="36" spans="2:5" x14ac:dyDescent="0.2">
      <c r="C36" s="8">
        <v>340</v>
      </c>
      <c r="D36" s="8" t="s">
        <v>101</v>
      </c>
      <c r="E36" s="13">
        <f>HLOOKUP($D$5,'Syndicats comptes 2022'!$E$4:$AF$168,30,0)</f>
        <v>24306.44</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581760</v>
      </c>
    </row>
    <row r="44" spans="2:5" x14ac:dyDescent="0.2">
      <c r="C44" s="8">
        <v>350</v>
      </c>
      <c r="D44" s="8" t="s">
        <v>108</v>
      </c>
      <c r="E44" s="13">
        <f>HLOOKUP($D$5,'Syndicats comptes 2022'!$E$4:$AF$168,38,0)</f>
        <v>0</v>
      </c>
    </row>
    <row r="45" spans="2:5" x14ac:dyDescent="0.2">
      <c r="C45" s="8">
        <v>351</v>
      </c>
      <c r="D45" s="8" t="s">
        <v>107</v>
      </c>
      <c r="E45" s="13">
        <f>HLOOKUP($D$5,'Syndicats comptes 2022'!$E$4:$AF$168,39,0)</f>
        <v>581760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1691547.51</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159366.85</v>
      </c>
    </row>
    <row r="93" spans="2:5" x14ac:dyDescent="0.2">
      <c r="C93" s="8">
        <v>420</v>
      </c>
      <c r="D93" s="8" t="s">
        <v>147</v>
      </c>
      <c r="E93" s="13">
        <f>HLOOKUP($D$5,'Syndicats comptes 2022'!$E$4:$AF$168,87,0)</f>
        <v>0</v>
      </c>
    </row>
    <row r="94" spans="2:5" x14ac:dyDescent="0.2">
      <c r="C94" s="8">
        <v>421</v>
      </c>
      <c r="D94" s="8" t="s">
        <v>148</v>
      </c>
      <c r="E94" s="13">
        <f>HLOOKUP($D$5,'Syndicats comptes 2022'!$E$4:$AF$168,88,0)</f>
        <v>4800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4232.75</v>
      </c>
    </row>
    <row r="98" spans="2:5" x14ac:dyDescent="0.2">
      <c r="C98" s="8">
        <v>425</v>
      </c>
      <c r="D98" s="8" t="s">
        <v>152</v>
      </c>
      <c r="E98" s="13">
        <f>HLOOKUP($D$5,'Syndicats comptes 2022'!$E$4:$AF$168,92,0)</f>
        <v>25927.599999999999</v>
      </c>
    </row>
    <row r="99" spans="2:5" x14ac:dyDescent="0.2">
      <c r="C99" s="8">
        <v>426</v>
      </c>
      <c r="D99" s="8" t="s">
        <v>153</v>
      </c>
      <c r="E99" s="13">
        <f>HLOOKUP($D$5,'Syndicats comptes 2022'!$E$4:$AF$168,93,0)</f>
        <v>124406.5</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69580</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88.3</v>
      </c>
    </row>
    <row r="110" spans="2:5" x14ac:dyDescent="0.2">
      <c r="C110" s="8">
        <v>440</v>
      </c>
      <c r="D110" s="8" t="s">
        <v>162</v>
      </c>
      <c r="E110" s="13">
        <f>HLOOKUP($D$5,'Syndicats comptes 2022'!$E$4:$AF$168,104,0)</f>
        <v>88.3</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177420.79999999999</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177420.79999999999</v>
      </c>
    </row>
    <row r="124" spans="2:5" x14ac:dyDescent="0.2">
      <c r="E124" s="13"/>
    </row>
    <row r="125" spans="2:5" ht="15" x14ac:dyDescent="0.25">
      <c r="B125" s="81">
        <v>46</v>
      </c>
      <c r="C125" s="81"/>
      <c r="D125" s="81" t="s">
        <v>174</v>
      </c>
      <c r="E125" s="82">
        <f>HLOOKUP($D$5,'Syndicats comptes 2022'!$E$4:$AF$168,119,0)</f>
        <v>1285091.56</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1284803.01</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288.55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0</v>
      </c>
    </row>
    <row r="158" spans="1:5" x14ac:dyDescent="0.2">
      <c r="C158" s="8">
        <v>900</v>
      </c>
      <c r="D158" s="8" t="s">
        <v>195</v>
      </c>
      <c r="E158" s="13">
        <f>HLOOKUP($D$5,'Syndicats comptes 2022'!$E$4:$AF$168,152,0)</f>
        <v>0</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A12" sqref="A12"/>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614593</v>
      </c>
    </row>
    <row r="8" spans="1:3" x14ac:dyDescent="0.2">
      <c r="A8" s="101">
        <v>900</v>
      </c>
      <c r="B8" s="102" t="s">
        <v>218</v>
      </c>
      <c r="C8" s="103">
        <f>'Syndicats comptes 2022'!AF155</f>
        <v>647342.49</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A12" sqref="A12"/>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801</v>
      </c>
    </row>
    <row r="9" spans="1:3" ht="15" x14ac:dyDescent="0.25">
      <c r="A9" s="100" t="s">
        <v>215</v>
      </c>
      <c r="B9" s="100" t="s">
        <v>200</v>
      </c>
      <c r="C9" s="100" t="s">
        <v>852</v>
      </c>
    </row>
    <row r="10" spans="1:3" x14ac:dyDescent="0.2">
      <c r="A10" s="101">
        <v>90</v>
      </c>
      <c r="B10" s="102" t="s">
        <v>217</v>
      </c>
      <c r="C10" s="103">
        <f>HLOOKUP($B$6,'Syndicats comptes 2022'!$E$4:$AF$169,151,0)</f>
        <v>45462.36</v>
      </c>
    </row>
    <row r="11" spans="1:3" x14ac:dyDescent="0.2">
      <c r="A11" s="101">
        <v>900</v>
      </c>
      <c r="B11" s="102" t="s">
        <v>218</v>
      </c>
      <c r="C11" s="103">
        <f>HLOOKUP($B$6,'Syndicats comptes 2022'!$E$4:$AF$169,152,0)</f>
        <v>45462.36</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12" sqref="A12"/>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32112170.399999999</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32771772.600000001</v>
      </c>
    </row>
    <row r="11" spans="1:3" ht="15" x14ac:dyDescent="0.25">
      <c r="A11" s="102"/>
      <c r="B11" s="104" t="s">
        <v>204</v>
      </c>
      <c r="C11" s="105">
        <f>C10-C9</f>
        <v>659602.20000000298</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873481.56000000308</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668344.90000000317</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A12" sqref="A12"/>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801</v>
      </c>
    </row>
    <row r="8" spans="1:3" ht="15" x14ac:dyDescent="0.25">
      <c r="A8" s="100" t="s">
        <v>199</v>
      </c>
      <c r="B8" s="100" t="s">
        <v>200</v>
      </c>
      <c r="C8" s="100" t="s">
        <v>201</v>
      </c>
    </row>
    <row r="9" spans="1:3" x14ac:dyDescent="0.2">
      <c r="A9" s="101" t="s">
        <v>208</v>
      </c>
      <c r="B9" s="102" t="s">
        <v>202</v>
      </c>
      <c r="C9" s="103">
        <f>HLOOKUP($B$6,'Syndicats comptes 2022'!$E$4:$AF$168,164,0)</f>
        <v>63440.39</v>
      </c>
    </row>
    <row r="10" spans="1:3" x14ac:dyDescent="0.2">
      <c r="A10" s="101" t="s">
        <v>209</v>
      </c>
      <c r="B10" s="102" t="s">
        <v>203</v>
      </c>
      <c r="C10" s="103">
        <f>HLOOKUP($B$6,'Syndicats comptes 2022'!$E$4:$AF$168,165,0)</f>
        <v>72843.350000000006</v>
      </c>
    </row>
    <row r="11" spans="1:3" ht="15" x14ac:dyDescent="0.25">
      <c r="A11" s="102"/>
      <c r="B11" s="104" t="s">
        <v>204</v>
      </c>
      <c r="C11" s="105">
        <f>C10-C9</f>
        <v>9402.9600000000064</v>
      </c>
    </row>
    <row r="12" spans="1:3" x14ac:dyDescent="0.2">
      <c r="A12" s="102"/>
      <c r="B12" s="102"/>
      <c r="C12" s="102"/>
    </row>
    <row r="13" spans="1:3" x14ac:dyDescent="0.2">
      <c r="A13" s="102">
        <v>34</v>
      </c>
      <c r="B13" s="102" t="s">
        <v>100</v>
      </c>
      <c r="C13" s="103">
        <f>HLOOKUP($B$6,'Syndicats comptes 2022'!$E$4:$AF$168,29,0)</f>
        <v>106346.37000000001</v>
      </c>
    </row>
    <row r="14" spans="1:3" x14ac:dyDescent="0.2">
      <c r="A14" s="102">
        <v>44</v>
      </c>
      <c r="B14" s="102" t="s">
        <v>161</v>
      </c>
      <c r="C14" s="103">
        <f>HLOOKUP($B$6,'Syndicats comptes 2022'!$E$4:$AF$168,103,0)</f>
        <v>142405.76999999999</v>
      </c>
    </row>
    <row r="15" spans="1:3" ht="15" x14ac:dyDescent="0.25">
      <c r="A15" s="102"/>
      <c r="B15" s="104" t="s">
        <v>237</v>
      </c>
      <c r="C15" s="105">
        <f>C14-C13</f>
        <v>36059.39999999998</v>
      </c>
    </row>
    <row r="16" spans="1:3" x14ac:dyDescent="0.2">
      <c r="A16" s="102"/>
      <c r="B16" s="102"/>
      <c r="C16" s="102"/>
    </row>
    <row r="17" spans="1:3" ht="15" x14ac:dyDescent="0.25">
      <c r="A17" s="102"/>
      <c r="B17" s="104" t="s">
        <v>205</v>
      </c>
      <c r="C17" s="105">
        <f>C11+C15</f>
        <v>45462.359999999986</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45462.359999999986</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W5" activePane="bottomRight" state="frozen"/>
      <selection activeCell="A12" sqref="A12"/>
      <selection pane="topRight" activeCell="A12" sqref="A12"/>
      <selection pane="bottomLeft" activeCell="A12" sqref="A12"/>
      <selection pane="bottomRight" activeCell="A12" sqref="A12"/>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160137847.59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40347699.629999995</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22921896.640000004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c r="Y8" s="13">
        <v>0</v>
      </c>
      <c r="Z8" s="13">
        <v>6362.61</v>
      </c>
      <c r="AA8" s="13">
        <v>583.20000000000005</v>
      </c>
      <c r="AB8" s="13">
        <v>0</v>
      </c>
      <c r="AC8" s="13">
        <v>166.2</v>
      </c>
      <c r="AD8" s="13">
        <v>96.15</v>
      </c>
      <c r="AE8" s="13">
        <v>1080.7</v>
      </c>
      <c r="AF8" s="13">
        <v>105</v>
      </c>
      <c r="AG8" s="99">
        <f t="shared" si="1"/>
        <v>13704.960000000001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c r="Y10" s="13">
        <v>2200350.17</v>
      </c>
      <c r="Z10" s="13">
        <v>1579092.65</v>
      </c>
      <c r="AA10" s="13">
        <v>303814.07</v>
      </c>
      <c r="AB10" s="13">
        <v>3283899.32</v>
      </c>
      <c r="AC10" s="13">
        <v>348112.36</v>
      </c>
      <c r="AD10" s="13">
        <v>123069.07</v>
      </c>
      <c r="AE10" s="13">
        <v>158609.92000000001</v>
      </c>
      <c r="AF10" s="13">
        <v>563558.05000000005</v>
      </c>
      <c r="AG10" s="99">
        <f t="shared" si="1"/>
        <v>21812516.550000001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3869592.72</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c r="Y16" s="13">
        <v>285034.44</v>
      </c>
      <c r="Z16" s="13">
        <v>450001.27</v>
      </c>
      <c r="AA16" s="13">
        <v>0</v>
      </c>
      <c r="AB16" s="13">
        <v>47993.2</v>
      </c>
      <c r="AC16" s="13">
        <v>0</v>
      </c>
      <c r="AD16" s="13">
        <v>30948.58</v>
      </c>
      <c r="AE16" s="13">
        <v>261722.35</v>
      </c>
      <c r="AF16" s="13">
        <v>150293.5</v>
      </c>
      <c r="AG16" s="99">
        <f t="shared" si="5"/>
        <v>3493888.7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2998829.4200000009</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c r="Y32" s="13">
        <v>0</v>
      </c>
      <c r="Z32" s="13">
        <v>0</v>
      </c>
      <c r="AA32" s="13">
        <v>0</v>
      </c>
      <c r="AB32" s="13">
        <v>0</v>
      </c>
      <c r="AC32" s="13">
        <v>0</v>
      </c>
      <c r="AD32" s="13">
        <v>0</v>
      </c>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160137847.59</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55155859.170000009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1275273.1300000001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c r="Y144" s="13">
        <v>0</v>
      </c>
      <c r="Z144" s="13">
        <v>0</v>
      </c>
      <c r="AA144" s="13">
        <v>0</v>
      </c>
      <c r="AB144" s="13">
        <v>4660</v>
      </c>
      <c r="AC144" s="13">
        <v>0</v>
      </c>
      <c r="AD144" s="13">
        <v>0</v>
      </c>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c r="Y148" s="13">
        <v>0</v>
      </c>
      <c r="Z148" s="13">
        <v>0</v>
      </c>
      <c r="AA148" s="13">
        <v>0</v>
      </c>
      <c r="AB148" s="13">
        <v>0</v>
      </c>
      <c r="AC148" s="13">
        <v>0</v>
      </c>
      <c r="AD148" s="13">
        <v>0</v>
      </c>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104981988.42</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7059830.6399999987</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c r="Y217" s="19">
        <v>9217.26</v>
      </c>
      <c r="Z217" s="19">
        <v>-63598.28</v>
      </c>
      <c r="AA217" s="19">
        <v>34988.94</v>
      </c>
      <c r="AB217" s="19">
        <v>0</v>
      </c>
      <c r="AC217" s="19">
        <v>-15808.55</v>
      </c>
      <c r="AD217" s="19">
        <v>0</v>
      </c>
      <c r="AE217" s="19">
        <v>97289.64</v>
      </c>
      <c r="AF217" s="19">
        <v>0</v>
      </c>
      <c r="AG217" s="129">
        <f>SUM(F217:AF217)</f>
        <v>421601.78999999992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c r="Y218" s="19">
        <v>780721.75</v>
      </c>
      <c r="Z218" s="19">
        <v>958472.09</v>
      </c>
      <c r="AA218" s="19">
        <v>269070.58</v>
      </c>
      <c r="AB218" s="19">
        <v>0</v>
      </c>
      <c r="AC218" s="19">
        <v>364928.56</v>
      </c>
      <c r="AD218" s="19">
        <v>0</v>
      </c>
      <c r="AE218" s="19">
        <v>194376.68</v>
      </c>
      <c r="AF218" s="19">
        <v>-65480.75</v>
      </c>
      <c r="AG218" s="129">
        <f>SUM(F218:AF218)</f>
        <v>6638228.8499999987</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421601.78999999992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388852.29999999993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A12" sqref="A12"/>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A12" sqref="A12"/>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40347699.629999995</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55155859.170000009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A12" sqref="A12"/>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801</v>
      </c>
    </row>
    <row r="6" spans="1:3" ht="15" customHeight="1" x14ac:dyDescent="0.25">
      <c r="C6" s="33"/>
    </row>
    <row r="7" spans="1:3" ht="15" customHeight="1" x14ac:dyDescent="0.25">
      <c r="C7" s="144" t="s">
        <v>201</v>
      </c>
    </row>
    <row r="8" spans="1:3" x14ac:dyDescent="0.2">
      <c r="A8" s="8">
        <v>10</v>
      </c>
      <c r="B8" s="8" t="s">
        <v>239</v>
      </c>
      <c r="C8" s="13">
        <f>HLOOKUP($B$5,'Syndicats endettement'!C7:AD24,2,0)</f>
        <v>3236632.1</v>
      </c>
    </row>
    <row r="9" spans="1:3" x14ac:dyDescent="0.2">
      <c r="C9" s="13"/>
    </row>
    <row r="10" spans="1:3" x14ac:dyDescent="0.2">
      <c r="A10" s="8">
        <v>20</v>
      </c>
      <c r="B10" s="8" t="s">
        <v>251</v>
      </c>
      <c r="C10" s="13">
        <f>HLOOKUP($B$5,'Syndicats endettement'!$C$7:$AD$21,4,0)</f>
        <v>2664958.42</v>
      </c>
    </row>
    <row r="11" spans="1:3" x14ac:dyDescent="0.2">
      <c r="C11" s="13"/>
    </row>
    <row r="12" spans="1:3" x14ac:dyDescent="0.2">
      <c r="A12" s="8">
        <v>200</v>
      </c>
      <c r="B12" s="8" t="s">
        <v>448</v>
      </c>
      <c r="C12" s="13">
        <f>HLOOKUP($B$5,'Syndicats endettement'!$C$7:$AD$21,6,0)</f>
        <v>23258.42</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2640900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2664158.42</v>
      </c>
    </row>
    <row r="22" spans="1:3" ht="15" x14ac:dyDescent="0.25">
      <c r="B22" s="140" t="s">
        <v>495</v>
      </c>
      <c r="C22" s="142">
        <f>C21-C8</f>
        <v>-572473.68000000017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2023-11-13T07:53:05Z</cp:lastPrinted>
  <dcterms:created xsi:type="dcterms:W3CDTF">2015-10-26T07:38:03Z</dcterms:created>
  <dcterms:modified xsi:type="dcterms:W3CDTF">2023-11-14T07:21:10Z</dcterms:modified>
</cp:coreProperties>
</file>