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6.xml" ContentType="application/vnd.openxmlformats-officedocument.drawing+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55" activeTab="55"/>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4.2 évolution endettement" sheetId="84" state="hidden" r:id="rId26"/>
    <sheet name="5.5 Endettement par commune" sheetId="52" state="hidden" r:id="rId27"/>
    <sheet name="6.1 Investissements" sheetId="34" state="hidden" r:id="rId28"/>
    <sheet name="6.2 Investissements par commune" sheetId="53" state="hidden" r:id="rId29"/>
    <sheet name="7, Définition des indicateurs" sheetId="54" state="hidden" r:id="rId30"/>
    <sheet name="Base de données indicateurs1" sheetId="42" state="hidden" r:id="rId31"/>
    <sheet name="Endett. net + degré d'auto." sheetId="35" state="hidden" r:id="rId32"/>
    <sheet name="Quotité d'intéret + revenus det" sheetId="36" state="hidden" r:id="rId33"/>
    <sheet name="Quotité d'invest + fin." sheetId="37" state="hidden" r:id="rId34"/>
    <sheet name="Quotité d'autofinancement" sheetId="38" state="hidden" r:id="rId35"/>
    <sheet name="Quotient excédent du bilan" sheetId="39" state="hidden" r:id="rId36"/>
    <sheet name="Récapitulatif" sheetId="40" state="hidden" r:id="rId37"/>
    <sheet name="Indicateurs par commune" sheetId="43" state="hidden" r:id="rId38"/>
    <sheet name="Bourgeoisies Comptes 2022" sheetId="55" state="hidden" r:id="rId39"/>
    <sheet name="Comptes 2022 par Bourgeoisie" sheetId="56" state="hidden" r:id="rId40"/>
    <sheet name="Bourgeoisie vue d'ensemble" sheetId="57" state="hidden" r:id="rId41"/>
    <sheet name="Vue d'ensemble par Bourgeoisie" sheetId="58" state="hidden" r:id="rId42"/>
    <sheet name="Bourgeoisie résultats 3 niveaux" sheetId="59" state="hidden" r:id="rId43"/>
    <sheet name="Résultats 3 nivaux par Bourgeoi" sheetId="60" state="hidden" r:id="rId44"/>
    <sheet name="Bourgeoisie autofinancement" sheetId="61" state="hidden" r:id="rId45"/>
    <sheet name="Autofinancement par Bourgeoisie" sheetId="62" state="hidden" r:id="rId46"/>
    <sheet name="Bourgeoisie bilan" sheetId="63" state="hidden" r:id="rId47"/>
    <sheet name="Bilan par bourgeoisie" sheetId="64" state="hidden" r:id="rId48"/>
    <sheet name="Bourgeoisie endettement" sheetId="65" state="hidden" r:id="rId49"/>
    <sheet name="Endettement par bourgeoisie" sheetId="66" state="hidden" r:id="rId50"/>
    <sheet name="Bourgeoisie investissement" sheetId="67" state="hidden" r:id="rId51"/>
    <sheet name="Investissement par bourgeoisie" sheetId="68" state="hidden" r:id="rId52"/>
    <sheet name="Syndicats comptes 2022" sheetId="69" state="hidden" r:id="rId53"/>
    <sheet name="Comptes 2022 par Syndicats" sheetId="70" state="hidden" r:id="rId54"/>
    <sheet name="Syndicats vue d'ensemble" sheetId="71" state="hidden" r:id="rId55"/>
    <sheet name="Vue d'ensemble par syndicat" sheetId="72" r:id="rId56"/>
    <sheet name="Syndicats résultat à 3 niveaux" sheetId="73" state="hidden" r:id="rId57"/>
    <sheet name="Résultat 3 niveaux par syndicat" sheetId="74" state="hidden" r:id="rId58"/>
    <sheet name="Syndicats Bilan" sheetId="75" state="hidden" r:id="rId59"/>
    <sheet name="Bilan par Syndicats" sheetId="76" state="hidden" r:id="rId60"/>
    <sheet name="Syndicats endettement" sheetId="77" state="hidden" r:id="rId61"/>
    <sheet name="Endettement par syndicat" sheetId="78" state="hidden" r:id="rId62"/>
  </sheets>
  <definedNames>
    <definedName name="_xlnm.Print_Area" localSheetId="13">'4.7 Autofinancement'!$A$2:$D$93</definedName>
    <definedName name="_xlnm.Print_Area" localSheetId="45">'Autofinancement par Bourgeoisie'!$A$2:$E$35</definedName>
    <definedName name="_xlnm.Print_Area" localSheetId="36">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8" i="84" l="1"/>
  <c r="U4" i="84"/>
  <c r="U14" i="84"/>
  <c r="U13" i="84"/>
  <c r="U12" i="84"/>
  <c r="U11" i="84"/>
  <c r="T16" i="84"/>
  <c r="U8" i="84"/>
  <c r="T8" i="84"/>
  <c r="U7" i="84"/>
  <c r="U6" i="84"/>
  <c r="U5" i="84"/>
  <c r="U3" i="84"/>
  <c r="Q58" i="84"/>
  <c r="Q57" i="84"/>
  <c r="P58" i="84"/>
  <c r="P57" i="84"/>
  <c r="O58" i="84"/>
  <c r="O57" i="84"/>
  <c r="N58" i="84"/>
  <c r="N57" i="84"/>
  <c r="Q4" i="84"/>
  <c r="Q5" i="84"/>
  <c r="Q6" i="84"/>
  <c r="Q7" i="84"/>
  <c r="Q8" i="84"/>
  <c r="Q9" i="84"/>
  <c r="Q10" i="84"/>
  <c r="Q11" i="84"/>
  <c r="Q12" i="84"/>
  <c r="Q13" i="84"/>
  <c r="Q14" i="84"/>
  <c r="Q15" i="84"/>
  <c r="Q16" i="84"/>
  <c r="Q17" i="84"/>
  <c r="Q18" i="84"/>
  <c r="Q19" i="84"/>
  <c r="Q20" i="84"/>
  <c r="Q21" i="84"/>
  <c r="Q22" i="84"/>
  <c r="Q23" i="84"/>
  <c r="Q24" i="84"/>
  <c r="Q25" i="84"/>
  <c r="Q26" i="84"/>
  <c r="Q27" i="84"/>
  <c r="Q28" i="84"/>
  <c r="Q29" i="84"/>
  <c r="Q30" i="84"/>
  <c r="Q31" i="84"/>
  <c r="Q32" i="84"/>
  <c r="Q33" i="84"/>
  <c r="Q34" i="84"/>
  <c r="Q35" i="84"/>
  <c r="Q36" i="84"/>
  <c r="Q37" i="84"/>
  <c r="Q38" i="84"/>
  <c r="Q39" i="84"/>
  <c r="Q40" i="84"/>
  <c r="Q41" i="84"/>
  <c r="Q42" i="84"/>
  <c r="Q43" i="84"/>
  <c r="Q44" i="84"/>
  <c r="Q45" i="84"/>
  <c r="Q46" i="84"/>
  <c r="Q47" i="84"/>
  <c r="Q48" i="84"/>
  <c r="Q49" i="84"/>
  <c r="Q50" i="84"/>
  <c r="Q51" i="84"/>
  <c r="Q52" i="84"/>
  <c r="Q53" i="84"/>
  <c r="Q54" i="84"/>
  <c r="Q55" i="84"/>
  <c r="P4" i="84"/>
  <c r="P5" i="84"/>
  <c r="P6" i="84"/>
  <c r="P7" i="84"/>
  <c r="P8" i="84"/>
  <c r="P9" i="84"/>
  <c r="P10" i="84"/>
  <c r="P11" i="84"/>
  <c r="P12" i="84"/>
  <c r="P13" i="84"/>
  <c r="P14" i="84"/>
  <c r="P15" i="84"/>
  <c r="P16" i="84"/>
  <c r="P17" i="84"/>
  <c r="P18" i="84"/>
  <c r="P19" i="84"/>
  <c r="P20" i="84"/>
  <c r="P21" i="84"/>
  <c r="P22" i="84"/>
  <c r="P23" i="84"/>
  <c r="P24" i="84"/>
  <c r="P25" i="84"/>
  <c r="P26" i="84"/>
  <c r="P27" i="84"/>
  <c r="P28" i="84"/>
  <c r="P29" i="84"/>
  <c r="P30" i="84"/>
  <c r="P31" i="84"/>
  <c r="P32" i="84"/>
  <c r="P33" i="84"/>
  <c r="P34" i="84"/>
  <c r="P35" i="84"/>
  <c r="P36" i="84"/>
  <c r="P37" i="84"/>
  <c r="P38" i="84"/>
  <c r="P39" i="84"/>
  <c r="P40" i="84"/>
  <c r="P41" i="84"/>
  <c r="P42" i="84"/>
  <c r="P43" i="84"/>
  <c r="P44" i="84"/>
  <c r="P45" i="84"/>
  <c r="P46" i="84"/>
  <c r="P47" i="84"/>
  <c r="P48" i="84"/>
  <c r="P49" i="84"/>
  <c r="P50" i="84"/>
  <c r="P51" i="84"/>
  <c r="P52" i="84"/>
  <c r="P53" i="84"/>
  <c r="P54" i="84"/>
  <c r="P55" i="84"/>
  <c r="O4" i="84"/>
  <c r="O5" i="84"/>
  <c r="O6" i="84"/>
  <c r="O7" i="84"/>
  <c r="O8" i="84"/>
  <c r="O9" i="84"/>
  <c r="O10" i="84"/>
  <c r="O11" i="84"/>
  <c r="O12" i="84"/>
  <c r="O13" i="84"/>
  <c r="O14" i="84"/>
  <c r="O15" i="84"/>
  <c r="O16" i="84"/>
  <c r="O17" i="84"/>
  <c r="O18" i="84"/>
  <c r="O19" i="84"/>
  <c r="O20" i="84"/>
  <c r="O21" i="84"/>
  <c r="O22" i="84"/>
  <c r="O23" i="84"/>
  <c r="O24" i="84"/>
  <c r="O25" i="84"/>
  <c r="O26" i="84"/>
  <c r="O27" i="84"/>
  <c r="O28" i="84"/>
  <c r="O29" i="84"/>
  <c r="O30" i="84"/>
  <c r="O31" i="84"/>
  <c r="O32" i="84"/>
  <c r="O33" i="84"/>
  <c r="O34" i="84"/>
  <c r="O35" i="84"/>
  <c r="O36" i="84"/>
  <c r="O37" i="84"/>
  <c r="O38" i="84"/>
  <c r="O39" i="84"/>
  <c r="O40" i="84"/>
  <c r="O41" i="84"/>
  <c r="O42" i="84"/>
  <c r="O43" i="84"/>
  <c r="O44" i="84"/>
  <c r="O45" i="84"/>
  <c r="O46" i="84"/>
  <c r="O47" i="84"/>
  <c r="O48" i="84"/>
  <c r="O49" i="84"/>
  <c r="O50" i="84"/>
  <c r="O51" i="84"/>
  <c r="O52" i="84"/>
  <c r="O53" i="84"/>
  <c r="O54" i="84"/>
  <c r="O55" i="84"/>
  <c r="N4" i="84"/>
  <c r="N5" i="84"/>
  <c r="N6" i="84"/>
  <c r="N7" i="84"/>
  <c r="N8" i="84"/>
  <c r="N9" i="84"/>
  <c r="N10" i="84"/>
  <c r="N11" i="84"/>
  <c r="N12" i="84"/>
  <c r="N13" i="84"/>
  <c r="N14" i="84"/>
  <c r="N15" i="84"/>
  <c r="N16" i="84"/>
  <c r="N17" i="84"/>
  <c r="N18" i="84"/>
  <c r="N19" i="84"/>
  <c r="N20" i="84"/>
  <c r="N21" i="84"/>
  <c r="N22" i="84"/>
  <c r="N23" i="84"/>
  <c r="N24" i="84"/>
  <c r="N25" i="84"/>
  <c r="N26" i="84"/>
  <c r="N27" i="84"/>
  <c r="N28" i="84"/>
  <c r="N29" i="84"/>
  <c r="N30" i="84"/>
  <c r="N31" i="84"/>
  <c r="N32" i="84"/>
  <c r="N33" i="84"/>
  <c r="N34" i="84"/>
  <c r="N35" i="84"/>
  <c r="N36" i="84"/>
  <c r="N37" i="84"/>
  <c r="N38" i="84"/>
  <c r="N39" i="84"/>
  <c r="N40" i="84"/>
  <c r="N41" i="84"/>
  <c r="N42" i="84"/>
  <c r="N43" i="84"/>
  <c r="N44" i="84"/>
  <c r="N45" i="84"/>
  <c r="N46" i="84"/>
  <c r="N47" i="84"/>
  <c r="N48" i="84"/>
  <c r="N49" i="84"/>
  <c r="N50" i="84"/>
  <c r="N51" i="84"/>
  <c r="N52" i="84"/>
  <c r="N53" i="84"/>
  <c r="N54" i="84"/>
  <c r="N55" i="84"/>
  <c r="Q3" i="84"/>
  <c r="P3" i="84"/>
  <c r="O3" i="84"/>
  <c r="N3" i="84"/>
  <c r="U16" i="84" l="1"/>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3" i="76"/>
  <c r="E45" i="70" l="1"/>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F155" i="69"/>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AG221" i="75" l="1"/>
  <c r="F224" i="76" s="1"/>
  <c r="C12" i="72"/>
  <c r="E158" i="70"/>
  <c r="C11" i="72"/>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AF132" i="69"/>
  <c r="E135" i="70" s="1"/>
  <c r="AF122" i="69"/>
  <c r="E125" i="70" s="1"/>
  <c r="AF154" i="69"/>
  <c r="C7" i="71" s="1"/>
  <c r="C8" i="71"/>
  <c r="AF118" i="69"/>
  <c r="E121" i="70" s="1"/>
  <c r="AF141" i="69"/>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C18" i="78" s="1"/>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C14" i="74" l="1"/>
  <c r="AF165" i="69"/>
  <c r="C19" i="74"/>
  <c r="C13" i="74"/>
  <c r="O226" i="75"/>
  <c r="AB162" i="69"/>
  <c r="AB163" i="69" s="1"/>
  <c r="X162" i="69"/>
  <c r="X163" i="69" s="1"/>
  <c r="H162" i="69"/>
  <c r="H163" i="69" s="1"/>
  <c r="Z162" i="69"/>
  <c r="Z163" i="69" s="1"/>
  <c r="AE226" i="75"/>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F8" i="76" s="1"/>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7"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8"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8"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8"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J17" i="38" s="1"/>
  <c r="J21" i="38" s="1"/>
  <c r="J37" i="40" s="1"/>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R22" i="40"/>
  <c r="R17" i="38"/>
  <c r="R21" i="38" s="1"/>
  <c r="R37" i="40" s="1"/>
  <c r="P22" i="40"/>
  <c r="P17" i="38"/>
  <c r="P21" i="38" s="1"/>
  <c r="P37" i="40" s="1"/>
  <c r="N22" i="40"/>
  <c r="N17" i="38"/>
  <c r="N21" i="38" s="1"/>
  <c r="N37" i="40" s="1"/>
  <c r="L22" i="40"/>
  <c r="L17" i="38"/>
  <c r="L21" i="38" s="1"/>
  <c r="L37" i="40" s="1"/>
  <c r="J22" i="40"/>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T17" i="38" l="1"/>
  <c r="T21" i="38" s="1"/>
  <c r="T37" i="40" s="1"/>
  <c r="T41" i="35"/>
  <c r="T24" i="40" s="1"/>
  <c r="BF33" i="40"/>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7" i="38"/>
  <c r="BG17" i="38" s="1"/>
  <c r="X10"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2" i="39"/>
  <c r="F41" i="40" s="1"/>
  <c r="BF41" i="40" s="1"/>
  <c r="BF10" i="39"/>
  <c r="BF12" i="39" s="1"/>
  <c r="BF21"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BF48" i="42"/>
  <c r="BF49" i="42"/>
  <c r="BF50" i="42"/>
  <c r="D13" i="35" s="1"/>
  <c r="BF51" i="42"/>
  <c r="D11" i="36" s="1"/>
  <c r="BF52" i="42"/>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BF26" i="42"/>
  <c r="D12" i="37" s="1"/>
  <c r="BF27" i="42"/>
  <c r="BF28" i="42"/>
  <c r="BF29" i="42"/>
  <c r="D13" i="37" s="1"/>
  <c r="BF30" i="42"/>
  <c r="D14" i="37" s="1"/>
  <c r="BF31" i="42"/>
  <c r="D15" i="37" s="1"/>
  <c r="BF32" i="42"/>
  <c r="BF33" i="42"/>
  <c r="BF34" i="42"/>
  <c r="BF35" i="42"/>
  <c r="BI18" i="42"/>
  <c r="BH18" i="42"/>
  <c r="BG18" i="42"/>
  <c r="BF18" i="42"/>
  <c r="D7" i="37" s="1"/>
  <c r="BI9" i="42"/>
  <c r="BH9" i="42"/>
  <c r="BG9" i="42"/>
  <c r="D5" i="38"/>
  <c r="D12" i="35" l="1"/>
  <c r="BF37" i="40"/>
  <c r="D36" i="43"/>
  <c r="D29" i="37"/>
  <c r="D28" i="35"/>
  <c r="D26" i="37"/>
  <c r="D11" i="35"/>
  <c r="D10" i="35"/>
  <c r="D30" i="37"/>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D6" i="39"/>
  <c r="BI14" i="42"/>
  <c r="BH14" i="42"/>
  <c r="BG14" i="42"/>
  <c r="BI13" i="42"/>
  <c r="BH13" i="42"/>
  <c r="BG13" i="42"/>
  <c r="D27" i="36"/>
  <c r="BI12" i="42"/>
  <c r="BH12" i="42"/>
  <c r="BG12" i="42"/>
  <c r="BF12" i="42"/>
  <c r="D26" i="36" s="1"/>
  <c r="BI11" i="42"/>
  <c r="BH11" i="42"/>
  <c r="BG11" i="42"/>
  <c r="D25" i="36"/>
  <c r="BI10" i="42"/>
  <c r="BH10" i="42"/>
  <c r="BG10" i="42"/>
  <c r="D24" i="36"/>
  <c r="BI6" i="42"/>
  <c r="BH6" i="42"/>
  <c r="BG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39" i="38"/>
  <c r="D8" i="38"/>
  <c r="D12" i="38" s="1"/>
  <c r="D35" i="40" s="1"/>
  <c r="D32" i="37"/>
  <c r="D16" i="36"/>
  <c r="D8" i="36"/>
  <c r="D39" i="35"/>
  <c r="D34" i="35"/>
  <c r="D15" i="35"/>
  <c r="D10" i="39" s="1"/>
  <c r="D8" i="35"/>
  <c r="D15" i="40" s="1"/>
  <c r="D17" i="38" l="1"/>
  <c r="D19" i="38"/>
  <c r="D34" i="37"/>
  <c r="D36" i="37" s="1"/>
  <c r="D33" i="40" s="1"/>
  <c r="D41" i="35"/>
  <c r="D24" i="40" s="1"/>
  <c r="D12"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AD12" i="77"/>
  <c r="C12" i="78" s="1"/>
  <c r="AD16" i="77"/>
  <c r="C16" i="78" s="1"/>
  <c r="AD14" i="77"/>
  <c r="C14" i="78" s="1"/>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C21" i="78" s="1"/>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C8" i="78" s="1"/>
  <c r="C22" i="78" s="1"/>
  <c r="AD10" i="77"/>
  <c r="C10" i="78" s="1"/>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3" i="38"/>
  <c r="E10" i="38" s="1"/>
  <c r="E3" i="37"/>
  <c r="E3" i="36"/>
  <c r="E3" i="35"/>
  <c r="G9" i="40"/>
  <c r="G4" i="39"/>
  <c r="G3" i="38"/>
  <c r="G10" i="38" s="1"/>
  <c r="G12" i="38" s="1"/>
  <c r="G35" i="40" s="1"/>
  <c r="G3" i="37"/>
  <c r="G3" i="36"/>
  <c r="G3" i="35"/>
  <c r="I9" i="40"/>
  <c r="I4" i="39"/>
  <c r="I3" i="38"/>
  <c r="I10" i="38" s="1"/>
  <c r="I12" i="38" s="1"/>
  <c r="I35" i="40" s="1"/>
  <c r="I3" i="37"/>
  <c r="I3" i="36"/>
  <c r="I3" i="35"/>
  <c r="K9" i="40"/>
  <c r="K4" i="39"/>
  <c r="K3" i="38"/>
  <c r="K10" i="38" s="1"/>
  <c r="K12" i="38" s="1"/>
  <c r="K35" i="40" s="1"/>
  <c r="K3" i="37"/>
  <c r="K3" i="36"/>
  <c r="K3" i="35"/>
  <c r="M9" i="40"/>
  <c r="M4" i="39"/>
  <c r="M3" i="38"/>
  <c r="M10" i="38" s="1"/>
  <c r="M12" i="38" s="1"/>
  <c r="M35" i="40" s="1"/>
  <c r="M3" i="37"/>
  <c r="M3" i="36"/>
  <c r="M3" i="35"/>
  <c r="O9" i="40"/>
  <c r="O4" i="39"/>
  <c r="O3" i="38"/>
  <c r="O10" i="38" s="1"/>
  <c r="O12" i="38" s="1"/>
  <c r="O35" i="40" s="1"/>
  <c r="O3" i="37"/>
  <c r="O3" i="36"/>
  <c r="O3" i="35"/>
  <c r="Q9" i="40"/>
  <c r="Q4" i="39"/>
  <c r="Q3" i="38"/>
  <c r="Q10" i="38" s="1"/>
  <c r="Q12" i="38" s="1"/>
  <c r="Q35" i="40" s="1"/>
  <c r="Q3" i="37"/>
  <c r="Q3" i="36"/>
  <c r="Q3" i="35"/>
  <c r="S9" i="40"/>
  <c r="S4" i="39"/>
  <c r="S3" i="38"/>
  <c r="S10" i="38" s="1"/>
  <c r="S12" i="38" s="1"/>
  <c r="S35" i="40" s="1"/>
  <c r="S3" i="37"/>
  <c r="S3" i="36"/>
  <c r="S3" i="35"/>
  <c r="U9" i="40"/>
  <c r="U4" i="39"/>
  <c r="U3" i="38"/>
  <c r="U10" i="38" s="1"/>
  <c r="U12" i="38" s="1"/>
  <c r="U35" i="40" s="1"/>
  <c r="U3" i="37"/>
  <c r="U3" i="36"/>
  <c r="U3" i="35"/>
  <c r="W9" i="40"/>
  <c r="W4" i="39"/>
  <c r="W3" i="38"/>
  <c r="W10" i="38" s="1"/>
  <c r="W12" i="38" s="1"/>
  <c r="W35" i="40" s="1"/>
  <c r="W3" i="37"/>
  <c r="W3" i="36"/>
  <c r="W3" i="35"/>
  <c r="Y9" i="40"/>
  <c r="Y4" i="39"/>
  <c r="Y3" i="38"/>
  <c r="Y10" i="38" s="1"/>
  <c r="Y12" i="38" s="1"/>
  <c r="Y35" i="40" s="1"/>
  <c r="Y3" i="37"/>
  <c r="Y3" i="36"/>
  <c r="Y3" i="35"/>
  <c r="AA9" i="40"/>
  <c r="AA4" i="39"/>
  <c r="AA3" i="38"/>
  <c r="AA10" i="38" s="1"/>
  <c r="AA12" i="38" s="1"/>
  <c r="AA35" i="40" s="1"/>
  <c r="AA3" i="37"/>
  <c r="AA3" i="36"/>
  <c r="AA3" i="35"/>
  <c r="AC9" i="40"/>
  <c r="AC4" i="39"/>
  <c r="AC3" i="38"/>
  <c r="AC10" i="38" s="1"/>
  <c r="AC12" i="38" s="1"/>
  <c r="AC35" i="40" s="1"/>
  <c r="AC3" i="37"/>
  <c r="AC3" i="36"/>
  <c r="AC3" i="35"/>
  <c r="AE9" i="40"/>
  <c r="AE4" i="39"/>
  <c r="AE3" i="38"/>
  <c r="AE10" i="38" s="1"/>
  <c r="AE12" i="38" s="1"/>
  <c r="AE35" i="40" s="1"/>
  <c r="AE3" i="37"/>
  <c r="AE3" i="36"/>
  <c r="AE3" i="35"/>
  <c r="AG9" i="40"/>
  <c r="AG4" i="39"/>
  <c r="AG3" i="38"/>
  <c r="AG10" i="38" s="1"/>
  <c r="AG12" i="38" s="1"/>
  <c r="AG35" i="40" s="1"/>
  <c r="AG3" i="37"/>
  <c r="AG3" i="36"/>
  <c r="AG3" i="35"/>
  <c r="AI9" i="40"/>
  <c r="AI4" i="39"/>
  <c r="AI3" i="38"/>
  <c r="AI10" i="38" s="1"/>
  <c r="AI12" i="38" s="1"/>
  <c r="AI35" i="40" s="1"/>
  <c r="AI3" i="37"/>
  <c r="AI3" i="36"/>
  <c r="AI3" i="35"/>
  <c r="AK9" i="40"/>
  <c r="AK4" i="39"/>
  <c r="AK3" i="38"/>
  <c r="AK10" i="38" s="1"/>
  <c r="AK3" i="37"/>
  <c r="AK3" i="36"/>
  <c r="AK3" i="35"/>
  <c r="AM9" i="40"/>
  <c r="AM4" i="39"/>
  <c r="AM3" i="38"/>
  <c r="AM10" i="38" s="1"/>
  <c r="AM12" i="38" s="1"/>
  <c r="AM35" i="40" s="1"/>
  <c r="AM3" i="37"/>
  <c r="AM3" i="36"/>
  <c r="AM3" i="35"/>
  <c r="AO9" i="40"/>
  <c r="AO4" i="39"/>
  <c r="AO3" i="38"/>
  <c r="AO10" i="38" s="1"/>
  <c r="AO12" i="38" s="1"/>
  <c r="AO35" i="40" s="1"/>
  <c r="AO3" i="37"/>
  <c r="AO3" i="36"/>
  <c r="AO3" i="35"/>
  <c r="AQ9" i="40"/>
  <c r="AQ4" i="39"/>
  <c r="AQ3" i="38"/>
  <c r="AQ10" i="38" s="1"/>
  <c r="AQ12" i="38" s="1"/>
  <c r="AQ35" i="40" s="1"/>
  <c r="AQ3" i="37"/>
  <c r="AQ3" i="36"/>
  <c r="AQ3" i="35"/>
  <c r="AS9" i="40"/>
  <c r="AS4" i="39"/>
  <c r="AS3" i="38"/>
  <c r="AS10" i="38" s="1"/>
  <c r="AS12" i="38" s="1"/>
  <c r="AS35" i="40" s="1"/>
  <c r="AS3" i="37"/>
  <c r="AS3" i="36"/>
  <c r="AS3" i="35"/>
  <c r="AU9" i="40"/>
  <c r="AU4" i="39"/>
  <c r="AU3" i="38"/>
  <c r="AU10" i="38" s="1"/>
  <c r="AU12" i="38" s="1"/>
  <c r="AU35" i="40" s="1"/>
  <c r="AU3" i="37"/>
  <c r="AU3" i="36"/>
  <c r="AU3" i="35"/>
  <c r="AW9" i="40"/>
  <c r="AW4" i="39"/>
  <c r="AW3" i="38"/>
  <c r="AW10" i="38" s="1"/>
  <c r="AW12" i="38" s="1"/>
  <c r="AW35" i="40" s="1"/>
  <c r="AW3" i="37"/>
  <c r="AW3" i="36"/>
  <c r="AW3" i="35"/>
  <c r="AY9" i="40"/>
  <c r="AY4" i="39"/>
  <c r="AY3" i="38"/>
  <c r="AY10" i="38" s="1"/>
  <c r="AY12" i="38" s="1"/>
  <c r="AY35" i="40" s="1"/>
  <c r="AY3" i="37"/>
  <c r="AY3" i="36"/>
  <c r="AY3" i="35"/>
  <c r="BA9" i="40"/>
  <c r="BA4" i="39"/>
  <c r="BA3" i="38"/>
  <c r="BA10" i="38" s="1"/>
  <c r="BA12" i="38" s="1"/>
  <c r="BA35" i="40" s="1"/>
  <c r="BA3" i="37"/>
  <c r="BA3" i="36"/>
  <c r="BA3" i="35"/>
  <c r="BC9" i="40"/>
  <c r="BC4" i="39"/>
  <c r="BC3" i="38"/>
  <c r="BC10" i="38" s="1"/>
  <c r="BC12" i="38" s="1"/>
  <c r="BC35" i="40" s="1"/>
  <c r="BC3" i="37"/>
  <c r="BC3" i="36"/>
  <c r="BC3" i="35"/>
  <c r="BE9" i="40"/>
  <c r="BE4" i="39"/>
  <c r="BE3" i="38"/>
  <c r="BE10" i="38" s="1"/>
  <c r="BE12" i="38" s="1"/>
  <c r="BE35" i="40" s="1"/>
  <c r="BE3" i="37"/>
  <c r="BE3" i="36"/>
  <c r="BE3" i="35"/>
  <c r="F9" i="40"/>
  <c r="F4" i="39"/>
  <c r="F3" i="38"/>
  <c r="F10" i="38" s="1"/>
  <c r="F12" i="38" s="1"/>
  <c r="F35" i="40" s="1"/>
  <c r="F3" i="37"/>
  <c r="F3" i="36"/>
  <c r="F3" i="35"/>
  <c r="H9" i="40"/>
  <c r="H4" i="39"/>
  <c r="H3" i="38"/>
  <c r="H10" i="38" s="1"/>
  <c r="H12" i="38" s="1"/>
  <c r="H35" i="40" s="1"/>
  <c r="H3" i="37"/>
  <c r="H3" i="36"/>
  <c r="H3" i="35"/>
  <c r="J3" i="37"/>
  <c r="J3" i="36"/>
  <c r="J9" i="40"/>
  <c r="J4" i="39"/>
  <c r="J3" i="38"/>
  <c r="J10" i="38" s="1"/>
  <c r="J12" i="38" s="1"/>
  <c r="J35" i="40" s="1"/>
  <c r="J3" i="35"/>
  <c r="L9" i="40"/>
  <c r="L4" i="39"/>
  <c r="L3" i="38"/>
  <c r="L10" i="38" s="1"/>
  <c r="L12" i="38" s="1"/>
  <c r="L35" i="40" s="1"/>
  <c r="L3" i="37"/>
  <c r="L3" i="36"/>
  <c r="L3" i="35"/>
  <c r="N9" i="40"/>
  <c r="N4" i="39"/>
  <c r="N3" i="38"/>
  <c r="N10" i="38" s="1"/>
  <c r="N12" i="38" s="1"/>
  <c r="N35" i="40" s="1"/>
  <c r="N3" i="37"/>
  <c r="N3" i="36"/>
  <c r="N3" i="35"/>
  <c r="P9" i="40"/>
  <c r="P4" i="39"/>
  <c r="P3" i="38"/>
  <c r="P10" i="38" s="1"/>
  <c r="P12" i="38" s="1"/>
  <c r="P35" i="40" s="1"/>
  <c r="P3" i="37"/>
  <c r="P3" i="36"/>
  <c r="P3" i="35"/>
  <c r="R3" i="37"/>
  <c r="R3" i="36"/>
  <c r="R9" i="40"/>
  <c r="R4" i="39"/>
  <c r="R3" i="38"/>
  <c r="R10" i="38" s="1"/>
  <c r="R12" i="38" s="1"/>
  <c r="R35" i="40" s="1"/>
  <c r="R3" i="35"/>
  <c r="T9" i="40"/>
  <c r="T4" i="39"/>
  <c r="T3" i="38"/>
  <c r="T10" i="38" s="1"/>
  <c r="T12" i="38" s="1"/>
  <c r="T35" i="40" s="1"/>
  <c r="T3" i="37"/>
  <c r="T3" i="36"/>
  <c r="T3" i="35"/>
  <c r="V9" i="40"/>
  <c r="V4" i="39"/>
  <c r="V3" i="38"/>
  <c r="V10" i="38" s="1"/>
  <c r="V12" i="38" s="1"/>
  <c r="V35" i="40" s="1"/>
  <c r="V3" i="37"/>
  <c r="V3" i="36"/>
  <c r="V3" i="35"/>
  <c r="X9" i="40"/>
  <c r="X4" i="39"/>
  <c r="X3" i="38"/>
  <c r="X10" i="38" s="1"/>
  <c r="X3" i="37"/>
  <c r="X3" i="36"/>
  <c r="X3" i="35"/>
  <c r="Z3" i="37"/>
  <c r="Z3" i="36"/>
  <c r="Z9" i="40"/>
  <c r="Z4" i="39"/>
  <c r="Z3" i="38"/>
  <c r="Z10" i="38" s="1"/>
  <c r="Z12" i="38" s="1"/>
  <c r="Z35" i="40" s="1"/>
  <c r="Z3" i="35"/>
  <c r="AB9" i="40"/>
  <c r="AB4" i="39"/>
  <c r="AB3" i="38"/>
  <c r="AB10" i="38" s="1"/>
  <c r="AB12" i="38" s="1"/>
  <c r="AB35" i="40" s="1"/>
  <c r="AB3" i="37"/>
  <c r="AB3" i="36"/>
  <c r="AB3" i="35"/>
  <c r="AD9" i="40"/>
  <c r="AD4" i="39"/>
  <c r="AD3" i="38"/>
  <c r="AD10" i="38" s="1"/>
  <c r="AD12" i="38" s="1"/>
  <c r="AD35" i="40" s="1"/>
  <c r="AD3" i="37"/>
  <c r="AD3" i="36"/>
  <c r="AD3" i="35"/>
  <c r="AF9" i="40"/>
  <c r="AF4" i="39"/>
  <c r="AF3" i="38"/>
  <c r="AF10" i="38" s="1"/>
  <c r="AF12" i="38" s="1"/>
  <c r="AF35" i="40" s="1"/>
  <c r="AF3" i="37"/>
  <c r="AF3" i="36"/>
  <c r="AF3" i="35"/>
  <c r="AH3" i="37"/>
  <c r="AH3" i="36"/>
  <c r="AH9" i="40"/>
  <c r="AH4" i="39"/>
  <c r="AH3" i="38"/>
  <c r="AH10" i="38" s="1"/>
  <c r="AH12" i="38" s="1"/>
  <c r="AH35" i="40" s="1"/>
  <c r="AH3" i="35"/>
  <c r="AJ9" i="40"/>
  <c r="AJ4" i="39"/>
  <c r="AJ3" i="38"/>
  <c r="AJ10" i="38" s="1"/>
  <c r="AJ12" i="38" s="1"/>
  <c r="AJ35" i="40" s="1"/>
  <c r="AJ3" i="37"/>
  <c r="AJ3" i="36"/>
  <c r="AJ3" i="35"/>
  <c r="AL9" i="40"/>
  <c r="AL4" i="39"/>
  <c r="AL3" i="38"/>
  <c r="AL10" i="38" s="1"/>
  <c r="AL12" i="38" s="1"/>
  <c r="AL35" i="40" s="1"/>
  <c r="AL3" i="37"/>
  <c r="AL3" i="36"/>
  <c r="AL3" i="35"/>
  <c r="AN9" i="40"/>
  <c r="AN4" i="39"/>
  <c r="AN3" i="38"/>
  <c r="AN10" i="38" s="1"/>
  <c r="AN12" i="38" s="1"/>
  <c r="AN35" i="40" s="1"/>
  <c r="AN3" i="37"/>
  <c r="AN3" i="36"/>
  <c r="AN3" i="35"/>
  <c r="AP3" i="37"/>
  <c r="AP9" i="40"/>
  <c r="AP4" i="39"/>
  <c r="AP3" i="38"/>
  <c r="AP10" i="38" s="1"/>
  <c r="AP12" i="38" s="1"/>
  <c r="AP35" i="40" s="1"/>
  <c r="AP3" i="36"/>
  <c r="AP3" i="35"/>
  <c r="AR9" i="40"/>
  <c r="AR4" i="39"/>
  <c r="AR3" i="38"/>
  <c r="AR10" i="38" s="1"/>
  <c r="AR12" i="38" s="1"/>
  <c r="AR35" i="40" s="1"/>
  <c r="AR3" i="37"/>
  <c r="AR3" i="36"/>
  <c r="AR3" i="35"/>
  <c r="AT9" i="40"/>
  <c r="AT4" i="39"/>
  <c r="AT3" i="38"/>
  <c r="AT10" i="38" s="1"/>
  <c r="AT12" i="38" s="1"/>
  <c r="AT35" i="40" s="1"/>
  <c r="AT3" i="37"/>
  <c r="AT3" i="36"/>
  <c r="AT3" i="35"/>
  <c r="AV9" i="40"/>
  <c r="AV4" i="39"/>
  <c r="AV3" i="38"/>
  <c r="AV10" i="38" s="1"/>
  <c r="AV12" i="38" s="1"/>
  <c r="AV35" i="40" s="1"/>
  <c r="AV3" i="37"/>
  <c r="AV3" i="36"/>
  <c r="AV3" i="35"/>
  <c r="AX3" i="37"/>
  <c r="AX9" i="40"/>
  <c r="AX4" i="39"/>
  <c r="AX3" i="38"/>
  <c r="AX10" i="38" s="1"/>
  <c r="AX12" i="38" s="1"/>
  <c r="AX35" i="40" s="1"/>
  <c r="AX3" i="36"/>
  <c r="AX3" i="35"/>
  <c r="AZ9" i="40"/>
  <c r="AZ4" i="39"/>
  <c r="AZ3" i="38"/>
  <c r="AZ10" i="38" s="1"/>
  <c r="AZ12" i="38" s="1"/>
  <c r="AZ35" i="40" s="1"/>
  <c r="AZ3" i="37"/>
  <c r="AZ3" i="36"/>
  <c r="AZ3" i="35"/>
  <c r="BB9" i="40"/>
  <c r="BB4" i="39"/>
  <c r="BB3" i="38"/>
  <c r="BB10" i="38" s="1"/>
  <c r="BB12" i="38" s="1"/>
  <c r="BB35" i="40" s="1"/>
  <c r="BB3" i="37"/>
  <c r="BB3" i="36"/>
  <c r="BB3" i="35"/>
  <c r="BD9" i="40"/>
  <c r="BD4"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3" i="38"/>
  <c r="BG3" i="37"/>
  <c r="BG3" i="36"/>
  <c r="BG3" i="35"/>
  <c r="BF3" i="37"/>
  <c r="BF9" i="40"/>
  <c r="BF4" i="39"/>
  <c r="BF3" i="38"/>
  <c r="BF3" i="36"/>
  <c r="BF3" i="35"/>
  <c r="BH9" i="40"/>
  <c r="BH4" i="39"/>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<sst xmlns="http://schemas.openxmlformats.org/spreadsheetml/2006/main" count="5649" uniqueCount="883">
  <si>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</si>
  <si>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</si>
  <si>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</si>
  <si>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</si>
  <si>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</si>
  <si>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</si>
  <si>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</si>
  <si>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</si>
  <si>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</si>
  <si>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</si>
  <si>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</si>
  <si>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</si>
  <si>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</si>
  <si>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</si>
  <si>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</si>
  <si>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</si>
  <si>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</si>
  <si>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</si>
  <si>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</si>
  <si>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</si>
  <si>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</si>
  <si>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</si>
  <si>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</si>
  <si>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</si>
  <si>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</si>
  <si>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</si>
  <si>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</si>
  <si>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</si>
  <si>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</si>
  <si>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</si>
  <si>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</si>
  <si>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</si>
  <si>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</si>
  <si>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</si>
  <si>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</si>
  <si>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</si>
  <si>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</si>
  <si>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</si>
  <si>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</si>
  <si>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</si>
  <si>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</si>
  <si>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</si>
  <si>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</si>
  <si>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</si>
  <si>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</si>
  <si>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</si>
  <si>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</si>
  <si>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</si>
  <si>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</si>
  <si>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</si>
  <si>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</si>
  <si>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</si>
  <si>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</si>
  <si>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</si>
  <si>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</si>
  <si>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</si>
  <si>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</si>
  <si>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</si>
  <si>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</si>
  <si>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</si>
  <si>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</si>
  <si>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</si>
  <si>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</si>
  <si>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</si>
  <si>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</si>
  <si>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</si>
  <si>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</si>
  <si>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</si>
  <si>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</si>
  <si>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</si>
  <si>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</si>
  <si>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</si>
  <si>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</si>
  <si>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</si>
  <si>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</si>
  <si>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</si>
  <si>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</si>
  <si>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</si>
  <si>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</si>
  <si>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</si>
  <si>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</si>
  <si>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</si>
  <si>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</si>
  <si>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</si>
  <si>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</si>
  <si>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</si>
  <si>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</si>
  <si>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</si>
  <si>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</si>
  <si>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</si>
  <si>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</si>
  <si>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</si>
  <si>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</si>
  <si>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</si>
  <si>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</si>
  <si>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</si>
  <si>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</si>
  <si>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</si>
  <si>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</si>
  <si>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</si>
  <si>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</si>
  <si>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</si>
  <si>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</si>
  <si>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</si>
  <si>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</si>
  <si>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</si>
  <si>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</si>
  <si>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</si>
  <si>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</si>
  <si>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</si>
  <si>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</si>
  <si>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</si>
  <si>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</si>
  <si>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</si>
  <si>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</si>
  <si>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</si>
  <si>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</si>
  <si>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</si>
  <si>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</si>
  <si>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</si>
  <si>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</si>
  <si>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</si>
  <si>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</si>
  <si>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</si>
  <si>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</si>
  <si>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</si>
  <si>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</si>
  <si>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</si>
  <si>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</si>
  <si>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</si>
  <si>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</si>
  <si>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</si>
  <si>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</si>
  <si>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</si>
  <si>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</si>
  <si>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</si>
  <si>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</si>
  <si>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</si>
  <si>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</si>
  <si>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</si>
  <si>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</si>
  <si>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</si>
  <si>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</si>
  <si>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</si>
  <si>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</si>
  <si>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</si>
  <si>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</si>
  <si>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</si>
  <si>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</si>
  <si>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</si>
  <si>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</si>
  <si>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</si>
  <si>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</si>
  <si>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</si>
  <si>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</si>
  <si>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</si>
  <si>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</si>
  <si>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</si>
  <si>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</si>
  <si>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</si>
  <si>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</si>
  <si>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</si>
  <si>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</si>
  <si>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</si>
  <si>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</si>
  <si>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</si>
  <si>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</si>
  <si>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</si>
  <si>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</si>
  <si>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</si>
  <si>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</si>
  <si>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</si>
  <si>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</si>
  <si>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</si>
  <si>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</si>
  <si>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</si>
  <si>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</si>
  <si>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</si>
  <si>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</si>
  <si>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</si>
  <si>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</si>
  <si>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</si>
  <si>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</si>
  <si>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</si>
  <si>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</si>
  <si>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</si>
  <si>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</si>
  <si>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</si>
  <si>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</si>
  <si>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</si>
  <si>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</si>
  <si>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</si>
  <si>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</si>
  <si>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</si>
  <si>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</si>
  <si>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</si>
  <si>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</si>
  <si>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</si>
  <si>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</si>
  <si>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</si>
  <si>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</si>
  <si>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</si>
  <si>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</si>
  <si>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</si>
  <si>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</si>
  <si>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</si>
  <si>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</si>
  <si>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</si>
  <si>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</si>
  <si>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</si>
  <si>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</si>
  <si>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</si>
  <si>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</si>
  <si>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</si>
  <si>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</si>
  <si>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</si>
  <si>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</si>
  <si>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</si>
  <si>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</si>
  <si>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</si>
  <si>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</si>
  <si>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</si>
  <si>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</si>
  <si>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</si>
  <si>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</si>
  <si>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</si>
  <si>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</si>
  <si>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</si>
  <si>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</si>
  <si>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</si>
  <si>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</si>
  <si>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</si>
  <si>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</si>
  <si>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</si>
  <si>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</si>
  <si>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</si>
  <si>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</si>
  <si>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</si>
  <si>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</si>
  <si>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</si>
  <si>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</si>
  <si>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</si>
  <si>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</si>
  <si>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</si>
  <si>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</si>
  <si>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</si>
  <si>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</si>
  <si>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</si>
  <si>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</si>
  <si>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</si>
  <si>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</si>
  <si>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</si>
  <si>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</si>
  <si>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</si>
  <si>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</si>
  <si>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</si>
  <si>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</si>
  <si>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</si>
  <si>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</si>
  <si>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</si>
  <si>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</si>
  <si>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</si>
  <si>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</si>
  <si>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</si>
  <si>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</si>
  <si>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</si>
  <si>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</si>
  <si>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</si>
  <si>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</si>
  <si>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</si>
  <si>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</si>
  <si>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</si>
  <si>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</si>
  <si>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</si>
  <si>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</si>
  <si>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</si>
  <si>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</si>
  <si>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</si>
  <si>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</si>
  <si>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</si>
  <si>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</si>
  <si>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</si>
  <si>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</si>
  <si>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</si>
  <si>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</si>
  <si>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</si>
  <si>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</si>
  <si>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</si>
  <si>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</si>
  <si>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</si>
  <si>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</si>
  <si>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</si>
  <si>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</si>
  <si>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</si>
  <si>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</si>
  <si>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</si>
  <si>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</si>
  <si>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</si>
  <si>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</si>
  <si>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</si>
  <si>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</si>
  <si>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</si>
  <si>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</si>
  <si>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</si>
  <si>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</si>
  <si>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</si>
  <si>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</si>
  <si>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</si>
  <si>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</si>
  <si>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</si>
  <si>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</si>
  <si>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</si>
  <si>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</si>
  <si>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</si>
  <si>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</si>
  <si>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</si>
  <si>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</si>
  <si>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</si>
  <si>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</si>
  <si>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</si>
  <si>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</si>
  <si>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</si>
  <si>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</si>
  <si>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</si>
  <si>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</si>
  <si>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</si>
  <si>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</si>
  <si>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</si>
  <si>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</si>
  <si>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</si>
  <si>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</si>
  <si>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</si>
  <si>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</si>
  <si>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</si>
  <si>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</si>
  <si>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</si>
  <si>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</si>
  <si>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</si>
  <si>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</si>
  <si>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</si>
  <si>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</si>
  <si>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</si>
  <si>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</si>
  <si>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</si>
  <si>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</si>
  <si>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</si>
  <si>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</si>
  <si>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</si>
  <si>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</si>
  <si>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</si>
  <si>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</si>
  <si>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</si>
  <si>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</si>
  <si>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</si>
  <si>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</si>
  <si>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</si>
  <si>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</si>
  <si>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</si>
  <si>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</si>
  <si>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</si>
  <si>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</si>
  <si>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</si>
  <si>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</si>
  <si>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</si>
  <si>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</si>
  <si>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</si>
  <si>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</si>
  <si>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</si>
  <si>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</si>
  <si>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</si>
  <si>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</si>
  <si>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</si>
  <si>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</si>
  <si>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</si>
  <si>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</si>
  <si>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</si>
  <si>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</si>
  <si>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</si>
  <si>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</si>
  <si>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</si>
  <si>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</si>
  <si>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</si>
  <si>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</si>
  <si>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</si>
  <si>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</si>
  <si>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</si>
  <si>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</si>
  <si>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</si>
  <si>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</si>
  <si>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</si>
  <si>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</si>
  <si>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</si>
  <si>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</si>
  <si>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</si>
  <si>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</si>
  <si>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</si>
  <si>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</si>
  <si>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</si>
  <si>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</si>
  <si>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</si>
  <si>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</si>
  <si>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</si>
  <si>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</si>
  <si>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</si>
  <si>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</si>
  <si>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</si>
  <si>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</si>
  <si>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</si>
  <si>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</si>
  <si>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</si>
  <si>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</si>
  <si>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</si>
  <si>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</si>
  <si>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</si>
  <si>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</si>
  <si>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</si>
  <si>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</si>
  <si>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</si>
  <si>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</si>
  <si>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</si>
  <si>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</si>
  <si>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</si>
  <si>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</si>
  <si>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</si>
  <si>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</si>
  <si>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</si>
  <si>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</si>
  <si>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</si>
  <si>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</si>
  <si>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</si>
  <si>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</si>
  <si>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</si>
  <si>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</si>
  <si>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</si>
  <si>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</si>
  <si>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</si>
  <si>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</si>
  <si>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</si>
  <si>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</si>
  <si>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</si>
  <si>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</si>
  <si>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</si>
  <si>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</si>
  <si>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</si>
  <si>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</si>
  <si>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</si>
  <si>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</si>
  <si>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</si>
  <si>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</si>
  <si>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</si>
  <si>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</si>
  <si>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</si>
  <si>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</si>
  <si>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</si>
  <si>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</si>
  <si>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</si>
  <si>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</si>
  <si>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</si>
  <si>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</si>
  <si>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</si>
  <si>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</si>
  <si>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</si>
  <si>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</si>
  <si>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</si>
  <si>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</si>
  <si>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</si>
  <si>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</si>
  <si>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</si>
  <si>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</si>
  <si>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</si>
  <si>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</si>
  <si>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</si>
  <si>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</si>
  <si>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</si>
  <si>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</si>
  <si>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</si>
  <si>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</si>
  <si>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</si>
  <si>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</si>
  <si>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</si>
  <si>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</si>
  <si>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</si>
  <si>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</si>
  <si>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</si>
  <si>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</si>
  <si>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</si>
  <si>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</si>
  <si>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</si>
  <si>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</si>
  <si>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</si>
  <si>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</si>
  <si>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</si>
  <si>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</si>
  <si>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</si>
  <si>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</si>
  <si>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</si>
  <si>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</si>
  <si>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</si>
  <si>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</si>
  <si>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</si>
  <si>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</si>
  <si>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</si>
  <si>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</si>
  <si>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</si>
  <si>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</si>
  <si>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</si>
  <si>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</si>
  <si>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</si>
  <si>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</si>
  <si>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</si>
  <si>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</si>
  <si>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</si>
  <si>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</si>
  <si>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</si>
  <si>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</si>
  <si>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</si>
  <si>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</si>
  <si>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</si>
  <si>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</si>
  <si>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</si>
  <si>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</si>
  <si>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</si>
  <si>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</si>
  <si>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</si>
  <si>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</si>
  <si>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</si>
  <si>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</si>
  <si>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</si>
  <si>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</si>
  <si>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</si>
  <si>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</si>
  <si>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</si>
  <si>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</si>
  <si>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</si>
  <si>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</si>
  <si>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</si>
  <si>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</si>
  <si>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</si>
  <si>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</si>
  <si>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</si>
  <si>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</si>
  <si>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</si>
  <si>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</si>
  <si>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</si>
  <si>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</si>
  <si>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</si>
  <si>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</si>
  <si>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</si>
  <si>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</si>
  <si>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</si>
  <si>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</si>
  <si>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</si>
  <si>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</si>
  <si>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</si>
  <si>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</si>
  <si>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</si>
  <si>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</si>
  <si>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</si>
  <si>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</si>
  <si>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</si>
  <si>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</si>
  <si>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</si>
  <si>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</si>
  <si>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</si>
  <si>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</si>
  <si>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</si>
  <si>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</si>
  <si>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</si>
  <si>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</si>
  <si>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</si>
  <si>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</si>
  <si>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</si>
  <si>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</si>
  <si>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</si>
  <si>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</si>
  <si>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</si>
  <si>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</si>
  <si>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</si>
  <si>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</si>
  <si>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</si>
  <si>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</si>
  <si>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</si>
  <si>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</si>
  <si>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</si>
  <si>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</si>
  <si>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</si>
  <si>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</si>
  <si>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</si>
  <si>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</si>
  <si>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</si>
  <si>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</si>
  <si>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</si>
  <si>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</si>
  <si>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</si>
  <si>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</si>
  <si>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</si>
  <si>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</si>
  <si>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</si>
  <si>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</si>
  <si>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</si>
  <si>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</si>
  <si>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</si>
  <si>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</si>
  <si>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</si>
  <si>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</si>
  <si>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</si>
  <si>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</si>
  <si>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</si>
  <si>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</si>
  <si>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</si>
  <si>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</si>
  <si>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</si>
  <si>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</si>
  <si>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</si>
  <si>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</si>
  <si>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</si>
  <si>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</si>
  <si>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</si>
  <si>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</si>
  <si>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</si>
  <si>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</si>
  <si>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</si>
  <si>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</si>
  <si>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</si>
  <si>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</si>
  <si>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</si>
  <si>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</si>
  <si>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</si>
  <si>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</si>
  <si>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</si>
  <si>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</si>
  <si>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</si>
  <si>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</si>
  <si>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</si>
  <si>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</si>
  <si>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</si>
  <si>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</si>
  <si>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</si>
  <si>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</si>
  <si>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</si>
  <si>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</si>
  <si>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</si>
  <si>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</si>
  <si>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</si>
  <si>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</si>
  <si>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</si>
  <si>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</si>
  <si>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</si>
  <si>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</si>
  <si>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</si>
  <si>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</si>
  <si>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</si>
  <si>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</si>
  <si>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</si>
  <si>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</si>
  <si>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</si>
  <si>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</si>
  <si>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</si>
  <si>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</si>
  <si>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</si>
  <si>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</si>
  <si>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</si>
  <si>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</si>
  <si>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</si>
  <si>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</si>
  <si>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</si>
  <si>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</si>
  <si>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</si>
  <si>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</si>
  <si>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</si>
  <si>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</si>
  <si>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</si>
  <si>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</si>
  <si>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</si>
  <si>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</si>
  <si>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</si>
  <si>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</si>
  <si>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</si>
  <si>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</si>
  <si>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</si>
  <si>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</si>
  <si>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</si>
  <si>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</si>
  <si>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</si>
  <si>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</si>
  <si>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</si>
  <si>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</si>
  <si>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</si>
  <si>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</si>
  <si>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</si>
  <si>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</si>
  <si>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</si>
  <si>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</si>
  <si>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</si>
  <si>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</si>
  <si>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</si>
  <si>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</si>
  <si>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</si>
  <si>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</si>
  <si>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</si>
  <si>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</si>
  <si>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</si>
  <si>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</si>
  <si>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</si>
  <si>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</si>
  <si>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</si>
  <si>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</si>
  <si>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</si>
  <si>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</si>
  <si>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</si>
  <si>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</si>
  <si>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</si>
  <si>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</si>
  <si>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</si>
  <si>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</si>
  <si>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</si>
  <si>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</si>
  <si>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</si>
  <si>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</si>
  <si>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</si>
  <si>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</si>
  <si>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</si>
  <si>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</si>
  <si>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</si>
  <si>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</si>
  <si>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</si>
  <si>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</si>
  <si>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</si>
  <si>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</si>
  <si>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</si>
  <si>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</si>
  <si>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</si>
  <si>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</si>
  <si>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</si>
  <si>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</si>
  <si>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</si>
  <si>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</si>
  <si>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</si>
  <si>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</si>
  <si>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</si>
  <si>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</si>
  <si>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</si>
  <si>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</si>
  <si>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</si>
  <si>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</si>
  <si>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</si>
  <si>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</si>
  <si>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</si>
  <si>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</si>
  <si>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</si>
  <si>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</si>
  <si>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</si>
  <si>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</si>
  <si>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</si>
  <si>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</si>
  <si>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</si>
  <si>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</si>
  <si>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</si>
  <si>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</si>
  <si>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</si>
  <si>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</si>
  <si>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</si>
  <si>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</si>
  <si>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</si>
  <si>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</si>
  <si>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</si>
  <si>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</si>
  <si>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</si>
  <si>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</si>
  <si>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</si>
  <si>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</si>
  <si>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</si>
  <si>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</si>
  <si>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</si>
  <si>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</si>
  <si>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</si>
  <si>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</si>
  <si>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</si>
  <si>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</si>
  <si>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</si>
  <si>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</si>
  <si>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</si>
  <si>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</si>
  <si>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</si>
  <si>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</si>
  <si>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</si>
  <si>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</si>
  <si>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</si>
  <si>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</si>
  <si>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</si>
  <si>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</si>
  <si>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</si>
  <si>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</si>
  <si>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</si>
  <si>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</si>
  <si>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</si>
  <si>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</si>
  <si>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</si>
  <si>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</si>
  <si>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</si>
  <si>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</si>
  <si>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</si>
  <si>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</si>
  <si>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</si>
  <si>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</si>
  <si>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</si>
  <si>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</si>
  <si>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</si>
  <si>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</si>
  <si>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</si>
  <si>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</si>
  <si>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</si>
  <si>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</si>
  <si>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</si>
  <si>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</si>
  <si>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</si>
  <si>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</si>
  <si>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</si>
  <si>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</si>
  <si>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</si>
  <si>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</si>
  <si>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</si>
  <si>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</si>
  <si>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</si>
  <si>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</si>
  <si>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</si>
  <si>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</si>
  <si>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</si>
  <si>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</si>
  <si>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</si>
  <si>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</si>
  <si>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</si>
  <si>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</si>
  <si>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</si>
  <si>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</si>
  <si>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</si>
  <si>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</si>
  <si>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</si>
  <si>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</si>
  <si>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</si>
  <si>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</si>
  <si>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</si>
  <si>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</si>
  <si>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</si>
  <si>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</si>
  <si>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</si>
  <si>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</si>
  <si>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</si>
  <si>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</si>
  <si>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</si>
  <si>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</si>
  <si>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</si>
  <si>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</si>
  <si>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</si>
  <si>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</si>
  <si>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</si>
  <si>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</si>
  <si>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</si>
  <si>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</si>
  <si>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</si>
  <si>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</si>
  <si>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</si>
  <si>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</si>
  <si>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</si>
  <si>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</si>
  <si>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</si>
  <si>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</si>
  <si>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</si>
  <si>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</si>
  <si>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</si>
  <si>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</si>
  <si>
    <t>Evolution 2021-2022</t>
  </si>
  <si>
    <t>Augmentation</t>
  </si>
  <si>
    <t>Diminution</t>
  </si>
  <si>
    <t xml:space="preserve">0 à 100'000 </t>
  </si>
  <si>
    <t>100'001 à 500'000</t>
  </si>
  <si>
    <t>500'001 à 1'000'000</t>
  </si>
  <si>
    <t>1'000'001 à 10'000'000</t>
  </si>
  <si>
    <t>&gt; à 10'000'000</t>
  </si>
  <si>
    <t>Augmentation de l'endettement brut 2021-2022</t>
  </si>
  <si>
    <t>Diminution de l'endettement brut 2021-2022</t>
  </si>
  <si>
    <t>Total de l'augmentation</t>
  </si>
  <si>
    <t>Réévaluation du patrimoine administratif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</si>
</sst>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7">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0" fillId="0" borderId="0" xfId="0" applyAlignment="1">
      <alignment horizontal="center"/>
    </xf>
    <xf numFmtId="0" fontId="1" fillId="0" borderId="0" xfId="0" applyFont="1" applyAlignment="1">
      <alignment horizontal="center"/>
    </xf>
    <xf numFmtId="164" fontId="0" fillId="0" borderId="0" xfId="0" applyNumberFormat="1"/>
    <xf numFmtId="164" fontId="1" fillId="0" borderId="0" xfId="0" applyNumberFormat="1" applyFont="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1" fillId="0" borderId="0" xfId="0" applyFont="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49A-406F-A6FC-3AF04B63FF1C}"/>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49A-406F-A6FC-3AF04B63FF1C}"/>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49A-406F-A6FC-3AF04B63FF1C}"/>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49A-406F-A6FC-3AF04B63FF1C}"/>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49A-406F-A6FC-3AF04B63FF1C}"/>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49A-406F-A6FC-3AF04B63FF1C}"/>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49A-406F-A6FC-3AF04B63FF1C}"/>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49A-406F-A6FC-3AF04B63FF1C}"/>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49A-406F-A6FC-3AF04B63FF1C}"/>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F49A-406F-A6FC-3AF04B63FF1C}"/>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0EA0-4767-9DBA-AFA1376F0524}"/>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2BE-41AD-BFC2-A354E4212B0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BB31-43D9-AE23-A38D8CC0F9C6}"/>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BB31-43D9-AE23-A38D8CC0F9C6}"/>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BB31-43D9-AE23-A38D8CC0F9C6}"/>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BB31-43D9-AE23-A38D8CC0F9C6}"/>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BB31-43D9-AE23-A38D8CC0F9C6}"/>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BB31-43D9-AE23-A38D8CC0F9C6}"/>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BB31-43D9-AE23-A38D8CC0F9C6}"/>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BB31-43D9-AE23-A38D8CC0F9C6}"/>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2BE-41AD-BFC2-A354E4212B0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a:t>Endettement</a:t>
            </a:r>
            <a:r>
              <a:rPr lang="fr-CH" baseline="0"/>
              <a:t> brut, en francs par habitant (31.12.2022)</a:t>
            </a:r>
            <a:endParaRPr lang="fr-CH"/>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overflow" horzOverflow="overflow" vert="horz" wrap="square" lIns="38100" tIns="19050" rIns="38100" bIns="19050" anchor="t" anchorCtr="0">
                <a:spAutoFit/>
              </a:bodyPr>
              <a:lstStyle/>
              <a:p>
                <a:pPr>
                  <a:defRPr sz="900" b="0"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8C8C-46A0-B325-A33981CB5BD6}"/>
            </c:ext>
          </c:extLst>
        </c:ser>
        <c:dLbls>
          <c:showLegendKey val="0"/>
          <c:showVal val="0"/>
          <c:showCatName val="0"/>
          <c:showSerName val="0"/>
          <c:showPercent val="0"/>
          <c:showBubbleSize val="0"/>
        </c:dLbls>
        <c:gapWidth val="74"/>
        <c:overlap val="-27"/>
        <c:axId val="837210920"/>
        <c:axId val="837209608"/>
      </c:barChart>
      <c:catAx>
        <c:axId val="8372109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09608"/>
        <c:crosses val="autoZero"/>
        <c:auto val="1"/>
        <c:lblAlgn val="ctr"/>
        <c:lblOffset val="100"/>
        <c:noMultiLvlLbl val="0"/>
      </c:catAx>
      <c:valAx>
        <c:axId val="83720960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37210920"/>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layout>
        <c:manualLayout>
          <c:xMode val="edge"/>
          <c:yMode val="edge"/>
          <c:x val="0.41284411120964831"/>
          <c:y val="1.9728727409053674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F7E8-482F-B20A-88678C1812CE}"/>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F7E8-482F-B20A-88678C1812CE}"/>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F7E8-482F-B20A-88678C1812CE}"/>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F7E8-482F-B20A-88678C1812CE}"/>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F7E8-482F-B20A-88678C1812CE}"/>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F7E8-482F-B20A-88678C1812CE}"/>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F7E8-482F-B20A-88678C1812CE}"/>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F7E8-482F-B20A-88678C1812CE}"/>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F7E8-482F-B20A-88678C1812CE}"/>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A73F-4037-8B0E-48AA0E3599D9}"/>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ECE7-40D2-BC16-DBF7D200689F}"/>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ECE7-40D2-BC16-DBF7D200689F}"/>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ECE7-40D2-BC16-DBF7D200689F}"/>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ECE7-40D2-BC16-DBF7D200689F}"/>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ECE7-40D2-BC16-DBF7D200689F}"/>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ECE7-40D2-BC16-DBF7D200689F}"/>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ECE7-40D2-BC16-DBF7D200689F}"/>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ECE7-40D2-BC16-DBF7D200689F}"/>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ECE7-40D2-BC16-DBF7D200689F}"/>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ECE7-40D2-BC16-DBF7D200689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15A7-4CA9-8A0E-539A6D4010BE}"/>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fr-FR"/>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B2C-4439-B66D-2B34B679AA78}"/>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B2C-4439-B66D-2B34B679AA78}"/>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8B2C-4439-B66D-2B34B679AA78}"/>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8B2C-4439-B66D-2B34B679AA78}"/>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8B2C-4439-B66D-2B34B679AA78}"/>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8B2C-4439-B66D-2B34B679AA78}"/>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8B2C-4439-B66D-2B34B679AA78}"/>
              </c:ext>
            </c:extLst>
          </c:dPt>
          <c:dPt>
            <c:idx val="7"/>
            <c:bubble3D val="0"/>
            <c:spPr>
              <a:solidFill>
                <a:schemeClr val="accent2">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F-8B2C-4439-B66D-2B34B679AA78}"/>
              </c:ext>
            </c:extLst>
          </c:dPt>
          <c:dPt>
            <c:idx val="8"/>
            <c:bubble3D val="0"/>
            <c:spPr>
              <a:solidFill>
                <a:schemeClr val="accent3">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1-8B2C-4439-B66D-2B34B679AA78}"/>
              </c:ext>
            </c:extLst>
          </c:dPt>
          <c:dPt>
            <c:idx val="9"/>
            <c:bubble3D val="0"/>
            <c:spPr>
              <a:solidFill>
                <a:schemeClr val="accent4">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3-8B2C-4439-B66D-2B34B679AA78}"/>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F686-467E-ADA4-8BFE928D97B7}"/>
            </c:ext>
          </c:extLst>
        </c:ser>
        <c:dLbls>
          <c:dLblPos val="ctr"/>
          <c:showLegendKey val="0"/>
          <c:showVal val="1"/>
          <c:showCatName val="0"/>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fr-F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9524</xdr:colOff>
      <xdr:row>4</xdr:row>
      <xdr:rowOff>4762</xdr:rowOff>
    </xdr:from>
    <xdr:to>
      <xdr:col>24</xdr:col>
      <xdr:colOff>761999</xdr:colOff>
      <xdr:row>24</xdr:row>
      <xdr:rowOff>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4761</xdr:colOff>
      <xdr:row>25</xdr:row>
      <xdr:rowOff>14286</xdr:rowOff>
    </xdr:from>
    <xdr:to>
      <xdr:col>25</xdr:col>
      <xdr:colOff>9524</xdr:colOff>
      <xdr:row>46</xdr:row>
      <xdr:rowOff>9524</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4140</xdr:colOff>
      <xdr:row>24</xdr:row>
      <xdr:rowOff>7453</xdr:rowOff>
    </xdr:from>
    <xdr:to>
      <xdr:col>15</xdr:col>
      <xdr:colOff>8283</xdr:colOff>
      <xdr:row>44</xdr:row>
      <xdr:rowOff>182216</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12423</xdr:colOff>
      <xdr:row>46</xdr:row>
      <xdr:rowOff>7453</xdr:rowOff>
    </xdr:from>
    <xdr:to>
      <xdr:col>15</xdr:col>
      <xdr:colOff>8282</xdr:colOff>
      <xdr:row>67</xdr:row>
      <xdr:rowOff>16564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xdr:colOff>
      <xdr:row>35</xdr:row>
      <xdr:rowOff>176211</xdr:rowOff>
    </xdr:from>
    <xdr:to>
      <xdr:col>9</xdr:col>
      <xdr:colOff>1</xdr:colOff>
      <xdr:row>56</xdr:row>
      <xdr:rowOff>19049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4761</xdr:colOff>
      <xdr:row>57</xdr:row>
      <xdr:rowOff>4761</xdr:rowOff>
    </xdr:from>
    <xdr:to>
      <xdr:col>15</xdr:col>
      <xdr:colOff>752475</xdr:colOff>
      <xdr:row>79</xdr:row>
      <xdr:rowOff>180974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23" t="s">
        <v>587</v>
      </c>
      <c r="C5" s="223"/>
      <c r="D5" s="223"/>
    </row>
    <row r="6" spans="1:5" ht="15.75" thickBot="1" x14ac:dyDescent="0.3">
      <c r="B6" s="220" t="s">
        <v>56</v>
      </c>
      <c r="C6" s="221"/>
      <c r="D6" s="222"/>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topLeftCell="A19"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C43"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7" t="s">
        <v>725</v>
      </c>
      <c r="H2" s="218"/>
      <c r="I2" s="218"/>
      <c r="J2" s="218"/>
      <c r="K2" s="219"/>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AA12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topLeftCell="A31"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AQ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52"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U58"/>
  <sheetViews>
    <sheetView workbookViewId="0">
      <selection activeCell="D3" sqref="D3"/>
    </sheetView>
  </sheetViews>
  <sheetFormatPr baseColWidth="10" defaultRowHeight="15" x14ac:dyDescent="0.25"/>
  <cols>
    <col min="1" max="5" width="17.5703125" customWidth="1"/>
    <col min="7" max="8" width="19.7109375" customWidth="1"/>
    <col min="9" max="9" width="19.5703125" customWidth="1"/>
    <col min="10" max="11" width="19.7109375" customWidth="1"/>
    <col min="13" max="17" width="19.5703125" customWidth="1"/>
    <col min="19" max="19" width="23.28515625" customWidth="1"/>
    <col min="21" max="21" width="15" customWidth="1"/>
  </cols>
  <sheetData>
    <row r="1" spans="1:21" x14ac:dyDescent="0.25">
      <c r="A1" s="224">
        <v>2022</v>
      </c>
      <c r="B1" s="224"/>
      <c r="C1" s="224"/>
      <c r="D1" s="224"/>
      <c r="E1" s="224"/>
      <c r="G1" s="224">
        <v>2021</v>
      </c>
      <c r="H1" s="224"/>
      <c r="I1" s="224"/>
      <c r="J1" s="224"/>
      <c r="K1" s="224"/>
      <c r="M1" s="224" t="s">
        <v>871</v>
      </c>
      <c r="N1" s="224"/>
      <c r="O1" s="224"/>
      <c r="P1" s="224"/>
      <c r="Q1" s="224"/>
    </row>
    <row r="2" spans="1:21" x14ac:dyDescent="0.25">
      <c r="A2" s="214" t="s">
        <v>67</v>
      </c>
      <c r="B2" s="214" t="s">
        <v>777</v>
      </c>
      <c r="C2" s="214" t="s">
        <v>779</v>
      </c>
      <c r="D2" s="214" t="s">
        <v>778</v>
      </c>
      <c r="E2" s="214" t="s">
        <v>780</v>
      </c>
      <c r="G2" s="214" t="s">
        <v>67</v>
      </c>
      <c r="H2" s="214" t="s">
        <v>777</v>
      </c>
      <c r="I2" s="214" t="s">
        <v>779</v>
      </c>
      <c r="J2" s="214" t="s">
        <v>778</v>
      </c>
      <c r="K2" s="214" t="s">
        <v>780</v>
      </c>
      <c r="M2" s="214" t="s">
        <v>67</v>
      </c>
      <c r="N2" s="214" t="s">
        <v>777</v>
      </c>
      <c r="O2" s="214" t="s">
        <v>779</v>
      </c>
      <c r="P2" s="214" t="s">
        <v>778</v>
      </c>
      <c r="Q2" s="214" t="s">
        <v>780</v>
      </c>
      <c r="S2" s="224" t="s">
        <v>879</v>
      </c>
      <c r="T2" s="224"/>
      <c r="U2" s="224"/>
    </row>
    <row r="3" spans="1:21" x14ac:dyDescent="0.25">
      <c r="A3" s="215" t="s">
        <v>56</v>
      </c>
      <c r="B3" s="215">
        <v>10231693.5</v>
      </c>
      <c r="C3" s="215">
        <v>10758.878548895898</v>
      </c>
      <c r="D3" s="215">
        <v>4350117.6099999994</v>
      </c>
      <c r="E3" s="215">
        <v>4574.2561619348053</v>
      </c>
      <c r="G3" s="215" t="s">
        <v>56</v>
      </c>
      <c r="H3" s="215">
        <v>10352456.359999999</v>
      </c>
      <c r="I3" s="215">
        <v>10931.844097148891</v>
      </c>
      <c r="J3" s="215">
        <v>4381758.7200000007</v>
      </c>
      <c r="K3" s="215">
        <v>4626.989144667371</v>
      </c>
      <c r="M3" s="215" t="s">
        <v>56</v>
      </c>
      <c r="N3" s="215">
        <f>B3-H3</f>
        <v>-120762.8599999994</v>
      </c>
      <c r="O3" s="215">
        <f>C3-I3</f>
        <v>-172.96554825299245</v>
      </c>
      <c r="P3" s="215">
        <f>D3-J3</f>
        <v>-31641.110000001267</v>
      </c>
      <c r="Q3" s="215">
        <f>E3-K3</f>
        <v>-52.732982732565688</v>
      </c>
      <c r="S3" t="s">
        <v>874</v>
      </c>
      <c r="T3" s="213">
        <v>7</v>
      </c>
      <c r="U3" s="215">
        <f>N16+N17+N18+N26+N45+N47+N49</f>
        <v>374440.23999999976</v>
      </c>
    </row>
    <row r="4" spans="1:21" x14ac:dyDescent="0.25">
      <c r="A4" s="215" t="s">
        <v>18</v>
      </c>
      <c r="B4" s="215">
        <v>2396649.5500000003</v>
      </c>
      <c r="C4" s="215">
        <v>9289.3393410852732</v>
      </c>
      <c r="D4" s="215">
        <v>1350274.5700000003</v>
      </c>
      <c r="E4" s="215">
        <v>5233.6223643410867</v>
      </c>
      <c r="G4" s="215" t="s">
        <v>18</v>
      </c>
      <c r="H4" s="215">
        <v>2474314.7000000002</v>
      </c>
      <c r="I4" s="215">
        <v>9337.0366037735857</v>
      </c>
      <c r="J4" s="215">
        <v>1334174.0200000003</v>
      </c>
      <c r="K4" s="215">
        <v>5034.6189433962272</v>
      </c>
      <c r="M4" s="215" t="s">
        <v>18</v>
      </c>
      <c r="N4" s="215">
        <f t="shared" ref="N4:N55" si="0">B4-H4</f>
        <v>-77665.149999999907</v>
      </c>
      <c r="O4" s="215">
        <f t="shared" ref="O4:O55" si="1">C4-I4</f>
        <v>-47.697262688312549</v>
      </c>
      <c r="P4" s="215">
        <f t="shared" ref="P4:P55" si="2">D4-J4</f>
        <v>16100.550000000047</v>
      </c>
      <c r="Q4" s="215">
        <f t="shared" ref="Q4:Q55" si="3">E4-K4</f>
        <v>199.0034209448595</v>
      </c>
      <c r="S4" t="s">
        <v>875</v>
      </c>
      <c r="T4" s="213">
        <v>8</v>
      </c>
      <c r="U4" s="215">
        <f>N19+N25+N27+N28+N29+N37+N40+N46</f>
        <v>2409157.0600000015</v>
      </c>
    </row>
    <row r="5" spans="1:21" x14ac:dyDescent="0.25">
      <c r="A5" s="215" t="s">
        <v>57</v>
      </c>
      <c r="B5" s="215">
        <v>5213780.8499999996</v>
      </c>
      <c r="C5" s="215">
        <v>11069.598407643311</v>
      </c>
      <c r="D5" s="215">
        <v>2310199.3900000006</v>
      </c>
      <c r="E5" s="215">
        <v>4904.8819320594494</v>
      </c>
      <c r="G5" s="215" t="s">
        <v>57</v>
      </c>
      <c r="H5" s="215">
        <v>5522808.4000000004</v>
      </c>
      <c r="I5" s="215">
        <v>11775.710874200427</v>
      </c>
      <c r="J5" s="215">
        <v>2494295.2999999993</v>
      </c>
      <c r="K5" s="215">
        <v>5318.32686567164</v>
      </c>
      <c r="M5" s="215" t="s">
        <v>57</v>
      </c>
      <c r="N5" s="215">
        <f t="shared" si="0"/>
        <v>-309027.55000000075</v>
      </c>
      <c r="O5" s="215">
        <f t="shared" si="1"/>
        <v>-706.11246655711693</v>
      </c>
      <c r="P5" s="215">
        <f t="shared" si="2"/>
        <v>-184095.90999999875</v>
      </c>
      <c r="Q5" s="215">
        <f t="shared" si="3"/>
        <v>-413.44493361219065</v>
      </c>
      <c r="S5" t="s">
        <v>876</v>
      </c>
      <c r="T5" s="213">
        <v>5</v>
      </c>
      <c r="U5" s="215">
        <f>N11+N41+N44+N51+N52</f>
        <v>3767006.8800000008</v>
      </c>
    </row>
    <row r="6" spans="1:21" x14ac:dyDescent="0.25">
      <c r="A6" s="215" t="s">
        <v>53</v>
      </c>
      <c r="B6" s="215">
        <v>4171946.5700000003</v>
      </c>
      <c r="C6" s="215">
        <v>9460.1963038548765</v>
      </c>
      <c r="D6" s="215">
        <v>29580.799999999814</v>
      </c>
      <c r="E6" s="215">
        <v>67.076643990929284</v>
      </c>
      <c r="G6" s="215" t="s">
        <v>53</v>
      </c>
      <c r="H6" s="215">
        <v>4432305.8599999994</v>
      </c>
      <c r="I6" s="215">
        <v>10096.368701594532</v>
      </c>
      <c r="J6" s="215">
        <v>159665.83999999985</v>
      </c>
      <c r="K6" s="215">
        <v>363.7035079726648</v>
      </c>
      <c r="M6" s="215" t="s">
        <v>53</v>
      </c>
      <c r="N6" s="215">
        <f t="shared" si="0"/>
        <v>-260359.28999999911</v>
      </c>
      <c r="O6" s="215">
        <f t="shared" si="1"/>
        <v>-636.17239773965593</v>
      </c>
      <c r="P6" s="215">
        <f t="shared" si="2"/>
        <v>-130085.04000000004</v>
      </c>
      <c r="Q6" s="215">
        <f t="shared" si="3"/>
        <v>-296.62686398173548</v>
      </c>
      <c r="S6" t="s">
        <v>877</v>
      </c>
      <c r="T6" s="213">
        <v>3</v>
      </c>
      <c r="U6" s="215">
        <f>N7+N13+N54</f>
        <v>6029477.9499999993</v>
      </c>
    </row>
    <row r="7" spans="1:21" x14ac:dyDescent="0.25">
      <c r="A7" s="215" t="s">
        <v>33</v>
      </c>
      <c r="B7" s="215">
        <v>26026875.600000001</v>
      </c>
      <c r="C7" s="215">
        <v>7061.0080303852419</v>
      </c>
      <c r="D7" s="215">
        <v>10596401.889999999</v>
      </c>
      <c r="E7" s="215">
        <v>2874.7699104720559</v>
      </c>
      <c r="G7" s="215" t="s">
        <v>33</v>
      </c>
      <c r="H7" s="215">
        <v>24113627.370000001</v>
      </c>
      <c r="I7" s="215">
        <v>6468.2476850858375</v>
      </c>
      <c r="J7" s="215">
        <v>9596524.3299999982</v>
      </c>
      <c r="K7" s="215">
        <v>2574.1749812231756</v>
      </c>
      <c r="M7" s="215" t="s">
        <v>33</v>
      </c>
      <c r="N7" s="215">
        <f t="shared" si="0"/>
        <v>1913248.2300000004</v>
      </c>
      <c r="O7" s="215">
        <f t="shared" si="1"/>
        <v>592.76034529940443</v>
      </c>
      <c r="P7" s="215">
        <f t="shared" si="2"/>
        <v>999877.56000000052</v>
      </c>
      <c r="Q7" s="215">
        <f t="shared" si="3"/>
        <v>300.59492924888036</v>
      </c>
      <c r="S7" t="s">
        <v>878</v>
      </c>
      <c r="T7" s="213">
        <v>1</v>
      </c>
      <c r="U7" s="215">
        <f>N10</f>
        <v>24088013.099999964</v>
      </c>
    </row>
    <row r="8" spans="1:21" x14ac:dyDescent="0.25">
      <c r="A8" s="215" t="s">
        <v>10</v>
      </c>
      <c r="B8" s="215">
        <v>23189435.620000001</v>
      </c>
      <c r="C8" s="215">
        <v>6999.527805614247</v>
      </c>
      <c r="D8" s="215">
        <v>16567735.970000003</v>
      </c>
      <c r="E8" s="215">
        <v>5000.8258285541815</v>
      </c>
      <c r="G8" s="215" t="s">
        <v>10</v>
      </c>
      <c r="H8" s="215">
        <v>23596343.5</v>
      </c>
      <c r="I8" s="215">
        <v>7054.2133034379667</v>
      </c>
      <c r="J8" s="215">
        <v>16136631.520000003</v>
      </c>
      <c r="K8" s="215">
        <v>4824.1050881913316</v>
      </c>
      <c r="M8" s="215" t="s">
        <v>10</v>
      </c>
      <c r="N8" s="215">
        <f t="shared" si="0"/>
        <v>-406907.87999999896</v>
      </c>
      <c r="O8" s="215">
        <f t="shared" si="1"/>
        <v>-54.685497823719743</v>
      </c>
      <c r="P8" s="215">
        <f t="shared" si="2"/>
        <v>431104.44999999925</v>
      </c>
      <c r="Q8" s="215">
        <f t="shared" si="3"/>
        <v>176.72074036284994</v>
      </c>
      <c r="T8" s="213">
        <f>SUM(T3:T7)</f>
        <v>24</v>
      </c>
      <c r="U8" s="215">
        <f>SUM(U3:U7)</f>
        <v>36668095.229999967</v>
      </c>
    </row>
    <row r="9" spans="1:21" x14ac:dyDescent="0.25">
      <c r="A9" s="215" t="s">
        <v>15</v>
      </c>
      <c r="B9" s="215">
        <v>10340912.189999999</v>
      </c>
      <c r="C9" s="215">
        <v>3896.3497324792766</v>
      </c>
      <c r="D9" s="215">
        <v>-429317.41000000015</v>
      </c>
      <c r="E9" s="215">
        <v>-161.76240015071596</v>
      </c>
      <c r="G9" s="215" t="s">
        <v>15</v>
      </c>
      <c r="H9" s="215">
        <v>10534501.98</v>
      </c>
      <c r="I9" s="215">
        <v>3972.2858144796382</v>
      </c>
      <c r="J9" s="215">
        <v>613443.49000000022</v>
      </c>
      <c r="K9" s="215">
        <v>231.31353318250385</v>
      </c>
      <c r="M9" s="215" t="s">
        <v>15</v>
      </c>
      <c r="N9" s="215">
        <f t="shared" si="0"/>
        <v>-193589.79000000097</v>
      </c>
      <c r="O9" s="215">
        <f t="shared" si="1"/>
        <v>-75.936082000361694</v>
      </c>
      <c r="P9" s="215">
        <f t="shared" si="2"/>
        <v>-1042760.9000000004</v>
      </c>
      <c r="Q9" s="215">
        <f t="shared" si="3"/>
        <v>-393.07593333321984</v>
      </c>
    </row>
    <row r="10" spans="1:21" x14ac:dyDescent="0.25">
      <c r="A10" s="215" t="s">
        <v>28</v>
      </c>
      <c r="B10" s="215">
        <v>166457137.63999999</v>
      </c>
      <c r="C10" s="215">
        <v>13173.246093700536</v>
      </c>
      <c r="D10" s="215">
        <v>103469664.34000002</v>
      </c>
      <c r="E10" s="215">
        <v>8188.4824580563482</v>
      </c>
      <c r="G10" s="215" t="s">
        <v>28</v>
      </c>
      <c r="H10" s="215">
        <v>142369124.54000002</v>
      </c>
      <c r="I10" s="215">
        <v>11408.696573443387</v>
      </c>
      <c r="J10" s="215">
        <v>95429892.970000029</v>
      </c>
      <c r="K10" s="215">
        <v>7647.2387987819557</v>
      </c>
      <c r="M10" s="215" t="s">
        <v>28</v>
      </c>
      <c r="N10" s="215">
        <f t="shared" si="0"/>
        <v>24088013.099999964</v>
      </c>
      <c r="O10" s="215">
        <f t="shared" si="1"/>
        <v>1764.5495202571492</v>
      </c>
      <c r="P10" s="215">
        <f t="shared" si="2"/>
        <v>8039771.3699999899</v>
      </c>
      <c r="Q10" s="215">
        <f t="shared" si="3"/>
        <v>541.24365927439248</v>
      </c>
      <c r="S10" s="224" t="s">
        <v>880</v>
      </c>
      <c r="T10" s="224"/>
      <c r="U10" s="224"/>
    </row>
    <row r="11" spans="1:21" x14ac:dyDescent="0.25">
      <c r="A11" s="215" t="s">
        <v>42</v>
      </c>
      <c r="B11" s="215">
        <v>7684406.9900000002</v>
      </c>
      <c r="C11" s="215">
        <v>5650.2992573529409</v>
      </c>
      <c r="D11" s="215">
        <v>4117624.0699999994</v>
      </c>
      <c r="E11" s="215">
        <v>3027.6647573529408</v>
      </c>
      <c r="G11" s="215" t="s">
        <v>42</v>
      </c>
      <c r="H11" s="215">
        <v>6715713.5199999996</v>
      </c>
      <c r="I11" s="215">
        <v>4941.658219278881</v>
      </c>
      <c r="J11" s="215">
        <v>3276821.4900000007</v>
      </c>
      <c r="K11" s="215">
        <v>2411.2005077262697</v>
      </c>
      <c r="M11" s="215" t="s">
        <v>42</v>
      </c>
      <c r="N11" s="215">
        <f t="shared" si="0"/>
        <v>968693.47000000067</v>
      </c>
      <c r="O11" s="215">
        <f t="shared" si="1"/>
        <v>708.64103807405991</v>
      </c>
      <c r="P11" s="215">
        <f t="shared" si="2"/>
        <v>840802.57999999868</v>
      </c>
      <c r="Q11" s="215">
        <f t="shared" si="3"/>
        <v>616.46424962667106</v>
      </c>
      <c r="S11" t="s">
        <v>874</v>
      </c>
      <c r="T11" s="213">
        <v>7</v>
      </c>
      <c r="U11" s="215">
        <f>N4+N15+N33+N43+N48+N53+N55</f>
        <v>-397959.22999999917</v>
      </c>
    </row>
    <row r="12" spans="1:21" x14ac:dyDescent="0.25">
      <c r="A12" s="215" t="s">
        <v>23</v>
      </c>
      <c r="B12" s="215">
        <v>752392.9</v>
      </c>
      <c r="C12" s="215">
        <v>6717.7937499999998</v>
      </c>
      <c r="D12" s="215">
        <v>779330.57000000007</v>
      </c>
      <c r="E12" s="215">
        <v>6958.3086607142859</v>
      </c>
      <c r="G12" s="215" t="s">
        <v>23</v>
      </c>
      <c r="H12" s="215">
        <v>858438.48</v>
      </c>
      <c r="I12" s="215">
        <v>7337.0810256410259</v>
      </c>
      <c r="J12" s="215">
        <v>657021.74</v>
      </c>
      <c r="K12" s="215">
        <v>5615.5704273504271</v>
      </c>
      <c r="M12" s="215" t="s">
        <v>23</v>
      </c>
      <c r="N12" s="215">
        <f t="shared" si="0"/>
        <v>-106045.57999999996</v>
      </c>
      <c r="O12" s="215">
        <f t="shared" si="1"/>
        <v>-619.2872756410261</v>
      </c>
      <c r="P12" s="215">
        <f t="shared" si="2"/>
        <v>122308.83000000007</v>
      </c>
      <c r="Q12" s="215">
        <f t="shared" si="3"/>
        <v>1342.7382333638589</v>
      </c>
      <c r="S12" t="s">
        <v>875</v>
      </c>
      <c r="T12" s="213">
        <v>15</v>
      </c>
      <c r="U12" s="215">
        <f>N3+N5+N6+N8+N9+N12+N14+N20+N22+N30+N34+N35+N38+N39+N50</f>
        <v>-3783929.6699999981</v>
      </c>
    </row>
    <row r="13" spans="1:21" x14ac:dyDescent="0.25">
      <c r="A13" s="215" t="s">
        <v>22</v>
      </c>
      <c r="B13" s="215">
        <v>45615798.689999998</v>
      </c>
      <c r="C13" s="215">
        <v>6232.5179245798599</v>
      </c>
      <c r="D13" s="215">
        <v>29090469.219999999</v>
      </c>
      <c r="E13" s="215">
        <v>3974.650802022134</v>
      </c>
      <c r="G13" s="215" t="s">
        <v>22</v>
      </c>
      <c r="H13" s="215">
        <v>44141873.289999999</v>
      </c>
      <c r="I13" s="215">
        <v>6079.31046550062</v>
      </c>
      <c r="J13" s="215">
        <v>27130951.869999997</v>
      </c>
      <c r="K13" s="215">
        <v>3736.531038424459</v>
      </c>
      <c r="M13" s="215" t="s">
        <v>22</v>
      </c>
      <c r="N13" s="215">
        <f t="shared" si="0"/>
        <v>1473925.3999999985</v>
      </c>
      <c r="O13" s="215">
        <f t="shared" si="1"/>
        <v>153.20745907923992</v>
      </c>
      <c r="P13" s="215">
        <f t="shared" si="2"/>
        <v>1959517.3500000015</v>
      </c>
      <c r="Q13" s="215">
        <f t="shared" si="3"/>
        <v>238.11976359767505</v>
      </c>
      <c r="S13" t="s">
        <v>876</v>
      </c>
      <c r="T13" s="213">
        <v>5</v>
      </c>
      <c r="U13" s="215">
        <f>N31+N32+N36+N42+N21</f>
        <v>-3864821.9700000016</v>
      </c>
    </row>
    <row r="14" spans="1:21" x14ac:dyDescent="0.25">
      <c r="A14" s="215" t="s">
        <v>13</v>
      </c>
      <c r="B14" s="215">
        <v>2811349.0100000002</v>
      </c>
      <c r="C14" s="215">
        <v>5385.7260727969351</v>
      </c>
      <c r="D14" s="215">
        <v>1290983.73</v>
      </c>
      <c r="E14" s="215">
        <v>2473.1489080459769</v>
      </c>
      <c r="G14" s="215" t="s">
        <v>13</v>
      </c>
      <c r="H14" s="215">
        <v>3093787.24</v>
      </c>
      <c r="I14" s="215">
        <v>5750.5339033457258</v>
      </c>
      <c r="J14" s="215">
        <v>1159598.6799999997</v>
      </c>
      <c r="K14" s="215">
        <v>2155.3878810408914</v>
      </c>
      <c r="M14" s="215" t="s">
        <v>13</v>
      </c>
      <c r="N14" s="215">
        <f t="shared" si="0"/>
        <v>-282438.23</v>
      </c>
      <c r="O14" s="215">
        <f t="shared" si="1"/>
        <v>-364.80783054879066</v>
      </c>
      <c r="P14" s="215">
        <f t="shared" si="2"/>
        <v>131385.05000000028</v>
      </c>
      <c r="Q14" s="215">
        <f t="shared" si="3"/>
        <v>317.76102700508545</v>
      </c>
      <c r="S14" t="s">
        <v>877</v>
      </c>
      <c r="T14" s="213">
        <v>2</v>
      </c>
      <c r="U14" s="215">
        <f>N23+N24</f>
        <v>-4669209.9400000013</v>
      </c>
    </row>
    <row r="15" spans="1:21" x14ac:dyDescent="0.25">
      <c r="A15" s="215" t="s">
        <v>17</v>
      </c>
      <c r="B15" s="215">
        <v>472998.96</v>
      </c>
      <c r="C15" s="215">
        <v>4462.254339622642</v>
      </c>
      <c r="D15" s="215">
        <v>-17354.150000000023</v>
      </c>
      <c r="E15" s="215">
        <v>-163.71839622641531</v>
      </c>
      <c r="G15" s="215" t="s">
        <v>17</v>
      </c>
      <c r="H15" s="215">
        <v>497395.93</v>
      </c>
      <c r="I15" s="215">
        <v>4481.0444144144139</v>
      </c>
      <c r="J15" s="215">
        <v>41216.310000000056</v>
      </c>
      <c r="K15" s="215">
        <v>371.31810810810862</v>
      </c>
      <c r="M15" s="215" t="s">
        <v>17</v>
      </c>
      <c r="N15" s="215">
        <f t="shared" si="0"/>
        <v>-24396.969999999972</v>
      </c>
      <c r="O15" s="215">
        <f t="shared" si="1"/>
        <v>-18.790074791771985</v>
      </c>
      <c r="P15" s="215">
        <f t="shared" si="2"/>
        <v>-58570.460000000079</v>
      </c>
      <c r="Q15" s="215">
        <f t="shared" si="3"/>
        <v>-535.0365043345239</v>
      </c>
      <c r="S15" t="s">
        <v>878</v>
      </c>
      <c r="T15" s="213">
        <v>0</v>
      </c>
      <c r="U15" s="215">
        <v>0</v>
      </c>
    </row>
    <row r="16" spans="1:21" x14ac:dyDescent="0.25">
      <c r="A16" s="215" t="s">
        <v>43</v>
      </c>
      <c r="B16" s="215">
        <v>3177943.3000000003</v>
      </c>
      <c r="C16" s="215">
        <v>7477.5136470588241</v>
      </c>
      <c r="D16" s="215">
        <v>1642738.42</v>
      </c>
      <c r="E16" s="215">
        <v>3865.2668705882352</v>
      </c>
      <c r="G16" s="215" t="s">
        <v>43</v>
      </c>
      <c r="H16" s="215">
        <v>3083781.92</v>
      </c>
      <c r="I16" s="215">
        <v>7324.8976722090256</v>
      </c>
      <c r="J16" s="215">
        <v>1753942.15</v>
      </c>
      <c r="K16" s="215">
        <v>4166.1333729216149</v>
      </c>
      <c r="M16" s="215" t="s">
        <v>43</v>
      </c>
      <c r="N16" s="215">
        <f t="shared" si="0"/>
        <v>94161.380000000354</v>
      </c>
      <c r="O16" s="215">
        <f t="shared" si="1"/>
        <v>152.61597484979848</v>
      </c>
      <c r="P16" s="215">
        <f t="shared" si="2"/>
        <v>-111203.72999999998</v>
      </c>
      <c r="Q16" s="215">
        <f t="shared" si="3"/>
        <v>-300.86650233337969</v>
      </c>
      <c r="T16" s="213">
        <f>SUM(T11:T15)</f>
        <v>29</v>
      </c>
      <c r="U16" s="215">
        <f>SUM(U11:U15)</f>
        <v>-12715920.810000001</v>
      </c>
    </row>
    <row r="17" spans="1:21" x14ac:dyDescent="0.25">
      <c r="A17" s="215" t="s">
        <v>40</v>
      </c>
      <c r="B17" s="215">
        <v>4143084.9</v>
      </c>
      <c r="C17" s="215">
        <v>11837.385428571428</v>
      </c>
      <c r="D17" s="215">
        <v>1514124.1099999994</v>
      </c>
      <c r="E17" s="215">
        <v>4326.0688857142841</v>
      </c>
      <c r="G17" s="215" t="s">
        <v>40</v>
      </c>
      <c r="H17" s="215">
        <v>4101271.2100000004</v>
      </c>
      <c r="I17" s="215">
        <v>11853.385000000002</v>
      </c>
      <c r="J17" s="215">
        <v>1749151.4600000004</v>
      </c>
      <c r="K17" s="215">
        <v>5055.3510404624294</v>
      </c>
      <c r="M17" s="215" t="s">
        <v>40</v>
      </c>
      <c r="N17" s="215">
        <f t="shared" si="0"/>
        <v>41813.689999999478</v>
      </c>
      <c r="O17" s="215">
        <f t="shared" si="1"/>
        <v>-15.9995714285742</v>
      </c>
      <c r="P17" s="215">
        <f t="shared" si="2"/>
        <v>-235027.35000000102</v>
      </c>
      <c r="Q17" s="215">
        <f t="shared" si="3"/>
        <v>-729.28215474814533</v>
      </c>
    </row>
    <row r="18" spans="1:21" x14ac:dyDescent="0.25">
      <c r="A18" s="215" t="s">
        <v>31</v>
      </c>
      <c r="B18" s="215">
        <v>5163639.42</v>
      </c>
      <c r="C18" s="215">
        <v>7044.5285402455656</v>
      </c>
      <c r="D18" s="215">
        <v>-451715.36000000034</v>
      </c>
      <c r="E18" s="215">
        <v>-616.25560709413412</v>
      </c>
      <c r="G18" s="215" t="s">
        <v>31</v>
      </c>
      <c r="H18" s="215">
        <v>5096463.18</v>
      </c>
      <c r="I18" s="215">
        <v>7178.1171549295768</v>
      </c>
      <c r="J18" s="215">
        <v>-208385.76999999955</v>
      </c>
      <c r="K18" s="215">
        <v>-293.50108450704164</v>
      </c>
      <c r="M18" s="215" t="s">
        <v>31</v>
      </c>
      <c r="N18" s="215">
        <f t="shared" si="0"/>
        <v>67176.240000000224</v>
      </c>
      <c r="O18" s="215">
        <f t="shared" si="1"/>
        <v>-133.58861468401119</v>
      </c>
      <c r="P18" s="215">
        <f t="shared" si="2"/>
        <v>-243329.59000000078</v>
      </c>
      <c r="Q18" s="215">
        <f t="shared" si="3"/>
        <v>-322.75452258709248</v>
      </c>
      <c r="S18" s="4" t="s">
        <v>881</v>
      </c>
      <c r="T18" s="4"/>
      <c r="U18" s="216">
        <f>U8+U16</f>
        <v>23952174.419999965</v>
      </c>
    </row>
    <row r="19" spans="1:21" x14ac:dyDescent="0.25">
      <c r="A19" s="215" t="s">
        <v>12</v>
      </c>
      <c r="B19" s="215">
        <v>1238569.5</v>
      </c>
      <c r="C19" s="215">
        <v>4587.2944444444447</v>
      </c>
      <c r="D19" s="215">
        <v>448146.76</v>
      </c>
      <c r="E19" s="215">
        <v>1659.8028148148148</v>
      </c>
      <c r="G19" s="215" t="s">
        <v>12</v>
      </c>
      <c r="H19" s="215">
        <v>937461.24</v>
      </c>
      <c r="I19" s="215">
        <v>3484.9860223048327</v>
      </c>
      <c r="J19" s="215">
        <v>295523.71999999974</v>
      </c>
      <c r="K19" s="215">
        <v>1098.6011895910772</v>
      </c>
      <c r="M19" s="215" t="s">
        <v>12</v>
      </c>
      <c r="N19" s="215">
        <f t="shared" si="0"/>
        <v>301108.26</v>
      </c>
      <c r="O19" s="215">
        <f t="shared" si="1"/>
        <v>1102.308422139612</v>
      </c>
      <c r="P19" s="215">
        <f t="shared" si="2"/>
        <v>152623.04000000027</v>
      </c>
      <c r="Q19" s="215">
        <f t="shared" si="3"/>
        <v>561.20162522373766</v>
      </c>
    </row>
    <row r="20" spans="1:21" x14ac:dyDescent="0.25">
      <c r="A20" s="215" t="s">
        <v>59</v>
      </c>
      <c r="B20" s="215">
        <v>3504832.67</v>
      </c>
      <c r="C20" s="215">
        <v>8404.8745083932845</v>
      </c>
      <c r="D20" s="215">
        <v>1914576.7699999998</v>
      </c>
      <c r="E20" s="215">
        <v>4591.311199040767</v>
      </c>
      <c r="G20" s="215" t="s">
        <v>59</v>
      </c>
      <c r="H20" s="215">
        <v>3792930.42</v>
      </c>
      <c r="I20" s="215">
        <v>8620.2964090909081</v>
      </c>
      <c r="J20" s="215">
        <v>1952635.5100000002</v>
      </c>
      <c r="K20" s="215">
        <v>4437.8079772727278</v>
      </c>
      <c r="M20" s="215" t="s">
        <v>59</v>
      </c>
      <c r="N20" s="215">
        <f t="shared" si="0"/>
        <v>-288097.75</v>
      </c>
      <c r="O20" s="215">
        <f t="shared" si="1"/>
        <v>-215.42190069762364</v>
      </c>
      <c r="P20" s="215">
        <f t="shared" si="2"/>
        <v>-38058.740000000456</v>
      </c>
      <c r="Q20" s="215">
        <f t="shared" si="3"/>
        <v>153.50322176803911</v>
      </c>
    </row>
    <row r="21" spans="1:21" x14ac:dyDescent="0.25">
      <c r="A21" s="215" t="s">
        <v>27</v>
      </c>
      <c r="B21" s="215">
        <v>15800389.75</v>
      </c>
      <c r="C21" s="215">
        <v>4809.8598934550992</v>
      </c>
      <c r="D21" s="215">
        <v>11431295.439999999</v>
      </c>
      <c r="E21" s="215">
        <v>3479.8464048706237</v>
      </c>
      <c r="G21" s="215" t="s">
        <v>27</v>
      </c>
      <c r="H21" s="215">
        <v>16447939.57</v>
      </c>
      <c r="I21" s="215">
        <v>5093.818386497368</v>
      </c>
      <c r="J21" s="215">
        <v>10826918.77</v>
      </c>
      <c r="K21" s="215">
        <v>3353.0253236296066</v>
      </c>
      <c r="M21" s="215" t="s">
        <v>27</v>
      </c>
      <c r="N21" s="215">
        <f t="shared" si="0"/>
        <v>-647549.8200000003</v>
      </c>
      <c r="O21" s="215">
        <f t="shared" si="1"/>
        <v>-283.95849304226886</v>
      </c>
      <c r="P21" s="215">
        <f t="shared" si="2"/>
        <v>604376.66999999993</v>
      </c>
      <c r="Q21" s="215">
        <f t="shared" si="3"/>
        <v>126.82108124101705</v>
      </c>
    </row>
    <row r="22" spans="1:21" x14ac:dyDescent="0.25">
      <c r="A22" s="215" t="s">
        <v>30</v>
      </c>
      <c r="B22" s="215">
        <v>484046.2</v>
      </c>
      <c r="C22" s="215">
        <v>1571.5785714285714</v>
      </c>
      <c r="D22" s="215">
        <v>-1095128.52</v>
      </c>
      <c r="E22" s="215">
        <v>-3555.6120779220778</v>
      </c>
      <c r="G22" s="215" t="s">
        <v>30</v>
      </c>
      <c r="H22" s="215">
        <v>602341.19999999995</v>
      </c>
      <c r="I22" s="215">
        <v>1943.0361290322578</v>
      </c>
      <c r="J22" s="215">
        <v>-1258764.1999999997</v>
      </c>
      <c r="K22" s="215">
        <v>-4060.5296774193539</v>
      </c>
      <c r="M22" s="215" t="s">
        <v>30</v>
      </c>
      <c r="N22" s="215">
        <f t="shared" si="0"/>
        <v>-118294.99999999994</v>
      </c>
      <c r="O22" s="215">
        <f t="shared" si="1"/>
        <v>-371.45755760368638</v>
      </c>
      <c r="P22" s="215">
        <f t="shared" si="2"/>
        <v>163635.6799999997</v>
      </c>
      <c r="Q22" s="215">
        <f t="shared" si="3"/>
        <v>504.91759949727611</v>
      </c>
    </row>
    <row r="23" spans="1:21" x14ac:dyDescent="0.25">
      <c r="A23" s="215" t="s">
        <v>20</v>
      </c>
      <c r="B23" s="215">
        <v>9591959.379999999</v>
      </c>
      <c r="C23" s="215">
        <v>7624.7689825119232</v>
      </c>
      <c r="D23" s="215">
        <v>5704163.3599999994</v>
      </c>
      <c r="E23" s="215">
        <v>4534.3110969793315</v>
      </c>
      <c r="G23" s="215" t="s">
        <v>20</v>
      </c>
      <c r="H23" s="215">
        <v>10692583.640000001</v>
      </c>
      <c r="I23" s="215">
        <v>8419.3571968503948</v>
      </c>
      <c r="J23" s="215">
        <v>6440242.9599999981</v>
      </c>
      <c r="K23" s="215">
        <v>5071.0574488188959</v>
      </c>
      <c r="M23" s="215" t="s">
        <v>20</v>
      </c>
      <c r="N23" s="215">
        <f t="shared" si="0"/>
        <v>-1100624.2600000016</v>
      </c>
      <c r="O23" s="215">
        <f t="shared" si="1"/>
        <v>-794.58821433847152</v>
      </c>
      <c r="P23" s="215">
        <f t="shared" si="2"/>
        <v>-736079.5999999987</v>
      </c>
      <c r="Q23" s="215">
        <f t="shared" si="3"/>
        <v>-536.74635183956434</v>
      </c>
    </row>
    <row r="24" spans="1:21" x14ac:dyDescent="0.25">
      <c r="A24" s="215" t="s">
        <v>45</v>
      </c>
      <c r="B24" s="215">
        <v>4910683.17</v>
      </c>
      <c r="C24" s="215">
        <v>3222.2330511811024</v>
      </c>
      <c r="D24" s="215">
        <v>-13726562.160000002</v>
      </c>
      <c r="E24" s="215">
        <v>-9006.9305511811035</v>
      </c>
      <c r="G24" s="215" t="s">
        <v>45</v>
      </c>
      <c r="H24" s="215">
        <v>8479268.8499999996</v>
      </c>
      <c r="I24" s="215">
        <v>5630.3246015936256</v>
      </c>
      <c r="J24" s="215">
        <v>-10380295.779999997</v>
      </c>
      <c r="K24" s="215">
        <v>-6892.6266799468776</v>
      </c>
      <c r="M24" s="215" t="s">
        <v>45</v>
      </c>
      <c r="N24" s="215">
        <f t="shared" si="0"/>
        <v>-3568585.6799999997</v>
      </c>
      <c r="O24" s="215">
        <f t="shared" si="1"/>
        <v>-2408.0915504125232</v>
      </c>
      <c r="P24" s="215">
        <f t="shared" si="2"/>
        <v>-3346266.3800000045</v>
      </c>
      <c r="Q24" s="215">
        <f t="shared" si="3"/>
        <v>-2114.3038712342259</v>
      </c>
    </row>
    <row r="25" spans="1:21" x14ac:dyDescent="0.25">
      <c r="A25" s="215" t="s">
        <v>71</v>
      </c>
      <c r="B25" s="215">
        <v>1134572.45</v>
      </c>
      <c r="C25" s="215">
        <v>13041.06264367816</v>
      </c>
      <c r="D25" s="215">
        <v>89722.550000000047</v>
      </c>
      <c r="E25" s="215">
        <v>1031.2936781609201</v>
      </c>
      <c r="G25" s="215" t="s">
        <v>71</v>
      </c>
      <c r="H25" s="215">
        <v>835119.4</v>
      </c>
      <c r="I25" s="215">
        <v>8699.1604166666675</v>
      </c>
      <c r="J25" s="215">
        <v>74018.899999999907</v>
      </c>
      <c r="K25" s="215">
        <v>771.03020833333233</v>
      </c>
      <c r="M25" s="215" t="s">
        <v>71</v>
      </c>
      <c r="N25" s="215">
        <f t="shared" si="0"/>
        <v>299453.04999999993</v>
      </c>
      <c r="O25" s="215">
        <f t="shared" si="1"/>
        <v>4341.9022270114929</v>
      </c>
      <c r="P25" s="215">
        <f t="shared" si="2"/>
        <v>15703.65000000014</v>
      </c>
      <c r="Q25" s="215">
        <f t="shared" si="3"/>
        <v>260.26346982758776</v>
      </c>
    </row>
    <row r="26" spans="1:21" x14ac:dyDescent="0.25">
      <c r="A26" s="215" t="s">
        <v>39</v>
      </c>
      <c r="B26" s="215">
        <v>1304927.81</v>
      </c>
      <c r="C26" s="215">
        <v>8364.9218589743596</v>
      </c>
      <c r="D26" s="215">
        <v>-211024.80999999982</v>
      </c>
      <c r="E26" s="215">
        <v>-1352.72314102564</v>
      </c>
      <c r="G26" s="215" t="s">
        <v>39</v>
      </c>
      <c r="H26" s="215">
        <v>1218430.55</v>
      </c>
      <c r="I26" s="215">
        <v>8232.6388513513521</v>
      </c>
      <c r="J26" s="215">
        <v>-323523.36999999988</v>
      </c>
      <c r="K26" s="215">
        <v>-2185.9687162162154</v>
      </c>
      <c r="M26" s="215" t="s">
        <v>39</v>
      </c>
      <c r="N26" s="215">
        <f t="shared" si="0"/>
        <v>86497.260000000009</v>
      </c>
      <c r="O26" s="215">
        <f t="shared" si="1"/>
        <v>132.28300762300751</v>
      </c>
      <c r="P26" s="215">
        <f t="shared" si="2"/>
        <v>112498.56000000006</v>
      </c>
      <c r="Q26" s="215">
        <f t="shared" si="3"/>
        <v>833.24557519057544</v>
      </c>
    </row>
    <row r="27" spans="1:21" x14ac:dyDescent="0.25">
      <c r="A27" s="215" t="s">
        <v>19</v>
      </c>
      <c r="B27" s="215">
        <v>4608813.3499999996</v>
      </c>
      <c r="C27" s="215">
        <v>9036.8889215686268</v>
      </c>
      <c r="D27" s="215">
        <v>1427041.8800000008</v>
      </c>
      <c r="E27" s="215">
        <v>2798.1213333333349</v>
      </c>
      <c r="G27" s="215" t="s">
        <v>19</v>
      </c>
      <c r="H27" s="215">
        <v>4296735.43</v>
      </c>
      <c r="I27" s="215">
        <v>8294.8560424710413</v>
      </c>
      <c r="J27" s="215">
        <v>1349453.5100000002</v>
      </c>
      <c r="K27" s="215">
        <v>2605.1226061776065</v>
      </c>
      <c r="M27" s="215" t="s">
        <v>19</v>
      </c>
      <c r="N27" s="215">
        <f t="shared" si="0"/>
        <v>312077.91999999993</v>
      </c>
      <c r="O27" s="215">
        <f t="shared" si="1"/>
        <v>742.03287909758546</v>
      </c>
      <c r="P27" s="215">
        <f t="shared" si="2"/>
        <v>77588.370000000577</v>
      </c>
      <c r="Q27" s="215">
        <f t="shared" si="3"/>
        <v>192.99872715572837</v>
      </c>
    </row>
    <row r="28" spans="1:21" x14ac:dyDescent="0.25">
      <c r="A28" s="215" t="s">
        <v>41</v>
      </c>
      <c r="B28" s="215">
        <v>7610270.8499999996</v>
      </c>
      <c r="C28" s="215">
        <v>10794.710425531914</v>
      </c>
      <c r="D28" s="215">
        <v>5732641.0899999999</v>
      </c>
      <c r="E28" s="215">
        <v>8131.4058014184393</v>
      </c>
      <c r="G28" s="215" t="s">
        <v>41</v>
      </c>
      <c r="H28" s="215">
        <v>7161605.1599999992</v>
      </c>
      <c r="I28" s="215">
        <v>10216.269843081311</v>
      </c>
      <c r="J28" s="215">
        <v>4615930.29</v>
      </c>
      <c r="K28" s="215">
        <v>6584.7793009985735</v>
      </c>
      <c r="M28" s="215" t="s">
        <v>41</v>
      </c>
      <c r="N28" s="215">
        <f t="shared" si="0"/>
        <v>448665.69000000041</v>
      </c>
      <c r="O28" s="215">
        <f t="shared" si="1"/>
        <v>578.44058245060296</v>
      </c>
      <c r="P28" s="215">
        <f t="shared" si="2"/>
        <v>1116710.7999999998</v>
      </c>
      <c r="Q28" s="215">
        <f t="shared" si="3"/>
        <v>1546.6265004198658</v>
      </c>
    </row>
    <row r="29" spans="1:21" x14ac:dyDescent="0.25">
      <c r="A29" s="215" t="s">
        <v>36</v>
      </c>
      <c r="B29" s="215">
        <v>3903441.63</v>
      </c>
      <c r="C29" s="215">
        <v>7084.286079854809</v>
      </c>
      <c r="D29" s="215">
        <v>2011074.1099999999</v>
      </c>
      <c r="E29" s="215">
        <v>3649.8622686025406</v>
      </c>
      <c r="G29" s="215" t="s">
        <v>36</v>
      </c>
      <c r="H29" s="215">
        <v>3750609.31</v>
      </c>
      <c r="I29" s="215">
        <v>6650.0165070921985</v>
      </c>
      <c r="J29" s="215">
        <v>1426544.4699999997</v>
      </c>
      <c r="K29" s="215">
        <v>2529.3341666666661</v>
      </c>
      <c r="M29" s="215" t="s">
        <v>36</v>
      </c>
      <c r="N29" s="215">
        <f t="shared" si="0"/>
        <v>152832.31999999983</v>
      </c>
      <c r="O29" s="215">
        <f t="shared" si="1"/>
        <v>434.26957276261055</v>
      </c>
      <c r="P29" s="215">
        <f t="shared" si="2"/>
        <v>584529.64000000013</v>
      </c>
      <c r="Q29" s="215">
        <f t="shared" si="3"/>
        <v>1120.5281019358745</v>
      </c>
    </row>
    <row r="30" spans="1:21" x14ac:dyDescent="0.25">
      <c r="A30" s="215" t="s">
        <v>7</v>
      </c>
      <c r="B30" s="215">
        <v>972078.66999999993</v>
      </c>
      <c r="C30" s="215">
        <v>1902.3065949119373</v>
      </c>
      <c r="D30" s="215">
        <v>-2267097.36</v>
      </c>
      <c r="E30" s="215">
        <v>-4436.5897455968689</v>
      </c>
      <c r="G30" s="215" t="s">
        <v>7</v>
      </c>
      <c r="H30" s="215">
        <v>1159077.93</v>
      </c>
      <c r="I30" s="215">
        <v>2207.7674857142856</v>
      </c>
      <c r="J30" s="215">
        <v>-2814009.3600000003</v>
      </c>
      <c r="K30" s="215">
        <v>-5360.0178285714292</v>
      </c>
      <c r="M30" s="215" t="s">
        <v>7</v>
      </c>
      <c r="N30" s="215">
        <f t="shared" si="0"/>
        <v>-186999.26</v>
      </c>
      <c r="O30" s="215">
        <f t="shared" si="1"/>
        <v>-305.46089080234833</v>
      </c>
      <c r="P30" s="215">
        <f t="shared" si="2"/>
        <v>546912.00000000047</v>
      </c>
      <c r="Q30" s="215">
        <f t="shared" si="3"/>
        <v>923.42808297456031</v>
      </c>
    </row>
    <row r="31" spans="1:21" x14ac:dyDescent="0.25">
      <c r="A31" s="215" t="s">
        <v>55</v>
      </c>
      <c r="B31" s="215">
        <v>5453381.3700000001</v>
      </c>
      <c r="C31" s="215">
        <v>2867.1826340694006</v>
      </c>
      <c r="D31" s="215">
        <v>-2397710.830000001</v>
      </c>
      <c r="E31" s="215">
        <v>-1260.6260935856999</v>
      </c>
      <c r="G31" s="215" t="s">
        <v>55</v>
      </c>
      <c r="H31" s="215">
        <v>6404302.0600000005</v>
      </c>
      <c r="I31" s="215">
        <v>3354.7941644840234</v>
      </c>
      <c r="J31" s="215">
        <v>-1433431.5900000008</v>
      </c>
      <c r="K31" s="215">
        <v>-750.88087480356251</v>
      </c>
      <c r="M31" s="215" t="s">
        <v>55</v>
      </c>
      <c r="N31" s="215">
        <f t="shared" si="0"/>
        <v>-950920.69000000041</v>
      </c>
      <c r="O31" s="215">
        <f t="shared" si="1"/>
        <v>-487.61153041462285</v>
      </c>
      <c r="P31" s="215">
        <f t="shared" si="2"/>
        <v>-964279.24000000022</v>
      </c>
      <c r="Q31" s="215">
        <f t="shared" si="3"/>
        <v>-509.74521878213739</v>
      </c>
    </row>
    <row r="32" spans="1:21" x14ac:dyDescent="0.25">
      <c r="A32" s="215" t="s">
        <v>21</v>
      </c>
      <c r="B32" s="215">
        <v>16154715.800000001</v>
      </c>
      <c r="C32" s="215">
        <v>6273.6760388349521</v>
      </c>
      <c r="D32" s="215">
        <v>7074721.7599999998</v>
      </c>
      <c r="E32" s="215">
        <v>2747.4647611650485</v>
      </c>
      <c r="G32" s="215" t="s">
        <v>21</v>
      </c>
      <c r="H32" s="215">
        <v>16877793.98</v>
      </c>
      <c r="I32" s="215">
        <v>6541.7806124031013</v>
      </c>
      <c r="J32" s="215">
        <v>8313209.2300000023</v>
      </c>
      <c r="K32" s="215">
        <v>3222.1741201550399</v>
      </c>
      <c r="M32" s="215" t="s">
        <v>21</v>
      </c>
      <c r="N32" s="215">
        <f t="shared" si="0"/>
        <v>-723078.1799999997</v>
      </c>
      <c r="O32" s="215">
        <f t="shared" si="1"/>
        <v>-268.10457356814914</v>
      </c>
      <c r="P32" s="215">
        <f t="shared" si="2"/>
        <v>-1238487.4700000025</v>
      </c>
      <c r="Q32" s="215">
        <f t="shared" si="3"/>
        <v>-474.70935898999142</v>
      </c>
    </row>
    <row r="33" spans="1:17" x14ac:dyDescent="0.25">
      <c r="A33" s="215" t="s">
        <v>6</v>
      </c>
      <c r="B33" s="215">
        <v>1609645.3</v>
      </c>
      <c r="C33" s="215">
        <v>7059.8478070175443</v>
      </c>
      <c r="D33" s="215">
        <v>-234773.74</v>
      </c>
      <c r="E33" s="215">
        <v>-1029.7093859649121</v>
      </c>
      <c r="G33" s="215" t="s">
        <v>6</v>
      </c>
      <c r="H33" s="215">
        <v>1682030.3399999999</v>
      </c>
      <c r="I33" s="215">
        <v>7576.7132432432427</v>
      </c>
      <c r="J33" s="215">
        <v>-88268.129999999655</v>
      </c>
      <c r="K33" s="215">
        <v>-397.60418918918765</v>
      </c>
      <c r="M33" s="215" t="s">
        <v>6</v>
      </c>
      <c r="N33" s="215">
        <f t="shared" si="0"/>
        <v>-72385.039999999804</v>
      </c>
      <c r="O33" s="215">
        <f t="shared" si="1"/>
        <v>-516.86543622569843</v>
      </c>
      <c r="P33" s="215">
        <f t="shared" si="2"/>
        <v>-146505.61000000034</v>
      </c>
      <c r="Q33" s="215">
        <f t="shared" si="3"/>
        <v>-632.10519677572449</v>
      </c>
    </row>
    <row r="34" spans="1:17" x14ac:dyDescent="0.25">
      <c r="A34" s="215" t="s">
        <v>34</v>
      </c>
      <c r="B34" s="215">
        <v>863363.16</v>
      </c>
      <c r="C34" s="215">
        <v>7316.6369491525429</v>
      </c>
      <c r="D34" s="215">
        <v>-1178728.1100000001</v>
      </c>
      <c r="E34" s="215">
        <v>-9989.2212711864413</v>
      </c>
      <c r="G34" s="215" t="s">
        <v>34</v>
      </c>
      <c r="H34" s="215">
        <v>1032153.5</v>
      </c>
      <c r="I34" s="215">
        <v>8001.1899224806202</v>
      </c>
      <c r="J34" s="215">
        <v>-1005628.19</v>
      </c>
      <c r="K34" s="215">
        <v>-7795.5673643410846</v>
      </c>
      <c r="M34" s="215" t="s">
        <v>34</v>
      </c>
      <c r="N34" s="215">
        <f t="shared" si="0"/>
        <v>-168790.33999999997</v>
      </c>
      <c r="O34" s="215">
        <f t="shared" si="1"/>
        <v>-684.55297332807731</v>
      </c>
      <c r="P34" s="215">
        <f t="shared" si="2"/>
        <v>-173099.92000000016</v>
      </c>
      <c r="Q34" s="215">
        <f t="shared" si="3"/>
        <v>-2193.6539068453567</v>
      </c>
    </row>
    <row r="35" spans="1:17" x14ac:dyDescent="0.25">
      <c r="A35" s="215" t="s">
        <v>52</v>
      </c>
      <c r="B35" s="215">
        <v>17609687.100000001</v>
      </c>
      <c r="C35" s="215">
        <v>9356.9006907545172</v>
      </c>
      <c r="D35" s="215">
        <v>11642148.41</v>
      </c>
      <c r="E35" s="215">
        <v>6186.0512274176408</v>
      </c>
      <c r="G35" s="215" t="s">
        <v>52</v>
      </c>
      <c r="H35" s="215">
        <v>18004708.100000001</v>
      </c>
      <c r="I35" s="215">
        <v>9521.2628767847709</v>
      </c>
      <c r="J35" s="215">
        <v>12776514.859999999</v>
      </c>
      <c r="K35" s="215">
        <v>6756.4859122157586</v>
      </c>
      <c r="M35" s="215" t="s">
        <v>52</v>
      </c>
      <c r="N35" s="215">
        <f t="shared" si="0"/>
        <v>-395021</v>
      </c>
      <c r="O35" s="215">
        <f t="shared" si="1"/>
        <v>-164.36218603025372</v>
      </c>
      <c r="P35" s="215">
        <f t="shared" si="2"/>
        <v>-1134366.4499999993</v>
      </c>
      <c r="Q35" s="215">
        <f t="shared" si="3"/>
        <v>-570.43468479811781</v>
      </c>
    </row>
    <row r="36" spans="1:17" x14ac:dyDescent="0.25">
      <c r="A36" s="215" t="s">
        <v>14</v>
      </c>
      <c r="B36" s="215">
        <v>8847212.5500000007</v>
      </c>
      <c r="C36" s="215">
        <v>7941.8425044883306</v>
      </c>
      <c r="D36" s="215">
        <v>3685339.5900000008</v>
      </c>
      <c r="E36" s="215">
        <v>3308.2042998204674</v>
      </c>
      <c r="G36" s="215" t="s">
        <v>14</v>
      </c>
      <c r="H36" s="215">
        <v>9560475.8900000006</v>
      </c>
      <c r="I36" s="215">
        <v>8490.6535435168753</v>
      </c>
      <c r="J36" s="215">
        <v>4295688.8199999994</v>
      </c>
      <c r="K36" s="215">
        <v>3814.9989520426284</v>
      </c>
      <c r="M36" s="215" t="s">
        <v>14</v>
      </c>
      <c r="N36" s="215">
        <f t="shared" si="0"/>
        <v>-713263.33999999985</v>
      </c>
      <c r="O36" s="215">
        <f t="shared" si="1"/>
        <v>-548.81103902854466</v>
      </c>
      <c r="P36" s="215">
        <f t="shared" si="2"/>
        <v>-610349.22999999858</v>
      </c>
      <c r="Q36" s="215">
        <f t="shared" si="3"/>
        <v>-506.79465222216095</v>
      </c>
    </row>
    <row r="37" spans="1:17" x14ac:dyDescent="0.25">
      <c r="A37" s="215" t="s">
        <v>32</v>
      </c>
      <c r="B37" s="215">
        <v>11590493.5</v>
      </c>
      <c r="C37" s="215">
        <v>9523.8237469186515</v>
      </c>
      <c r="D37" s="215">
        <v>6512358.330000001</v>
      </c>
      <c r="E37" s="215">
        <v>5351.1572144617921</v>
      </c>
      <c r="G37" s="215" t="s">
        <v>32</v>
      </c>
      <c r="H37" s="215">
        <v>11290231.99</v>
      </c>
      <c r="I37" s="215">
        <v>9216.5159102040816</v>
      </c>
      <c r="J37" s="215">
        <v>6419097.7300000004</v>
      </c>
      <c r="K37" s="215">
        <v>5240.079779591837</v>
      </c>
      <c r="M37" s="215" t="s">
        <v>32</v>
      </c>
      <c r="N37" s="215">
        <f t="shared" si="0"/>
        <v>300261.50999999978</v>
      </c>
      <c r="O37" s="215">
        <f t="shared" si="1"/>
        <v>307.30783671456993</v>
      </c>
      <c r="P37" s="215">
        <f t="shared" si="2"/>
        <v>93260.600000000559</v>
      </c>
      <c r="Q37" s="215">
        <f t="shared" si="3"/>
        <v>111.07743486995514</v>
      </c>
    </row>
    <row r="38" spans="1:17" x14ac:dyDescent="0.25">
      <c r="A38" s="215" t="s">
        <v>29</v>
      </c>
      <c r="B38" s="215">
        <v>1403451.52</v>
      </c>
      <c r="C38" s="215">
        <v>11995.312136752136</v>
      </c>
      <c r="D38" s="215">
        <v>-81076.300000000047</v>
      </c>
      <c r="E38" s="215">
        <v>-692.95982905982942</v>
      </c>
      <c r="G38" s="215" t="s">
        <v>29</v>
      </c>
      <c r="H38" s="215">
        <v>1609835.59</v>
      </c>
      <c r="I38" s="215">
        <v>13759.278547008547</v>
      </c>
      <c r="J38" s="215">
        <v>-68973.139999999898</v>
      </c>
      <c r="K38" s="215">
        <v>-589.51401709401625</v>
      </c>
      <c r="M38" s="215" t="s">
        <v>29</v>
      </c>
      <c r="N38" s="215">
        <f t="shared" si="0"/>
        <v>-206384.07000000007</v>
      </c>
      <c r="O38" s="215">
        <f t="shared" si="1"/>
        <v>-1763.9664102564111</v>
      </c>
      <c r="P38" s="215">
        <f t="shared" si="2"/>
        <v>-12103.160000000149</v>
      </c>
      <c r="Q38" s="215">
        <f t="shared" si="3"/>
        <v>-103.44581196581316</v>
      </c>
    </row>
    <row r="39" spans="1:17" x14ac:dyDescent="0.25">
      <c r="A39" s="215" t="s">
        <v>26</v>
      </c>
      <c r="B39" s="215">
        <v>8994469.7599999998</v>
      </c>
      <c r="C39" s="215">
        <v>7464.2902572614103</v>
      </c>
      <c r="D39" s="215">
        <v>-5341469.129999999</v>
      </c>
      <c r="E39" s="215">
        <v>-4432.7544647302893</v>
      </c>
      <c r="G39" s="215" t="s">
        <v>26</v>
      </c>
      <c r="H39" s="215">
        <v>9467167.8599999994</v>
      </c>
      <c r="I39" s="215">
        <v>7989.1711898734175</v>
      </c>
      <c r="J39" s="215">
        <v>-4253300.6399999987</v>
      </c>
      <c r="K39" s="215">
        <v>-3589.2832405063282</v>
      </c>
      <c r="M39" s="215" t="s">
        <v>26</v>
      </c>
      <c r="N39" s="215">
        <f t="shared" si="0"/>
        <v>-472698.09999999963</v>
      </c>
      <c r="O39" s="215">
        <f t="shared" si="1"/>
        <v>-524.8809326120072</v>
      </c>
      <c r="P39" s="215">
        <f t="shared" si="2"/>
        <v>-1088168.4900000002</v>
      </c>
      <c r="Q39" s="215">
        <f t="shared" si="3"/>
        <v>-843.47122422396114</v>
      </c>
    </row>
    <row r="40" spans="1:17" x14ac:dyDescent="0.25">
      <c r="A40" s="215" t="s">
        <v>48</v>
      </c>
      <c r="B40" s="215">
        <v>5282352.57</v>
      </c>
      <c r="C40" s="215">
        <v>8451.7641120000008</v>
      </c>
      <c r="D40" s="215">
        <v>1986975.6799999997</v>
      </c>
      <c r="E40" s="215">
        <v>3179.1610879999994</v>
      </c>
      <c r="G40" s="215" t="s">
        <v>48</v>
      </c>
      <c r="H40" s="215">
        <v>5060879.72</v>
      </c>
      <c r="I40" s="215">
        <v>7882.9902180685358</v>
      </c>
      <c r="J40" s="215">
        <v>1394899.9899999998</v>
      </c>
      <c r="K40" s="215">
        <v>2172.7414174454825</v>
      </c>
      <c r="M40" s="215" t="s">
        <v>48</v>
      </c>
      <c r="N40" s="215">
        <f t="shared" si="0"/>
        <v>221472.85000000056</v>
      </c>
      <c r="O40" s="215">
        <f t="shared" si="1"/>
        <v>568.77389393146495</v>
      </c>
      <c r="P40" s="215">
        <f t="shared" si="2"/>
        <v>592075.68999999994</v>
      </c>
      <c r="Q40" s="215">
        <f t="shared" si="3"/>
        <v>1006.4196705545169</v>
      </c>
    </row>
    <row r="41" spans="1:17" x14ac:dyDescent="0.25">
      <c r="A41" s="215" t="s">
        <v>44</v>
      </c>
      <c r="B41" s="215">
        <v>4714240.3000000007</v>
      </c>
      <c r="C41" s="215">
        <v>7471.0622820919189</v>
      </c>
      <c r="D41" s="215">
        <v>2313637.5000000005</v>
      </c>
      <c r="E41" s="215">
        <v>3666.6204437400957</v>
      </c>
      <c r="G41" s="215" t="s">
        <v>44</v>
      </c>
      <c r="H41" s="215">
        <v>4084166.64</v>
      </c>
      <c r="I41" s="215">
        <v>6452.08</v>
      </c>
      <c r="J41" s="215">
        <v>1260354.7200000002</v>
      </c>
      <c r="K41" s="215">
        <v>1991.0817061611378</v>
      </c>
      <c r="M41" s="215" t="s">
        <v>44</v>
      </c>
      <c r="N41" s="215">
        <f t="shared" si="0"/>
        <v>630073.66000000061</v>
      </c>
      <c r="O41" s="215">
        <f t="shared" si="1"/>
        <v>1018.9822820919189</v>
      </c>
      <c r="P41" s="215">
        <f t="shared" si="2"/>
        <v>1053282.7800000003</v>
      </c>
      <c r="Q41" s="215">
        <f t="shared" si="3"/>
        <v>1675.5387375789578</v>
      </c>
    </row>
    <row r="42" spans="1:17" x14ac:dyDescent="0.25">
      <c r="A42" s="215" t="s">
        <v>37</v>
      </c>
      <c r="B42" s="215">
        <v>10428533.609999999</v>
      </c>
      <c r="C42" s="215">
        <v>8179.2420470588231</v>
      </c>
      <c r="D42" s="215">
        <v>474934.74999999814</v>
      </c>
      <c r="E42" s="215">
        <v>372.49784313725343</v>
      </c>
      <c r="G42" s="215" t="s">
        <v>37</v>
      </c>
      <c r="H42" s="215">
        <v>11258543.550000001</v>
      </c>
      <c r="I42" s="215">
        <v>8768.3360981308415</v>
      </c>
      <c r="J42" s="215">
        <v>-309867.80999999866</v>
      </c>
      <c r="K42" s="215">
        <v>-241.3300700934569</v>
      </c>
      <c r="M42" s="215" t="s">
        <v>37</v>
      </c>
      <c r="N42" s="215">
        <f t="shared" si="0"/>
        <v>-830009.94000000134</v>
      </c>
      <c r="O42" s="215">
        <f t="shared" si="1"/>
        <v>-589.09405107201837</v>
      </c>
      <c r="P42" s="215">
        <f t="shared" si="2"/>
        <v>784802.5599999968</v>
      </c>
      <c r="Q42" s="215">
        <f t="shared" si="3"/>
        <v>613.82791323071035</v>
      </c>
    </row>
    <row r="43" spans="1:17" x14ac:dyDescent="0.25">
      <c r="A43" s="215" t="s">
        <v>51</v>
      </c>
      <c r="B43" s="215">
        <v>5638389.4799999995</v>
      </c>
      <c r="C43" s="215">
        <v>7852.9101392757657</v>
      </c>
      <c r="D43" s="215">
        <v>3098658.07</v>
      </c>
      <c r="E43" s="215">
        <v>4315.6797632311973</v>
      </c>
      <c r="G43" s="215" t="s">
        <v>51</v>
      </c>
      <c r="H43" s="215">
        <v>5676255.4499999993</v>
      </c>
      <c r="I43" s="215">
        <v>7765.055335157318</v>
      </c>
      <c r="J43" s="215">
        <v>3086864.3399999994</v>
      </c>
      <c r="K43" s="215">
        <v>4222.796634746921</v>
      </c>
      <c r="M43" s="215" t="s">
        <v>51</v>
      </c>
      <c r="N43" s="215">
        <f t="shared" si="0"/>
        <v>-37865.969999999739</v>
      </c>
      <c r="O43" s="215">
        <f t="shared" si="1"/>
        <v>87.854804118447646</v>
      </c>
      <c r="P43" s="215">
        <f t="shared" si="2"/>
        <v>11793.730000000447</v>
      </c>
      <c r="Q43" s="215">
        <f t="shared" si="3"/>
        <v>92.883128484276313</v>
      </c>
    </row>
    <row r="44" spans="1:17" x14ac:dyDescent="0.25">
      <c r="A44" s="215" t="s">
        <v>8</v>
      </c>
      <c r="B44" s="215">
        <v>9570422.3900000006</v>
      </c>
      <c r="C44" s="215">
        <v>9401.2007760314355</v>
      </c>
      <c r="D44" s="215">
        <v>5842659.1600000001</v>
      </c>
      <c r="E44" s="215">
        <v>5739.3508447937129</v>
      </c>
      <c r="G44" s="215" t="s">
        <v>8</v>
      </c>
      <c r="H44" s="215">
        <v>8931872.6600000001</v>
      </c>
      <c r="I44" s="215">
        <v>8791.2132480314958</v>
      </c>
      <c r="J44" s="215">
        <v>5096750.43</v>
      </c>
      <c r="K44" s="215">
        <v>5016.4866437007868</v>
      </c>
      <c r="M44" s="215" t="s">
        <v>8</v>
      </c>
      <c r="N44" s="215">
        <f t="shared" si="0"/>
        <v>638549.73000000045</v>
      </c>
      <c r="O44" s="215">
        <f t="shared" si="1"/>
        <v>609.98752799993963</v>
      </c>
      <c r="P44" s="215">
        <f t="shared" si="2"/>
        <v>745908.73000000045</v>
      </c>
      <c r="Q44" s="215">
        <f t="shared" si="3"/>
        <v>722.86420109292612</v>
      </c>
    </row>
    <row r="45" spans="1:17" x14ac:dyDescent="0.25">
      <c r="A45" s="215" t="s">
        <v>24</v>
      </c>
      <c r="B45" s="215">
        <v>1892477.35</v>
      </c>
      <c r="C45" s="215">
        <v>6458.9670648464171</v>
      </c>
      <c r="D45" s="215">
        <v>-735043.07000000007</v>
      </c>
      <c r="E45" s="215">
        <v>-2508.6794197952222</v>
      </c>
      <c r="G45" s="215" t="s">
        <v>24</v>
      </c>
      <c r="H45" s="215">
        <v>1867774.15</v>
      </c>
      <c r="I45" s="215">
        <v>6143.9939144736836</v>
      </c>
      <c r="J45" s="215">
        <v>-1089984.3500000006</v>
      </c>
      <c r="K45" s="215">
        <v>-3585.4748355263177</v>
      </c>
      <c r="M45" s="215" t="s">
        <v>24</v>
      </c>
      <c r="N45" s="215">
        <f t="shared" si="0"/>
        <v>24703.200000000186</v>
      </c>
      <c r="O45" s="215">
        <f t="shared" si="1"/>
        <v>314.97315037273347</v>
      </c>
      <c r="P45" s="215">
        <f t="shared" si="2"/>
        <v>354941.28000000049</v>
      </c>
      <c r="Q45" s="215">
        <f t="shared" si="3"/>
        <v>1076.7954157310955</v>
      </c>
    </row>
    <row r="46" spans="1:17" x14ac:dyDescent="0.25">
      <c r="A46" s="215" t="s">
        <v>9</v>
      </c>
      <c r="B46" s="215">
        <v>13471968.370000001</v>
      </c>
      <c r="C46" s="215">
        <v>5532.6358809034909</v>
      </c>
      <c r="D46" s="215">
        <v>8692321.1499999985</v>
      </c>
      <c r="E46" s="215">
        <v>3569.7417453798762</v>
      </c>
      <c r="G46" s="215" t="s">
        <v>9</v>
      </c>
      <c r="H46" s="215">
        <v>13098682.91</v>
      </c>
      <c r="I46" s="215">
        <v>5430.631388888889</v>
      </c>
      <c r="J46" s="215">
        <v>7718740.75</v>
      </c>
      <c r="K46" s="215">
        <v>3200.1412728026535</v>
      </c>
      <c r="M46" s="215" t="s">
        <v>9</v>
      </c>
      <c r="N46" s="215">
        <f t="shared" si="0"/>
        <v>373285.46000000089</v>
      </c>
      <c r="O46" s="215">
        <f t="shared" si="1"/>
        <v>102.00449201460196</v>
      </c>
      <c r="P46" s="215">
        <f t="shared" si="2"/>
        <v>973580.39999999851</v>
      </c>
      <c r="Q46" s="215">
        <f t="shared" si="3"/>
        <v>369.60047257722272</v>
      </c>
    </row>
    <row r="47" spans="1:17" x14ac:dyDescent="0.25">
      <c r="A47" s="215" t="s">
        <v>62</v>
      </c>
      <c r="B47" s="215">
        <v>6026726</v>
      </c>
      <c r="C47" s="215">
        <v>7667.5903307888038</v>
      </c>
      <c r="D47" s="215">
        <v>2759687.709999999</v>
      </c>
      <c r="E47" s="215">
        <v>3511.0530661577595</v>
      </c>
      <c r="G47" s="215" t="s">
        <v>62</v>
      </c>
      <c r="H47" s="215">
        <v>5987581.8100000005</v>
      </c>
      <c r="I47" s="215">
        <v>8146.3698095238105</v>
      </c>
      <c r="J47" s="215">
        <v>2805265.74</v>
      </c>
      <c r="K47" s="215">
        <v>3816.6880816326534</v>
      </c>
      <c r="M47" s="215" t="s">
        <v>62</v>
      </c>
      <c r="N47" s="215">
        <f t="shared" si="0"/>
        <v>39144.189999999478</v>
      </c>
      <c r="O47" s="215">
        <f t="shared" si="1"/>
        <v>-478.77947873500671</v>
      </c>
      <c r="P47" s="215">
        <f t="shared" si="2"/>
        <v>-45578.030000001192</v>
      </c>
      <c r="Q47" s="215">
        <f t="shared" si="3"/>
        <v>-305.63501547489386</v>
      </c>
    </row>
    <row r="48" spans="1:17" x14ac:dyDescent="0.25">
      <c r="A48" s="215" t="s">
        <v>46</v>
      </c>
      <c r="B48" s="215">
        <v>649792.4</v>
      </c>
      <c r="C48" s="215">
        <v>3531.4804347826089</v>
      </c>
      <c r="D48" s="215">
        <v>208004.44000000006</v>
      </c>
      <c r="E48" s="215">
        <v>1130.4589130434786</v>
      </c>
      <c r="G48" s="215" t="s">
        <v>46</v>
      </c>
      <c r="H48" s="215">
        <v>704845.53</v>
      </c>
      <c r="I48" s="215">
        <v>3809.9758378378378</v>
      </c>
      <c r="J48" s="215">
        <v>189759.61</v>
      </c>
      <c r="K48" s="215">
        <v>1025.7276216216214</v>
      </c>
      <c r="M48" s="215" t="s">
        <v>46</v>
      </c>
      <c r="N48" s="215">
        <f t="shared" si="0"/>
        <v>-55053.130000000005</v>
      </c>
      <c r="O48" s="215">
        <f t="shared" si="1"/>
        <v>-278.49540305522896</v>
      </c>
      <c r="P48" s="215">
        <f t="shared" si="2"/>
        <v>18244.830000000075</v>
      </c>
      <c r="Q48" s="215">
        <f t="shared" si="3"/>
        <v>104.73129142185712</v>
      </c>
    </row>
    <row r="49" spans="1:17" x14ac:dyDescent="0.25">
      <c r="A49" s="215" t="s">
        <v>35</v>
      </c>
      <c r="B49" s="215">
        <v>2023842.33</v>
      </c>
      <c r="C49" s="215">
        <v>6077.6045945945953</v>
      </c>
      <c r="D49" s="215">
        <v>-156279.87000000011</v>
      </c>
      <c r="E49" s="215">
        <v>-469.30891891891923</v>
      </c>
      <c r="G49" s="215" t="s">
        <v>35</v>
      </c>
      <c r="H49" s="215">
        <v>2002898.05</v>
      </c>
      <c r="I49" s="215">
        <v>5890.876617647059</v>
      </c>
      <c r="J49" s="215">
        <v>-637335.59000000032</v>
      </c>
      <c r="K49" s="215">
        <v>-1874.5164411764715</v>
      </c>
      <c r="M49" s="215" t="s">
        <v>35</v>
      </c>
      <c r="N49" s="215">
        <f t="shared" si="0"/>
        <v>20944.280000000028</v>
      </c>
      <c r="O49" s="215">
        <f t="shared" si="1"/>
        <v>186.72797694753626</v>
      </c>
      <c r="P49" s="215">
        <f t="shared" si="2"/>
        <v>481055.7200000002</v>
      </c>
      <c r="Q49" s="215">
        <f t="shared" si="3"/>
        <v>1405.2075222575522</v>
      </c>
    </row>
    <row r="50" spans="1:17" x14ac:dyDescent="0.25">
      <c r="A50" s="215" t="s">
        <v>49</v>
      </c>
      <c r="B50" s="215">
        <v>19520581.41</v>
      </c>
      <c r="C50" s="215">
        <v>11661.040268817205</v>
      </c>
      <c r="D50" s="215">
        <v>15130371.179999998</v>
      </c>
      <c r="E50" s="215">
        <v>9038.4535125448019</v>
      </c>
      <c r="G50" s="215" t="s">
        <v>49</v>
      </c>
      <c r="H50" s="215">
        <v>19789094.379999999</v>
      </c>
      <c r="I50" s="215">
        <v>11661.222380671774</v>
      </c>
      <c r="J50" s="215">
        <v>15312974.43</v>
      </c>
      <c r="K50" s="215">
        <v>9023.5559398939295</v>
      </c>
      <c r="M50" s="215" t="s">
        <v>49</v>
      </c>
      <c r="N50" s="215">
        <f t="shared" si="0"/>
        <v>-268512.96999999881</v>
      </c>
      <c r="O50" s="215">
        <f t="shared" si="1"/>
        <v>-0.18211185456857493</v>
      </c>
      <c r="P50" s="215">
        <f t="shared" si="2"/>
        <v>-182603.25000000186</v>
      </c>
      <c r="Q50" s="215">
        <f t="shared" si="3"/>
        <v>14.897572650872462</v>
      </c>
    </row>
    <row r="51" spans="1:17" x14ac:dyDescent="0.25">
      <c r="A51" s="215" t="s">
        <v>47</v>
      </c>
      <c r="B51" s="215">
        <v>3023471.06</v>
      </c>
      <c r="C51" s="215">
        <v>7732.662557544757</v>
      </c>
      <c r="D51" s="215">
        <v>51593.350000000093</v>
      </c>
      <c r="E51" s="215">
        <v>131.95230179028158</v>
      </c>
      <c r="G51" s="215" t="s">
        <v>47</v>
      </c>
      <c r="H51" s="215">
        <v>2070284.17</v>
      </c>
      <c r="I51" s="215">
        <v>5308.4209487179487</v>
      </c>
      <c r="J51" s="215">
        <v>-884214.48000000021</v>
      </c>
      <c r="K51" s="215">
        <v>-2267.216615384616</v>
      </c>
      <c r="M51" s="215" t="s">
        <v>47</v>
      </c>
      <c r="N51" s="215">
        <f t="shared" si="0"/>
        <v>953186.89000000013</v>
      </c>
      <c r="O51" s="215">
        <f t="shared" si="1"/>
        <v>2424.2416088268083</v>
      </c>
      <c r="P51" s="215">
        <f t="shared" si="2"/>
        <v>935807.83000000031</v>
      </c>
      <c r="Q51" s="215">
        <f t="shared" si="3"/>
        <v>2399.1689171748976</v>
      </c>
    </row>
    <row r="52" spans="1:17" x14ac:dyDescent="0.25">
      <c r="A52" s="215" t="s">
        <v>58</v>
      </c>
      <c r="B52" s="215">
        <v>10935065.559999999</v>
      </c>
      <c r="C52" s="215">
        <v>10394.549011406843</v>
      </c>
      <c r="D52" s="215">
        <v>5751414.4799999986</v>
      </c>
      <c r="E52" s="215">
        <v>5467.1240304182493</v>
      </c>
      <c r="G52" s="215" t="s">
        <v>58</v>
      </c>
      <c r="H52" s="215">
        <v>10358562.43</v>
      </c>
      <c r="I52" s="215">
        <v>9653.8326467847146</v>
      </c>
      <c r="J52" s="215">
        <v>5827342.290000001</v>
      </c>
      <c r="K52" s="215">
        <v>5430.887502329917</v>
      </c>
      <c r="M52" s="215" t="s">
        <v>58</v>
      </c>
      <c r="N52" s="215">
        <f t="shared" si="0"/>
        <v>576503.12999999896</v>
      </c>
      <c r="O52" s="215">
        <f t="shared" si="1"/>
        <v>740.71636462212882</v>
      </c>
      <c r="P52" s="215">
        <f t="shared" si="2"/>
        <v>-75927.810000002384</v>
      </c>
      <c r="Q52" s="215">
        <f t="shared" si="3"/>
        <v>36.236528088332307</v>
      </c>
    </row>
    <row r="53" spans="1:17" x14ac:dyDescent="0.25">
      <c r="A53" s="215" t="s">
        <v>50</v>
      </c>
      <c r="B53" s="215">
        <v>142500</v>
      </c>
      <c r="C53" s="215">
        <v>766.12903225806451</v>
      </c>
      <c r="D53" s="215">
        <v>-341679.31000000011</v>
      </c>
      <c r="E53" s="215">
        <v>-1836.9855376344092</v>
      </c>
      <c r="G53" s="215" t="s">
        <v>50</v>
      </c>
      <c r="H53" s="215">
        <v>219892.5</v>
      </c>
      <c r="I53" s="215">
        <v>1195.0679347826087</v>
      </c>
      <c r="J53" s="215">
        <v>-576498.74</v>
      </c>
      <c r="K53" s="215">
        <v>-3133.1453260869566</v>
      </c>
      <c r="M53" s="215" t="s">
        <v>50</v>
      </c>
      <c r="N53" s="215">
        <f t="shared" si="0"/>
        <v>-77392.5</v>
      </c>
      <c r="O53" s="215">
        <f t="shared" si="1"/>
        <v>-428.93890252454423</v>
      </c>
      <c r="P53" s="215">
        <f t="shared" si="2"/>
        <v>234819.42999999988</v>
      </c>
      <c r="Q53" s="215">
        <f t="shared" si="3"/>
        <v>1296.1597884525474</v>
      </c>
    </row>
    <row r="54" spans="1:17" x14ac:dyDescent="0.25">
      <c r="A54" s="215" t="s">
        <v>16</v>
      </c>
      <c r="B54" s="215">
        <v>69546558.280000001</v>
      </c>
      <c r="C54" s="215">
        <v>10797.478385343891</v>
      </c>
      <c r="D54" s="215">
        <v>45122415.250000007</v>
      </c>
      <c r="E54" s="215">
        <v>7005.4984086322011</v>
      </c>
      <c r="G54" s="215" t="s">
        <v>16</v>
      </c>
      <c r="H54" s="215">
        <v>66904253.960000001</v>
      </c>
      <c r="I54" s="215">
        <v>10347.08536343953</v>
      </c>
      <c r="J54" s="215">
        <v>42123403.110000007</v>
      </c>
      <c r="K54" s="215">
        <v>6514.5999242189928</v>
      </c>
      <c r="M54" s="215" t="s">
        <v>16</v>
      </c>
      <c r="N54" s="215">
        <f t="shared" si="0"/>
        <v>2642304.3200000003</v>
      </c>
      <c r="O54" s="215">
        <f t="shared" si="1"/>
        <v>450.39302190436138</v>
      </c>
      <c r="P54" s="215">
        <f t="shared" si="2"/>
        <v>2999012.1400000006</v>
      </c>
      <c r="Q54" s="215">
        <f t="shared" si="3"/>
        <v>490.89848441320828</v>
      </c>
    </row>
    <row r="55" spans="1:17" x14ac:dyDescent="0.25">
      <c r="A55" s="215" t="s">
        <v>25</v>
      </c>
      <c r="B55" s="215">
        <v>3987825.17</v>
      </c>
      <c r="C55" s="215">
        <v>7303.7091025641021</v>
      </c>
      <c r="D55" s="215">
        <v>1841514.0200000005</v>
      </c>
      <c r="E55" s="215">
        <v>3372.7363003663013</v>
      </c>
      <c r="G55" s="215" t="s">
        <v>25</v>
      </c>
      <c r="H55" s="215">
        <v>4041025.6399999997</v>
      </c>
      <c r="I55" s="215">
        <v>7229.0261896243283</v>
      </c>
      <c r="J55" s="215">
        <v>1980846.71</v>
      </c>
      <c r="K55" s="215">
        <v>3543.5540429338103</v>
      </c>
      <c r="M55" s="215" t="s">
        <v>25</v>
      </c>
      <c r="N55" s="215">
        <f t="shared" si="0"/>
        <v>-53200.469999999739</v>
      </c>
      <c r="O55" s="215">
        <f t="shared" si="1"/>
        <v>74.682912939773814</v>
      </c>
      <c r="P55" s="215">
        <f t="shared" si="2"/>
        <v>-139332.68999999948</v>
      </c>
      <c r="Q55" s="215">
        <f t="shared" si="3"/>
        <v>-170.81774256750896</v>
      </c>
    </row>
    <row r="57" spans="1:17" x14ac:dyDescent="0.25">
      <c r="M57" s="215" t="s">
        <v>872</v>
      </c>
      <c r="N57" s="215">
        <f>N7+N10+N11+N13+N16+N17+N18+N19+N25+N26+N27+N28+N29+N37+N40+N41+N44+N45+N46+N47+N49+N51+N52+N54</f>
        <v>36668095.229999982</v>
      </c>
      <c r="O57" s="215">
        <f>O7+O10+O11+O13+O16+O19+O25+O26+O27+O28+O29+O37+O40+O41+O43+O44+O45+O46+O49+O51+O52+O54+O55</f>
        <v>17589.656901128845</v>
      </c>
      <c r="P57" s="215">
        <f>P4+P7+P8+P10+P11+P12+P13+P14+P19+P21+P22+P25+P26+P27+P28+P29+P30+P37+P40+P41+P42+P43+P44+P45+P46+P48+P49+P51+P53+P54</f>
        <v>25194031.869999994</v>
      </c>
      <c r="Q57" s="215">
        <f>Q4+Q7+Q8+Q10+Q11+Q12+Q13+Q14+Q19+Q20+Q21+Q22+Q25+Q26+Q27+Q28+Q29+Q30+Q37+Q40+Q41+Q42+Q43+Q44+Q45+Q46+Q48+Q49+Q50+Q51+Q52+Q53+Q54</f>
        <v>21372.487087237459</v>
      </c>
    </row>
    <row r="58" spans="1:17" x14ac:dyDescent="0.25">
      <c r="M58" s="215" t="s">
        <v>873</v>
      </c>
      <c r="N58" s="215">
        <f>N3+N4+N5+N6+N8+N9+N12+N14+N15+N20+N21+N22+N23+N24+N30+N31+N32+N33+N34+N35+N36+N38+N39+N42+N43+N48+N50+N53+N55</f>
        <v>-12715920.810000002</v>
      </c>
      <c r="O58" s="215">
        <f>O3+O4+O5+O6+O8+O9++O12+O14+O15+O17+O18+O20+O21+O22+O23+O24+O30+O31+O32+O33+O34+O35+O36+O38+O39+O42+O47+O48+O50+O53</f>
        <v>-13959.666257758387</v>
      </c>
      <c r="P58" s="215">
        <f>P3+P5+P6+P9+P15+P16+P17+P18+P20+P23+P24+P31+P32+P33+P34+P35+P36+P38+P39+P47+P50+P52+P55</f>
        <v>-11967920.160000013</v>
      </c>
      <c r="Q58" s="215">
        <f>Q3+Q5+Q6+Q9+Q15+Q16+Q17+Q18+Q23+Q24+Q31+Q32+Q33+Q34+Q35+Q36+Q38+Q39+Q47+Q55</f>
        <v>-12005.68343338231</v>
      </c>
    </row>
  </sheetData>
  <mergeCells count="5">
    <mergeCell ref="A1:E1"/>
    <mergeCell ref="G1:K1"/>
    <mergeCell ref="M1:Q1"/>
    <mergeCell ref="S2:U2"/>
    <mergeCell ref="S10:U10"/>
  </mergeCells>
  <pageMargins left="0.7" right="0.7" top="0.75" bottom="0.75" header="0.3" footer="0.3"/>
  <pageSetup paperSize="9" scale="2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5" t="s">
        <v>635</v>
      </c>
      <c r="B14" s="226"/>
      <c r="C14" s="226"/>
      <c r="D14" s="226"/>
      <c r="E14" s="226"/>
      <c r="F14" s="226"/>
      <c r="G14" s="226"/>
      <c r="H14" s="227"/>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5" t="s">
        <v>647</v>
      </c>
      <c r="B24" s="226"/>
      <c r="C24" s="226"/>
      <c r="D24" s="226"/>
      <c r="E24" s="226"/>
      <c r="F24" s="226"/>
      <c r="G24" s="226"/>
      <c r="H24" s="227"/>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5" t="s">
        <v>654</v>
      </c>
      <c r="B32" s="226"/>
      <c r="C32" s="226"/>
      <c r="D32" s="226"/>
      <c r="E32" s="226"/>
      <c r="F32" s="226"/>
      <c r="G32" s="226"/>
      <c r="H32" s="227"/>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5" t="s">
        <v>664</v>
      </c>
      <c r="B42" s="226"/>
      <c r="C42" s="226"/>
      <c r="D42" s="226"/>
      <c r="E42" s="226"/>
      <c r="F42" s="226"/>
      <c r="G42" s="226"/>
      <c r="H42" s="227"/>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5" t="s">
        <v>674</v>
      </c>
      <c r="B53" s="226"/>
      <c r="C53" s="226"/>
      <c r="D53" s="226"/>
      <c r="E53" s="226"/>
      <c r="F53" s="226"/>
      <c r="G53" s="226"/>
      <c r="H53" s="227"/>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5" t="s">
        <v>682</v>
      </c>
      <c r="B62" s="226"/>
      <c r="C62" s="226"/>
      <c r="D62" s="226"/>
      <c r="E62" s="226"/>
      <c r="F62" s="226"/>
      <c r="G62" s="226"/>
      <c r="H62" s="227"/>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5" t="s">
        <v>691</v>
      </c>
      <c r="B71" s="226"/>
      <c r="C71" s="226"/>
      <c r="D71" s="226"/>
      <c r="E71" s="226"/>
      <c r="F71" s="226"/>
      <c r="G71" s="226"/>
      <c r="H71" s="227"/>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5" t="s">
        <v>703</v>
      </c>
      <c r="B81" s="226"/>
      <c r="C81" s="226"/>
      <c r="D81" s="226"/>
      <c r="E81" s="226"/>
      <c r="F81" s="226"/>
      <c r="G81" s="226"/>
      <c r="H81" s="227"/>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5" t="s">
        <v>710</v>
      </c>
      <c r="B89" s="226"/>
      <c r="C89" s="226"/>
      <c r="D89" s="226"/>
      <c r="E89" s="226"/>
      <c r="F89" s="226"/>
      <c r="G89" s="226"/>
      <c r="H89" s="227"/>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5" t="s">
        <v>718</v>
      </c>
      <c r="B98" s="226"/>
      <c r="C98" s="226"/>
      <c r="D98" s="226"/>
      <c r="E98" s="226"/>
      <c r="F98" s="226"/>
      <c r="G98" s="226"/>
      <c r="H98" s="227"/>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v>347225836.00999999</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v>646617537.25999999</v>
      </c>
      <c r="BG9" s="13">
        <f t="shared" ref="BG9:BG15" si="0">SUM(E9:W9)</f>
        <v>352784472.42999995</v>
      </c>
      <c r="BH9" s="13">
        <f t="shared" ref="BH9:BH15" si="1">SUM(X9:AJ9)</f>
        <v>70550624.230000004</v>
      </c>
      <c r="BI9" s="13">
        <f t="shared" ref="BI9:BI15" si="2">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v>39496696.909999996</v>
      </c>
      <c r="BG10" s="13">
        <f t="shared" si="0"/>
        <v>20808039.789999999</v>
      </c>
      <c r="BH10" s="13">
        <f t="shared" si="1"/>
        <v>8509290.0800000001</v>
      </c>
      <c r="BI10" s="13">
        <f t="shared" si="2"/>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v>102543852.65000001</v>
      </c>
      <c r="BG11" s="13">
        <f t="shared" si="0"/>
        <v>69825638.88000001</v>
      </c>
      <c r="BH11" s="13">
        <f t="shared" si="1"/>
        <v>7145201.7800000003</v>
      </c>
      <c r="BI11" s="13">
        <f t="shared" si="2"/>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ref="BF12" si="3">SUM(E12:BE12)</f>
        <v>0</v>
      </c>
      <c r="BG12" s="13">
        <f t="shared" si="0"/>
        <v>0</v>
      </c>
      <c r="BH12" s="13">
        <f t="shared" si="1"/>
        <v>0</v>
      </c>
      <c r="BI12" s="13">
        <f t="shared" si="2"/>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v>470255248.19999999</v>
      </c>
      <c r="BG13" s="13">
        <f t="shared" si="0"/>
        <v>247970324.77000001</v>
      </c>
      <c r="BH13" s="13">
        <f t="shared" si="1"/>
        <v>42736971.399999999</v>
      </c>
      <c r="BI13" s="13">
        <f t="shared" si="2"/>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v>268567835.19</v>
      </c>
      <c r="BG14" s="13">
        <f t="shared" si="0"/>
        <v>97698865.090000004</v>
      </c>
      <c r="BH14" s="13">
        <f t="shared" si="1"/>
        <v>70231003.800000012</v>
      </c>
      <c r="BI14" s="13">
        <f t="shared" si="2"/>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v>105179156.92</v>
      </c>
      <c r="BG15" s="13">
        <f t="shared" si="0"/>
        <v>20738715.079999998</v>
      </c>
      <c r="BH15" s="13">
        <f t="shared" si="1"/>
        <v>38325730.269999996</v>
      </c>
      <c r="BI15" s="13">
        <f t="shared" si="2"/>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8">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8">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92351.49</v>
      </c>
      <c r="BF21" s="13">
        <f t="shared" si="4"/>
        <v>25063351.139999997</v>
      </c>
      <c r="BG21" s="13">
        <f t="shared" si="5"/>
        <v>12902802.43</v>
      </c>
      <c r="BH21" s="13">
        <f t="shared" si="6"/>
        <v>3327280.1599999992</v>
      </c>
      <c r="BI21" s="13">
        <f t="shared" si="7"/>
        <v>8833268.5499999989</v>
      </c>
    </row>
    <row r="22" spans="1:61" x14ac:dyDescent="0.2">
      <c r="C22" s="8">
        <v>34</v>
      </c>
      <c r="D22" s="8" t="s">
        <v>100</v>
      </c>
      <c r="E22" s="18">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8">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8">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8">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8">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8">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8">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8">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8">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8">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8">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8">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8">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8">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8">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116182.76</v>
      </c>
      <c r="F55" s="19">
        <v>-200798.42</v>
      </c>
      <c r="G55" s="19">
        <v>277440.62</v>
      </c>
      <c r="H55" s="19">
        <v>-54896.01</v>
      </c>
      <c r="I55" s="19">
        <v>166774.22</v>
      </c>
      <c r="J55" s="19">
        <v>317394.89</v>
      </c>
      <c r="K55" s="19">
        <v>469681.96</v>
      </c>
      <c r="L55" s="19">
        <v>-1042128.57</v>
      </c>
      <c r="M55" s="19">
        <v>-113213.44</v>
      </c>
      <c r="N55" s="19">
        <v>5101.07</v>
      </c>
      <c r="O55" s="19">
        <v>1086020.8</v>
      </c>
      <c r="P55" s="19">
        <v>-51921.06</v>
      </c>
      <c r="Q55" s="19">
        <v>27333.61</v>
      </c>
      <c r="R55" s="91">
        <v>-53278.53</v>
      </c>
      <c r="S55" s="19">
        <v>204040.5</v>
      </c>
      <c r="T55" s="19">
        <v>269472.09000000003</v>
      </c>
      <c r="U55" s="19">
        <v>-52483.040000000001</v>
      </c>
      <c r="V55" s="19">
        <v>-34441.11</v>
      </c>
      <c r="W55" s="19">
        <v>418445.06</v>
      </c>
      <c r="X55" s="19">
        <v>64094.42</v>
      </c>
      <c r="Y55" s="19">
        <v>879139.75</v>
      </c>
      <c r="Z55" s="19">
        <v>1866501.58</v>
      </c>
      <c r="AA55" s="19">
        <v>-116577.55</v>
      </c>
      <c r="AB55" s="19">
        <v>37709.21</v>
      </c>
      <c r="AC55" s="19">
        <v>7337.03</v>
      </c>
      <c r="AD55" s="19">
        <v>54270.14</v>
      </c>
      <c r="AE55" s="19">
        <v>-258305.8</v>
      </c>
      <c r="AF55" s="91">
        <v>-125962.73</v>
      </c>
      <c r="AG55" s="19">
        <v>1150369.28</v>
      </c>
      <c r="AH55" s="19">
        <v>495635.45</v>
      </c>
      <c r="AI55" s="19">
        <v>48632.11</v>
      </c>
      <c r="AJ55" s="19">
        <v>49352.77</v>
      </c>
      <c r="AK55" s="19">
        <v>617262.02</v>
      </c>
      <c r="AL55" s="19">
        <v>100441.82</v>
      </c>
      <c r="AM55" s="19">
        <v>-22426.51</v>
      </c>
      <c r="AN55" s="19">
        <v>-9442.24</v>
      </c>
      <c r="AO55" s="19">
        <v>112659.28</v>
      </c>
      <c r="AP55" s="19">
        <v>-28465.24</v>
      </c>
      <c r="AQ55" s="19">
        <v>-105514.74</v>
      </c>
      <c r="AR55" s="19">
        <v>15301.63</v>
      </c>
      <c r="AS55" s="19">
        <v>-163520.98000000001</v>
      </c>
      <c r="AT55" s="91">
        <v>-97827.58</v>
      </c>
      <c r="AU55" s="19">
        <v>-213500.08</v>
      </c>
      <c r="AV55" s="19">
        <v>174735.11</v>
      </c>
      <c r="AW55" s="19">
        <v>50458.33</v>
      </c>
      <c r="AX55" s="19">
        <v>-44181.13</v>
      </c>
      <c r="AY55" s="19">
        <v>-87327.44</v>
      </c>
      <c r="AZ55" s="19">
        <v>7224.15</v>
      </c>
      <c r="BA55" s="19">
        <v>131178.64000000001</v>
      </c>
      <c r="BB55" s="19">
        <v>135911.97</v>
      </c>
      <c r="BC55" s="19">
        <v>1611.37</v>
      </c>
      <c r="BD55" s="19">
        <v>1042023.45</v>
      </c>
      <c r="BE55" s="19">
        <v>65056.2</v>
      </c>
      <c r="BF55" s="19">
        <f t="shared" si="8"/>
        <v>7588581.0899999999</v>
      </c>
      <c r="BG55" s="19">
        <f t="shared" si="9"/>
        <v>1754727.4</v>
      </c>
      <c r="BH55" s="19">
        <f t="shared" si="10"/>
        <v>4152195.66</v>
      </c>
      <c r="BI55" s="19">
        <f t="shared" si="11"/>
        <v>1681658.03</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43"/>
  <sheetViews>
    <sheetView workbookViewId="0">
      <pane xSplit="4" ySplit="4" topLeftCell="E1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66" width="11.42578125" style="8"/>
    <col min="67" max="67" width="13.85546875" style="8" bestFit="1" customWidth="1"/>
    <col min="68" max="68" width="11.42578125" style="8"/>
    <col min="69" max="69" width="12.7109375" style="8" bestFit="1" customWidth="1"/>
    <col min="70" max="16384" width="11.42578125" style="8"/>
  </cols>
  <sheetData>
    <row r="1" spans="1:62" ht="18" x14ac:dyDescent="0.25">
      <c r="A1" s="228" t="s">
        <v>491</v>
      </c>
      <c r="B1" s="228"/>
      <c r="C1" s="228"/>
      <c r="D1" s="228"/>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9" ht="15.75" thickBot="1" x14ac:dyDescent="0.3">
      <c r="A17" s="7" t="s">
        <v>501</v>
      </c>
      <c r="B17" s="169"/>
      <c r="D17" s="168">
        <f>IF(D15&lt;&gt;0,D8/D15,"")*100</f>
        <v>145.24545101418678</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9" x14ac:dyDescent="0.2">
      <c r="A18" s="173" t="s">
        <v>502</v>
      </c>
      <c r="B18" s="169"/>
      <c r="D18" s="13"/>
      <c r="BF18" s="13"/>
      <c r="BG18" s="13"/>
      <c r="BH18" s="13"/>
      <c r="BJ18" s="13"/>
    </row>
    <row r="19" spans="1:69" x14ac:dyDescent="0.2">
      <c r="A19" s="173"/>
      <c r="B19" s="169"/>
      <c r="D19" s="13"/>
      <c r="BF19" s="13"/>
      <c r="BG19" s="13"/>
      <c r="BH19" s="13"/>
      <c r="BJ19" s="13"/>
    </row>
    <row r="20" spans="1:69" x14ac:dyDescent="0.2">
      <c r="B20" s="169"/>
      <c r="D20" s="13"/>
      <c r="BF20" s="13"/>
      <c r="BG20" s="13"/>
      <c r="BH20" s="13"/>
      <c r="BJ20" s="13"/>
    </row>
    <row r="21" spans="1:69" ht="15" x14ac:dyDescent="0.25">
      <c r="A21" s="7" t="s">
        <v>503</v>
      </c>
      <c r="B21" s="169"/>
      <c r="D21" s="13"/>
      <c r="BF21" s="13"/>
      <c r="BG21" s="13"/>
      <c r="BH21" s="13"/>
      <c r="BJ21" s="13"/>
    </row>
    <row r="22" spans="1:69" x14ac:dyDescent="0.2">
      <c r="B22" s="169"/>
      <c r="D22" s="13"/>
      <c r="BF22" s="13"/>
      <c r="BG22" s="13"/>
      <c r="BH22" s="13"/>
      <c r="BJ22" s="13"/>
    </row>
    <row r="23" spans="1:69" x14ac:dyDescent="0.2">
      <c r="A23" s="159" t="s">
        <v>504</v>
      </c>
      <c r="B23" s="160"/>
      <c r="C23" s="174">
        <v>90</v>
      </c>
      <c r="D23" s="175">
        <f>'Base de données indicateurs1'!BF55</f>
        <v>7588581.0899999999</v>
      </c>
      <c r="E23" s="176">
        <f>'Base de données indicateurs1'!E55</f>
        <v>116182.76</v>
      </c>
      <c r="F23" s="176">
        <f>'Base de données indicateurs1'!F55</f>
        <v>-200798.42</v>
      </c>
      <c r="G23" s="176">
        <f>'Base de données indicateurs1'!G55</f>
        <v>277440.62</v>
      </c>
      <c r="H23" s="176">
        <f>'Base de données indicateurs1'!H55</f>
        <v>-54896.01</v>
      </c>
      <c r="I23" s="176">
        <f>'Base de données indicateurs1'!I55</f>
        <v>166774.22</v>
      </c>
      <c r="J23" s="176">
        <f>'Base de données indicateurs1'!J55</f>
        <v>317394.89</v>
      </c>
      <c r="K23" s="176">
        <f>'Base de données indicateurs1'!K55</f>
        <v>469681.96</v>
      </c>
      <c r="L23" s="176">
        <f>'Base de données indicateurs1'!L55</f>
        <v>-1042128.57</v>
      </c>
      <c r="M23" s="176">
        <f>'Base de données indicateurs1'!M55</f>
        <v>-113213.44</v>
      </c>
      <c r="N23" s="176">
        <f>'Base de données indicateurs1'!N55</f>
        <v>5101.07</v>
      </c>
      <c r="O23" s="176">
        <f>'Base de données indicateurs1'!O55</f>
        <v>1086020.8</v>
      </c>
      <c r="P23" s="176">
        <f>'Base de données indicateurs1'!P55</f>
        <v>-51921.06</v>
      </c>
      <c r="Q23" s="176">
        <f>'Base de données indicateurs1'!Q55</f>
        <v>27333.61</v>
      </c>
      <c r="R23" s="176">
        <f>'Base de données indicateurs1'!R55</f>
        <v>-53278.53</v>
      </c>
      <c r="S23" s="176">
        <f>'Base de données indicateurs1'!S55</f>
        <v>204040.5</v>
      </c>
      <c r="T23" s="176">
        <f>'Base de données indicateurs1'!T55</f>
        <v>269472.09000000003</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879139.75</v>
      </c>
      <c r="Z23" s="176">
        <f>'Base de données indicateurs1'!Z55</f>
        <v>1866501.58</v>
      </c>
      <c r="AA23" s="176">
        <f>'Base de données indicateurs1'!AA55</f>
        <v>-116577.55</v>
      </c>
      <c r="AB23" s="176">
        <f>'Base de données indicateurs1'!AB55</f>
        <v>37709.21</v>
      </c>
      <c r="AC23" s="176">
        <f>'Base de données indicateurs1'!AC55</f>
        <v>7337.03</v>
      </c>
      <c r="AD23" s="176">
        <f>'Base de données indicateurs1'!AD55</f>
        <v>54270.14</v>
      </c>
      <c r="AE23" s="176">
        <f>'Base de données indicateurs1'!AE55</f>
        <v>-258305.8</v>
      </c>
      <c r="AF23" s="176">
        <f>'Base de données indicateurs1'!AF55</f>
        <v>-125962.73</v>
      </c>
      <c r="AG23" s="176">
        <f>'Base de données indicateurs1'!AG55</f>
        <v>1150369.28</v>
      </c>
      <c r="AH23" s="176">
        <f>'Base de données indicateurs1'!AH55</f>
        <v>495635.45</v>
      </c>
      <c r="AI23" s="176">
        <f>'Base de données indicateurs1'!AI55</f>
        <v>48632.11</v>
      </c>
      <c r="AJ23" s="176">
        <f>'Base de données indicateurs1'!AJ55</f>
        <v>49352.77</v>
      </c>
      <c r="AK23" s="176">
        <f>'Base de données indicateurs1'!AK55</f>
        <v>617262.02</v>
      </c>
      <c r="AL23" s="176">
        <f>'Base de données indicateurs1'!AL55</f>
        <v>100441.82</v>
      </c>
      <c r="AM23" s="176">
        <f>'Base de données indicateurs1'!AM55</f>
        <v>-22426.51</v>
      </c>
      <c r="AN23" s="176">
        <f>'Base de données indicateurs1'!AN55</f>
        <v>-9442.24</v>
      </c>
      <c r="AO23" s="176">
        <f>'Base de données indicateurs1'!AO55</f>
        <v>112659.28</v>
      </c>
      <c r="AP23" s="176">
        <f>'Base de données indicateurs1'!AP55</f>
        <v>-28465.24</v>
      </c>
      <c r="AQ23" s="176">
        <f>'Base de données indicateurs1'!AQ55</f>
        <v>-105514.74</v>
      </c>
      <c r="AR23" s="176">
        <f>'Base de données indicateurs1'!AR55</f>
        <v>15301.63</v>
      </c>
      <c r="AS23" s="176">
        <f>'Base de données indicateurs1'!AS55</f>
        <v>-163520.98000000001</v>
      </c>
      <c r="AT23" s="176">
        <f>'Base de données indicateurs1'!AT55</f>
        <v>-97827.58</v>
      </c>
      <c r="AU23" s="176">
        <f>'Base de données indicateurs1'!AU55</f>
        <v>-213500.08</v>
      </c>
      <c r="AV23" s="176">
        <f>'Base de données indicateurs1'!AV55</f>
        <v>174735.11</v>
      </c>
      <c r="AW23" s="176">
        <f>'Base de données indicateurs1'!AW55</f>
        <v>50458.33</v>
      </c>
      <c r="AX23" s="176">
        <f>'Base de données indicateurs1'!AX55</f>
        <v>-44181.13</v>
      </c>
      <c r="AY23" s="176">
        <f>'Base de données indicateurs1'!AY55</f>
        <v>-87327.44</v>
      </c>
      <c r="AZ23" s="176">
        <f>'Base de données indicateurs1'!AZ55</f>
        <v>7224.15</v>
      </c>
      <c r="BA23" s="176">
        <f>'Base de données indicateurs1'!BA55</f>
        <v>131178.64000000001</v>
      </c>
      <c r="BB23" s="176">
        <f>'Base de données indicateurs1'!BB55</f>
        <v>135911.97</v>
      </c>
      <c r="BC23" s="176">
        <f>'Base de données indicateurs1'!BC55</f>
        <v>1611.37</v>
      </c>
      <c r="BD23" s="176">
        <f>'Base de données indicateurs1'!BD55</f>
        <v>1042023.45</v>
      </c>
      <c r="BE23" s="176">
        <f>'Base de données indicateurs1'!BE55</f>
        <v>65056.2</v>
      </c>
      <c r="BF23" s="13">
        <f t="shared" si="0"/>
        <v>1754727.4</v>
      </c>
      <c r="BG23" s="13">
        <f t="shared" si="1"/>
        <v>4152195.66</v>
      </c>
      <c r="BH23" s="13">
        <f t="shared" si="2"/>
        <v>1681658.03</v>
      </c>
      <c r="BJ23" s="13"/>
      <c r="BO23" s="13"/>
      <c r="BQ23" s="13"/>
    </row>
    <row r="24" spans="1:69" x14ac:dyDescent="0.2">
      <c r="A24" s="162" t="s">
        <v>97</v>
      </c>
      <c r="B24" s="163" t="s">
        <v>224</v>
      </c>
      <c r="C24" s="162">
        <v>33</v>
      </c>
      <c r="D24" s="164">
        <f>'Base de données indicateurs1'!BF21</f>
        <v>25063351.139999997</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92351.49</v>
      </c>
      <c r="BF24" s="13">
        <f t="shared" si="0"/>
        <v>12902802.43</v>
      </c>
      <c r="BG24" s="13">
        <f t="shared" si="1"/>
        <v>3327280.1599999992</v>
      </c>
      <c r="BH24" s="13">
        <f t="shared" si="2"/>
        <v>8833268.5499999989</v>
      </c>
      <c r="BJ24" s="13"/>
      <c r="BO24" s="13"/>
      <c r="BQ24" s="13"/>
    </row>
    <row r="25" spans="1:69" x14ac:dyDescent="0.2">
      <c r="A25" s="162" t="s">
        <v>226</v>
      </c>
      <c r="B25" s="163" t="s">
        <v>224</v>
      </c>
      <c r="C25" s="162">
        <v>35</v>
      </c>
      <c r="D25" s="164">
        <v>2809245.67</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c r="BO25" s="13"/>
      <c r="BQ25" s="13"/>
    </row>
    <row r="26" spans="1:69" x14ac:dyDescent="0.2">
      <c r="A26" s="162" t="s">
        <v>173</v>
      </c>
      <c r="B26" s="163" t="s">
        <v>225</v>
      </c>
      <c r="C26" s="162">
        <v>45</v>
      </c>
      <c r="D26" s="164">
        <v>4005363.81</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c r="BO26" s="13"/>
      <c r="BQ26" s="13"/>
    </row>
    <row r="27" spans="1:69"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c r="BO27" s="13"/>
      <c r="BQ27" s="13"/>
    </row>
    <row r="28" spans="1:69"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c r="BO28" s="13"/>
      <c r="BQ28" s="13"/>
    </row>
    <row r="29" spans="1:69" x14ac:dyDescent="0.2">
      <c r="A29" s="162" t="s">
        <v>507</v>
      </c>
      <c r="B29" s="163" t="s">
        <v>224</v>
      </c>
      <c r="C29" s="162">
        <v>366</v>
      </c>
      <c r="D29" s="164">
        <v>376170.38</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c r="BO29" s="13"/>
      <c r="BQ29" s="13"/>
    </row>
    <row r="30" spans="1:69" x14ac:dyDescent="0.2">
      <c r="A30" s="162" t="s">
        <v>508</v>
      </c>
      <c r="B30" s="163" t="s">
        <v>224</v>
      </c>
      <c r="C30" s="162">
        <v>389</v>
      </c>
      <c r="D30" s="164">
        <v>6649597.2199999997</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c r="BO30" s="13"/>
      <c r="BQ30" s="13"/>
    </row>
    <row r="31" spans="1:69" x14ac:dyDescent="0.2">
      <c r="A31" s="162" t="s">
        <v>232</v>
      </c>
      <c r="B31" s="163" t="s">
        <v>225</v>
      </c>
      <c r="C31" s="162">
        <v>489</v>
      </c>
      <c r="D31" s="164">
        <v>4389613.17</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c r="BO31" s="13"/>
      <c r="BQ31" s="13"/>
    </row>
    <row r="32" spans="1:69" x14ac:dyDescent="0.2">
      <c r="A32" s="162" t="s">
        <v>509</v>
      </c>
      <c r="B32" s="163" t="s">
        <v>225</v>
      </c>
      <c r="C32" s="162">
        <v>4490</v>
      </c>
      <c r="D32" s="164">
        <v>0</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c r="BO32" s="13"/>
      <c r="BQ32" s="13"/>
    </row>
    <row r="33" spans="1:69" ht="15" thickBot="1" x14ac:dyDescent="0.25">
      <c r="B33" s="169"/>
      <c r="D33" s="13"/>
      <c r="BF33" s="13"/>
      <c r="BG33" s="13"/>
      <c r="BH33" s="13"/>
      <c r="BJ33" s="13"/>
      <c r="BO33" s="13"/>
      <c r="BQ33" s="13"/>
    </row>
    <row r="34" spans="1:69" ht="15.75" thickBot="1" x14ac:dyDescent="0.3">
      <c r="A34" s="7" t="s">
        <v>510</v>
      </c>
      <c r="B34" s="112"/>
      <c r="C34" s="7"/>
      <c r="D34" s="168">
        <f>SUM(D23:D25,D27:D30)-SUM(D26,D31:D32)</f>
        <v>34113068.519999996</v>
      </c>
      <c r="E34" s="177">
        <f>SUM(E23:E25,E27:E30)-SUM(E26,E31:E32)</f>
        <v>401519.89999999997</v>
      </c>
      <c r="F34" s="167">
        <f t="shared" ref="F34:BE34" si="6">SUM(F23:F25,F27:F30)-SUM(F26,F31:F32)</f>
        <v>-95339.1</v>
      </c>
      <c r="G34" s="167">
        <f t="shared" si="6"/>
        <v>360193.97000000003</v>
      </c>
      <c r="H34" s="167">
        <f t="shared" si="6"/>
        <v>38274.29</v>
      </c>
      <c r="I34" s="167">
        <f t="shared" si="6"/>
        <v>1324906.17</v>
      </c>
      <c r="J34" s="167">
        <f t="shared" si="6"/>
        <v>1125365.56</v>
      </c>
      <c r="K34" s="167">
        <f t="shared" si="6"/>
        <v>1625945.51</v>
      </c>
      <c r="L34" s="167">
        <f t="shared" si="6"/>
        <v>2391598.3299999996</v>
      </c>
      <c r="M34" s="167">
        <f t="shared" si="6"/>
        <v>77490.390000000014</v>
      </c>
      <c r="N34" s="167">
        <f t="shared" si="6"/>
        <v>74900.3</v>
      </c>
      <c r="O34" s="167">
        <f t="shared" si="6"/>
        <v>3503305.91</v>
      </c>
      <c r="P34" s="167">
        <f t="shared" si="6"/>
        <v>41558.290000000008</v>
      </c>
      <c r="Q34" s="167">
        <f t="shared" si="6"/>
        <v>39958.61</v>
      </c>
      <c r="R34" s="167">
        <f t="shared" si="6"/>
        <v>33381.120000000003</v>
      </c>
      <c r="S34" s="167">
        <f t="shared" si="6"/>
        <v>68899.049999999988</v>
      </c>
      <c r="T34" s="167">
        <f t="shared" si="6"/>
        <v>505565.69000000006</v>
      </c>
      <c r="U34" s="167">
        <f t="shared" si="6"/>
        <v>-44233.19</v>
      </c>
      <c r="V34" s="167">
        <f t="shared" si="6"/>
        <v>104905.87000000001</v>
      </c>
      <c r="W34" s="167">
        <f t="shared" si="6"/>
        <v>1940810.4300000002</v>
      </c>
      <c r="X34" s="167">
        <f t="shared" si="6"/>
        <v>101563.76999999999</v>
      </c>
      <c r="Y34" s="167">
        <f t="shared" si="6"/>
        <v>1167163.0999999999</v>
      </c>
      <c r="Z34" s="167">
        <f t="shared" si="6"/>
        <v>3351462.38</v>
      </c>
      <c r="AA34" s="167">
        <f t="shared" si="6"/>
        <v>-5526.0000000000091</v>
      </c>
      <c r="AB34" s="167">
        <f t="shared" si="6"/>
        <v>75351.459999999963</v>
      </c>
      <c r="AC34" s="167">
        <f t="shared" si="6"/>
        <v>113550.93</v>
      </c>
      <c r="AD34" s="167">
        <f t="shared" si="6"/>
        <v>252975.03999999998</v>
      </c>
      <c r="AE34" s="167">
        <f t="shared" si="6"/>
        <v>-119609.33999999998</v>
      </c>
      <c r="AF34" s="167">
        <f t="shared" si="6"/>
        <v>-25090.839999999993</v>
      </c>
      <c r="AG34" s="167">
        <f t="shared" si="6"/>
        <v>1735091.4100000001</v>
      </c>
      <c r="AH34" s="167">
        <f t="shared" si="6"/>
        <v>1694911.9500000002</v>
      </c>
      <c r="AI34" s="167">
        <f t="shared" si="6"/>
        <v>112597.11</v>
      </c>
      <c r="AJ34" s="167">
        <f t="shared" si="6"/>
        <v>230572.77000000002</v>
      </c>
      <c r="AK34" s="167">
        <f t="shared" si="6"/>
        <v>1410963.8900000001</v>
      </c>
      <c r="AL34" s="167">
        <f t="shared" si="6"/>
        <v>497732.82000000007</v>
      </c>
      <c r="AM34" s="167">
        <f t="shared" si="6"/>
        <v>228941.75999999998</v>
      </c>
      <c r="AN34" s="167">
        <f t="shared" si="6"/>
        <v>40757.96</v>
      </c>
      <c r="AO34" s="167">
        <f t="shared" si="6"/>
        <v>2612596.5499999998</v>
      </c>
      <c r="AP34" s="167">
        <f t="shared" si="6"/>
        <v>82332.509999999995</v>
      </c>
      <c r="AQ34" s="167">
        <f t="shared" si="6"/>
        <v>-9367.7400000000052</v>
      </c>
      <c r="AR34" s="167">
        <f t="shared" si="6"/>
        <v>401363.77</v>
      </c>
      <c r="AS34" s="167">
        <f t="shared" si="6"/>
        <v>33189.119999999995</v>
      </c>
      <c r="AT34" s="167">
        <f t="shared" si="6"/>
        <v>294595.40999999997</v>
      </c>
      <c r="AU34" s="167">
        <f t="shared" si="6"/>
        <v>-192570.18</v>
      </c>
      <c r="AV34" s="167">
        <f t="shared" si="6"/>
        <v>1003169.55</v>
      </c>
      <c r="AW34" s="167">
        <f t="shared" si="6"/>
        <v>371793.77999999997</v>
      </c>
      <c r="AX34" s="167">
        <f t="shared" si="6"/>
        <v>-16147.379999999997</v>
      </c>
      <c r="AY34" s="167">
        <f t="shared" si="6"/>
        <v>87845.56</v>
      </c>
      <c r="AZ34" s="167">
        <f t="shared" si="6"/>
        <v>381830.6</v>
      </c>
      <c r="BA34" s="167">
        <f t="shared" si="6"/>
        <v>175093.08000000002</v>
      </c>
      <c r="BB34" s="167">
        <f t="shared" si="6"/>
        <v>796357.97</v>
      </c>
      <c r="BC34" s="167">
        <f t="shared" si="6"/>
        <v>27300.52</v>
      </c>
      <c r="BD34" s="167">
        <f t="shared" si="6"/>
        <v>3262627.7</v>
      </c>
      <c r="BE34" s="167">
        <f t="shared" si="6"/>
        <v>111433.08000000002</v>
      </c>
      <c r="BF34" s="13">
        <f t="shared" si="0"/>
        <v>13519007.099999996</v>
      </c>
      <c r="BG34" s="13">
        <f t="shared" si="1"/>
        <v>8685013.7400000002</v>
      </c>
      <c r="BH34" s="13">
        <f t="shared" si="2"/>
        <v>11601840.33</v>
      </c>
      <c r="BJ34" s="13"/>
      <c r="BO34" s="13"/>
      <c r="BQ34" s="13"/>
    </row>
    <row r="35" spans="1:69" x14ac:dyDescent="0.2">
      <c r="B35" s="169"/>
      <c r="D35" s="13"/>
      <c r="BF35" s="13"/>
      <c r="BG35" s="13"/>
      <c r="BH35" s="13"/>
      <c r="BJ35" s="13"/>
    </row>
    <row r="36" spans="1:69"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9"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9" ht="15" thickBot="1" x14ac:dyDescent="0.25">
      <c r="B38" s="158"/>
      <c r="D38" s="13"/>
      <c r="BF38" s="13"/>
      <c r="BG38" s="13"/>
      <c r="BH38" s="13"/>
      <c r="BJ38" s="13"/>
    </row>
    <row r="39" spans="1:69"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9" ht="15" thickBot="1" x14ac:dyDescent="0.25">
      <c r="B40" s="158"/>
      <c r="D40" s="13"/>
      <c r="BF40" s="13"/>
      <c r="BG40" s="13"/>
      <c r="BH40" s="13"/>
      <c r="BJ40" s="13"/>
    </row>
    <row r="41" spans="1:69" ht="15.75" thickBot="1" x14ac:dyDescent="0.3">
      <c r="A41" s="7" t="s">
        <v>513</v>
      </c>
      <c r="B41" s="178"/>
      <c r="C41" s="7"/>
      <c r="D41" s="168">
        <f>IF(D39&lt;&gt;0,D34/D39,"")*100</f>
        <v>75.27055860568251</v>
      </c>
      <c r="E41" s="171">
        <f>IF(E39&lt;&gt;0,E34/E39,"")*100</f>
        <v>108.0218773949772</v>
      </c>
      <c r="F41" s="172">
        <f t="shared" ref="F41:BH41" si="8">IF(F39&lt;&gt;0,F34/F39,"")*100</f>
        <v>-428.45567549591499</v>
      </c>
      <c r="G41" s="172">
        <f t="shared" si="8"/>
        <v>203.28533679785812</v>
      </c>
      <c r="H41" s="172">
        <f t="shared" si="8"/>
        <v>-29.030676000647748</v>
      </c>
      <c r="I41" s="172">
        <f t="shared" si="8"/>
        <v>61.208842350160594</v>
      </c>
      <c r="J41" s="172">
        <f t="shared" si="8"/>
        <v>73.501907525618009</v>
      </c>
      <c r="K41" s="172">
        <f t="shared" si="8"/>
        <v>264.68882734459407</v>
      </c>
      <c r="L41" s="172">
        <f t="shared" si="8"/>
        <v>22.649256583754063</v>
      </c>
      <c r="M41" s="172">
        <f t="shared" si="8"/>
        <v>8.2836263911096086</v>
      </c>
      <c r="N41" s="172">
        <f t="shared" si="8"/>
        <v>181.49838554319052</v>
      </c>
      <c r="O41" s="172">
        <f>IF(O39&lt;&gt;0,O34/O39,"")*100</f>
        <v>77.771100189822178</v>
      </c>
      <c r="P41" s="172">
        <f t="shared" si="8"/>
        <v>-31.552708439990717</v>
      </c>
      <c r="Q41" s="172">
        <f t="shared" si="8"/>
        <v>1826.136690811873</v>
      </c>
      <c r="R41" s="172">
        <f t="shared" si="8"/>
        <v>78.13062027732866</v>
      </c>
      <c r="S41" s="172">
        <f t="shared" si="8"/>
        <v>-31.14915519749356</v>
      </c>
      <c r="T41" s="172">
        <f t="shared" si="8"/>
        <v>337.22094673735273</v>
      </c>
      <c r="U41" s="172">
        <f t="shared" si="8"/>
        <v>-40.809347000664729</v>
      </c>
      <c r="V41" s="172">
        <f t="shared" si="8"/>
        <v>170.60084238600143</v>
      </c>
      <c r="W41" s="172">
        <f t="shared" si="8"/>
        <v>76.027378875791925</v>
      </c>
      <c r="X41" s="172">
        <f t="shared" si="8"/>
        <v>30.910992823565376</v>
      </c>
      <c r="Y41" s="172">
        <f t="shared" si="8"/>
        <v>265.72192614418054</v>
      </c>
      <c r="Z41" s="172">
        <f>IF(Z39&lt;&gt;0,Z34/Z39,"")*100</f>
        <v>1295.8320947748555</v>
      </c>
      <c r="AA41" s="172">
        <f t="shared" si="8"/>
        <v>-1.6267644256117393</v>
      </c>
      <c r="AB41" s="172">
        <f t="shared" si="8"/>
        <v>42.270596699479249</v>
      </c>
      <c r="AC41" s="172">
        <f t="shared" si="8"/>
        <v>37.268670285740541</v>
      </c>
      <c r="AD41" s="172">
        <f t="shared" si="8"/>
        <v>18.391310523541478</v>
      </c>
      <c r="AE41" s="172">
        <f t="shared" si="8"/>
        <v>-24.766668985772284</v>
      </c>
      <c r="AF41" s="172">
        <f t="shared" si="8"/>
        <v>-4.6116263018287205</v>
      </c>
      <c r="AG41" s="172">
        <f t="shared" si="8"/>
        <v>220.75293599932172</v>
      </c>
      <c r="AH41" s="172">
        <f t="shared" si="8"/>
        <v>364.59737549820943</v>
      </c>
      <c r="AI41" s="172">
        <f t="shared" si="8"/>
        <v>539.54630945164683</v>
      </c>
      <c r="AJ41" s="172">
        <f t="shared" si="8"/>
        <v>401.18555109064539</v>
      </c>
      <c r="AK41" s="172">
        <f t="shared" si="8"/>
        <v>525.89147782045325</v>
      </c>
      <c r="AL41" s="172">
        <f t="shared" si="8"/>
        <v>334.12780737462816</v>
      </c>
      <c r="AM41" s="172">
        <f t="shared" si="8"/>
        <v>62.472773088156551</v>
      </c>
      <c r="AN41" s="172">
        <f t="shared" si="8"/>
        <v>207.3510543586091</v>
      </c>
      <c r="AO41" s="172">
        <f t="shared" si="8"/>
        <v>195.91015674025525</v>
      </c>
      <c r="AP41" s="172">
        <f t="shared" si="8"/>
        <v>24.877011658874139</v>
      </c>
      <c r="AQ41" s="172">
        <f t="shared" si="8"/>
        <v>-0.89303114651727544</v>
      </c>
      <c r="AR41" s="172">
        <f t="shared" si="8"/>
        <v>33.056214234409467</v>
      </c>
      <c r="AS41" s="172">
        <f t="shared" si="8"/>
        <v>43.773626712775929</v>
      </c>
      <c r="AT41" s="172">
        <f t="shared" si="8"/>
        <v>30.990512610631594</v>
      </c>
      <c r="AU41" s="172">
        <f t="shared" si="8"/>
        <v>-154.43878152510661</v>
      </c>
      <c r="AV41" s="172">
        <f t="shared" si="8"/>
        <v>50.346116216485939</v>
      </c>
      <c r="AW41" s="172">
        <f t="shared" si="8"/>
        <v>113.37779069402212</v>
      </c>
      <c r="AX41" s="172" t="e">
        <f t="shared" si="8"/>
        <v>#VALUE!</v>
      </c>
      <c r="AY41" s="172">
        <f t="shared" si="8"/>
        <v>103.85434357131582</v>
      </c>
      <c r="AZ41" s="172">
        <f t="shared" si="8"/>
        <v>144.42016621739126</v>
      </c>
      <c r="BA41" s="172">
        <f t="shared" si="8"/>
        <v>17.373365239144054</v>
      </c>
      <c r="BB41" s="172">
        <f t="shared" si="8"/>
        <v>95.046105940872977</v>
      </c>
      <c r="BC41" s="172">
        <f t="shared" si="8"/>
        <v>10.256202959252656</v>
      </c>
      <c r="BD41" s="172">
        <f t="shared" si="8"/>
        <v>56.743736613665554</v>
      </c>
      <c r="BE41" s="172">
        <f t="shared" si="8"/>
        <v>-398.67153707725282</v>
      </c>
      <c r="BF41" s="172">
        <f t="shared" si="8"/>
        <v>57.88618055377551</v>
      </c>
      <c r="BG41" s="172">
        <f t="shared" si="8"/>
        <v>155.62260240107827</v>
      </c>
      <c r="BH41" s="172">
        <f t="shared" si="8"/>
        <v>70.806317247138068</v>
      </c>
      <c r="BJ41" s="13"/>
    </row>
    <row r="42" spans="1:69" x14ac:dyDescent="0.2">
      <c r="A42" s="173" t="s">
        <v>514</v>
      </c>
      <c r="B42" s="158"/>
    </row>
    <row r="43" spans="1:69" x14ac:dyDescent="0.2">
      <c r="B43" s="158"/>
    </row>
  </sheetData>
  <mergeCells count="1">
    <mergeCell ref="A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39496696.909999996</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102543852.65000001</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470255248.19999999</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612295797.75999999</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162.00292777171705</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V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8" t="s">
        <v>491</v>
      </c>
      <c r="B1" s="228"/>
      <c r="C1" s="228"/>
      <c r="D1" s="228"/>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25063351.139999997</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92351.49</v>
      </c>
      <c r="BF27" s="13">
        <f t="shared" si="0"/>
        <v>12902802.43</v>
      </c>
      <c r="BG27" s="13">
        <f t="shared" si="1"/>
        <v>3327280.1599999992</v>
      </c>
      <c r="BH27" s="13">
        <f t="shared" si="2"/>
        <v>8833268.5499999989</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28754463.759999994</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80412.98000000001</v>
      </c>
      <c r="BF32" s="13">
        <f t="shared" si="0"/>
        <v>15017923.239999996</v>
      </c>
      <c r="BG32" s="13">
        <f t="shared" si="1"/>
        <v>3634251.7199999997</v>
      </c>
      <c r="BH32" s="13">
        <f t="shared" si="2"/>
        <v>10102288.799999997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7.607936119547956</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3.1098463814089921</v>
      </c>
      <c r="BF36" s="167">
        <f t="shared" si="6"/>
        <v>7.1260967763076621</v>
      </c>
      <c r="BG36" s="167">
        <f t="shared" si="6"/>
        <v>7.0206739080041185</v>
      </c>
      <c r="BH36" s="167">
        <f t="shared" si="6"/>
        <v>8.7508806006194018</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E1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8" t="s">
        <v>491</v>
      </c>
      <c r="B1" s="228"/>
      <c r="C1" s="228"/>
      <c r="D1" s="228"/>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646617537.25999999</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347225836.00999999</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299391701.25</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4053.2282034793202</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34113068.519999996</v>
      </c>
      <c r="E17" s="13">
        <f>'Endett. net + degré d''auto.'!E34</f>
        <v>401519.89999999997</v>
      </c>
      <c r="F17" s="13">
        <f>'Endett. net + degré d''auto.'!F34</f>
        <v>-95339.1</v>
      </c>
      <c r="G17" s="13">
        <f>'Endett. net + degré d''auto.'!G34</f>
        <v>360193.97000000003</v>
      </c>
      <c r="H17" s="13">
        <f>'Endett. net + degré d''auto.'!H34</f>
        <v>38274.29</v>
      </c>
      <c r="I17" s="13">
        <f>'Endett. net + degré d''auto.'!I34</f>
        <v>1324906.17</v>
      </c>
      <c r="J17" s="13">
        <f>'Endett. net + degré d''auto.'!J34</f>
        <v>1125365.56</v>
      </c>
      <c r="K17" s="13">
        <f>'Endett. net + degré d''auto.'!K34</f>
        <v>1625945.51</v>
      </c>
      <c r="L17" s="13">
        <f>'Endett. net + degré d''auto.'!L34</f>
        <v>2391598.3299999996</v>
      </c>
      <c r="M17" s="13">
        <f>'Endett. net + degré d''auto.'!M34</f>
        <v>77490.390000000014</v>
      </c>
      <c r="N17" s="13">
        <f>'Endett. net + degré d''auto.'!N34</f>
        <v>74900.3</v>
      </c>
      <c r="O17" s="13">
        <f>'Endett. net + degré d''auto.'!O34</f>
        <v>3503305.91</v>
      </c>
      <c r="P17" s="13">
        <f>'Endett. net + degré d''auto.'!P34</f>
        <v>41558.290000000008</v>
      </c>
      <c r="Q17" s="13">
        <f>'Endett. net + degré d''auto.'!Q34</f>
        <v>39958.61</v>
      </c>
      <c r="R17" s="13">
        <f>'Endett. net + degré d''auto.'!R34</f>
        <v>33381.120000000003</v>
      </c>
      <c r="S17" s="13">
        <f>'Endett. net + degré d''auto.'!S34</f>
        <v>68899.049999999988</v>
      </c>
      <c r="T17" s="13">
        <f>'Endett. net + degré d''auto.'!T34</f>
        <v>505565.69000000006</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1167163.0999999999</v>
      </c>
      <c r="Z17" s="13">
        <f>'Endett. net + degré d''auto.'!Z34</f>
        <v>3351462.38</v>
      </c>
      <c r="AA17" s="13">
        <f>'Endett. net + degré d''auto.'!AA34</f>
        <v>-5526.0000000000091</v>
      </c>
      <c r="AB17" s="13">
        <f>'Endett. net + degré d''auto.'!AB34</f>
        <v>75351.459999999963</v>
      </c>
      <c r="AC17" s="13">
        <f>'Endett. net + degré d''auto.'!AC34</f>
        <v>113550.93</v>
      </c>
      <c r="AD17" s="13">
        <f>'Endett. net + degré d''auto.'!AD34</f>
        <v>252975.03999999998</v>
      </c>
      <c r="AE17" s="13">
        <f>'Endett. net + degré d''auto.'!AE34</f>
        <v>-119609.33999999998</v>
      </c>
      <c r="AF17" s="13">
        <f>'Endett. net + degré d''auto.'!AF34</f>
        <v>-25090.839999999993</v>
      </c>
      <c r="AG17" s="13">
        <f>'Endett. net + degré d''auto.'!AG34</f>
        <v>1735091.4100000001</v>
      </c>
      <c r="AH17" s="13">
        <f>'Endett. net + degré d''auto.'!AH34</f>
        <v>1694911.9500000002</v>
      </c>
      <c r="AI17" s="13">
        <f>'Endett. net + degré d''auto.'!AI34</f>
        <v>112597.11</v>
      </c>
      <c r="AJ17" s="13">
        <f>'Endett. net + degré d''auto.'!AJ34</f>
        <v>230572.77000000002</v>
      </c>
      <c r="AK17" s="13">
        <f>'Endett. net + degré d''auto.'!AK34</f>
        <v>1410963.8900000001</v>
      </c>
      <c r="AL17" s="13">
        <f>'Endett. net + degré d''auto.'!AL34</f>
        <v>497732.82000000007</v>
      </c>
      <c r="AM17" s="13">
        <f>'Endett. net + degré d''auto.'!AM34</f>
        <v>228941.75999999998</v>
      </c>
      <c r="AN17" s="13">
        <f>'Endett. net + degré d''auto.'!AN34</f>
        <v>40757.96</v>
      </c>
      <c r="AO17" s="13">
        <f>'Endett. net + degré d''auto.'!AO34</f>
        <v>2612596.5499999998</v>
      </c>
      <c r="AP17" s="13">
        <f>'Endett. net + degré d''auto.'!AP34</f>
        <v>82332.509999999995</v>
      </c>
      <c r="AQ17" s="13">
        <f>'Endett. net + degré d''auto.'!AQ34</f>
        <v>-9367.7400000000052</v>
      </c>
      <c r="AR17" s="13">
        <f>'Endett. net + degré d''auto.'!AR34</f>
        <v>401363.77</v>
      </c>
      <c r="AS17" s="13">
        <f>'Endett. net + degré d''auto.'!AS34</f>
        <v>33189.119999999995</v>
      </c>
      <c r="AT17" s="13">
        <f>'Endett. net + degré d''auto.'!AT34</f>
        <v>294595.40999999997</v>
      </c>
      <c r="AU17" s="13">
        <f>'Endett. net + degré d''auto.'!AU34</f>
        <v>-192570.18</v>
      </c>
      <c r="AV17" s="13">
        <f>'Endett. net + degré d''auto.'!AV34</f>
        <v>1003169.55</v>
      </c>
      <c r="AW17" s="13">
        <f>'Endett. net + degré d''auto.'!AW34</f>
        <v>371793.77999999997</v>
      </c>
      <c r="AX17" s="13">
        <f>'Endett. net + degré d''auto.'!AX34</f>
        <v>-16147.379999999997</v>
      </c>
      <c r="AY17" s="13">
        <f>'Endett. net + degré d''auto.'!AY34</f>
        <v>87845.56</v>
      </c>
      <c r="AZ17" s="13">
        <f>'Endett. net + degré d''auto.'!AZ34</f>
        <v>381830.6</v>
      </c>
      <c r="BA17" s="13">
        <f>'Endett. net + degré d''auto.'!BA34</f>
        <v>175093.08000000002</v>
      </c>
      <c r="BB17" s="13">
        <f>'Endett. net + degré d''auto.'!BB34</f>
        <v>796357.97</v>
      </c>
      <c r="BC17" s="13">
        <f>'Endett. net + degré d''auto.'!BC34</f>
        <v>27300.52</v>
      </c>
      <c r="BD17" s="13">
        <f>'Endett. net + degré d''auto.'!BD34</f>
        <v>3262627.7</v>
      </c>
      <c r="BE17" s="13">
        <f>'Endett. net + degré d''auto.'!BE34</f>
        <v>111433.08000000002</v>
      </c>
      <c r="BF17" s="13">
        <f t="shared" si="0"/>
        <v>13519007.099999996</v>
      </c>
      <c r="BG17" s="13">
        <f t="shared" si="1"/>
        <v>8685013.7400000002</v>
      </c>
      <c r="BH17" s="13">
        <f t="shared" si="2"/>
        <v>11601840.33</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9.025730693783677</v>
      </c>
      <c r="E21" s="177">
        <f>IF(E19&lt;&gt;0,E17/E19,"")*100</f>
        <v>15.412152150284026</v>
      </c>
      <c r="F21" s="167">
        <f t="shared" ref="F21:BH21" si="6">IF(F19&lt;&gt;0,F17/F19,"")*100</f>
        <v>-9.2572584961491131</v>
      </c>
      <c r="G21" s="167">
        <f t="shared" si="6"/>
        <v>19.170025952402607</v>
      </c>
      <c r="H21" s="167">
        <f t="shared" si="6"/>
        <v>2.0313219790934003</v>
      </c>
      <c r="I21" s="167">
        <f t="shared" si="6"/>
        <v>8.0951317440048847</v>
      </c>
      <c r="J21" s="167">
        <f t="shared" si="6"/>
        <v>7.9321739156937259</v>
      </c>
      <c r="K21" s="167">
        <f t="shared" si="6"/>
        <v>13.771291586600318</v>
      </c>
      <c r="L21" s="167">
        <f t="shared" si="6"/>
        <v>2.3702386781213347</v>
      </c>
      <c r="M21" s="167">
        <f t="shared" si="6"/>
        <v>0.99250098387937158</v>
      </c>
      <c r="N21" s="167">
        <f t="shared" si="6"/>
        <v>16.37354316218109</v>
      </c>
      <c r="O21" s="167">
        <f t="shared" si="6"/>
        <v>12.259489452773051</v>
      </c>
      <c r="P21" s="167">
        <f t="shared" si="6"/>
        <v>3.5722851164252276</v>
      </c>
      <c r="Q21" s="167">
        <f t="shared" si="6"/>
        <v>9.3750354860721448</v>
      </c>
      <c r="R21" s="167">
        <f t="shared" si="6"/>
        <v>3.137457475860105</v>
      </c>
      <c r="S21" s="167">
        <f t="shared" si="6"/>
        <v>4.8208307934120054</v>
      </c>
      <c r="T21" s="167">
        <f t="shared" si="6"/>
        <v>14.875889338646667</v>
      </c>
      <c r="U21" s="167">
        <f t="shared" si="6"/>
        <v>-4.7712094980843567</v>
      </c>
      <c r="V21" s="167">
        <f t="shared" si="6"/>
        <v>4.6636426792268741</v>
      </c>
      <c r="W21" s="167">
        <f t="shared" si="6"/>
        <v>15.42031506423284</v>
      </c>
      <c r="X21" s="167">
        <f t="shared" si="6"/>
        <v>5.234430222548311</v>
      </c>
      <c r="Y21" s="167">
        <f t="shared" si="6"/>
        <v>24.080994835668214</v>
      </c>
      <c r="Z21" s="167">
        <f t="shared" si="6"/>
        <v>33.86777282112444</v>
      </c>
      <c r="AA21" s="167">
        <f t="shared" si="6"/>
        <v>-9.6049641291264702</v>
      </c>
      <c r="AB21" s="167">
        <f t="shared" si="6"/>
        <v>8.1680928194760458</v>
      </c>
      <c r="AC21" s="167">
        <f t="shared" si="6"/>
        <v>4.3269469186845866</v>
      </c>
      <c r="AD21" s="167">
        <f t="shared" si="6"/>
        <v>13.40641472372652</v>
      </c>
      <c r="AE21" s="167">
        <f t="shared" si="6"/>
        <v>-4.63619216385709</v>
      </c>
      <c r="AF21" s="167">
        <f t="shared" si="6"/>
        <v>-0.88683872432580479</v>
      </c>
      <c r="AG21" s="167">
        <f t="shared" si="6"/>
        <v>17.464919927671541</v>
      </c>
      <c r="AH21" s="167">
        <f t="shared" si="6"/>
        <v>13.636208451980043</v>
      </c>
      <c r="AI21" s="167">
        <f t="shared" si="6"/>
        <v>13.933647652813097</v>
      </c>
      <c r="AJ21" s="167">
        <f t="shared" si="6"/>
        <v>22.842639563735297</v>
      </c>
      <c r="AK21" s="167">
        <f t="shared" si="6"/>
        <v>16.345887786473231</v>
      </c>
      <c r="AL21" s="167">
        <f t="shared" si="6"/>
        <v>8.9849210581325973</v>
      </c>
      <c r="AM21" s="167">
        <f t="shared" si="6"/>
        <v>4.4295633105609014</v>
      </c>
      <c r="AN21" s="167">
        <f t="shared" si="6"/>
        <v>6.8067216968784052</v>
      </c>
      <c r="AO21" s="167">
        <f t="shared" si="6"/>
        <v>25.850202058688826</v>
      </c>
      <c r="AP21" s="167">
        <f t="shared" si="6"/>
        <v>2.2922741079788276</v>
      </c>
      <c r="AQ21" s="167">
        <f t="shared" si="6"/>
        <v>-0.40794096014234804</v>
      </c>
      <c r="AR21" s="167">
        <f t="shared" si="6"/>
        <v>13.324204709955229</v>
      </c>
      <c r="AS21" s="167">
        <f t="shared" si="6"/>
        <v>1.0573424367865525</v>
      </c>
      <c r="AT21" s="167">
        <f t="shared" si="6"/>
        <v>11.868441856018434</v>
      </c>
      <c r="AU21" s="167">
        <f t="shared" si="6"/>
        <v>-12.885799330438246</v>
      </c>
      <c r="AV21" s="167">
        <f t="shared" si="6"/>
        <v>15.037124905824564</v>
      </c>
      <c r="AW21" s="167">
        <f t="shared" si="6"/>
        <v>11.289369499511498</v>
      </c>
      <c r="AX21" s="167">
        <f t="shared" si="6"/>
        <v>-2.1332307102690504</v>
      </c>
      <c r="AY21" s="167">
        <f t="shared" si="6"/>
        <v>6.6996022080777999</v>
      </c>
      <c r="AZ21" s="167">
        <f t="shared" si="6"/>
        <v>8.1673514046991329</v>
      </c>
      <c r="BA21" s="167">
        <f t="shared" si="6"/>
        <v>10.838393921266585</v>
      </c>
      <c r="BB21" s="167">
        <f t="shared" si="6"/>
        <v>13.385301376788892</v>
      </c>
      <c r="BC21" s="167">
        <f t="shared" si="6"/>
        <v>7.1011887111457925</v>
      </c>
      <c r="BD21" s="167">
        <f t="shared" si="6"/>
        <v>7.7426000857874042</v>
      </c>
      <c r="BE21" s="167">
        <f t="shared" si="6"/>
        <v>4.3095002897201269</v>
      </c>
      <c r="BF21" s="167">
        <f t="shared" si="6"/>
        <v>6.414851865642536</v>
      </c>
      <c r="BG21" s="167">
        <f t="shared" si="6"/>
        <v>16.777772717151048</v>
      </c>
      <c r="BH21" s="167">
        <f t="shared" si="6"/>
        <v>10.049833407581938</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AV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8" t="s">
        <v>491</v>
      </c>
      <c r="B2" s="228"/>
      <c r="C2" s="228"/>
      <c r="D2" s="228"/>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105179156.92</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105179156.92</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51.026110678267585</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8" t="s">
        <v>491</v>
      </c>
      <c r="B6" s="228"/>
      <c r="C6" s="228"/>
      <c r="D6" s="228"/>
    </row>
    <row r="7" spans="1:60" ht="15" thickBot="1" x14ac:dyDescent="0.25"/>
    <row r="8" spans="1:60" ht="15.75" thickBot="1" x14ac:dyDescent="0.3">
      <c r="A8" s="229" t="s">
        <v>562</v>
      </c>
      <c r="B8" s="230"/>
      <c r="C8" s="230"/>
      <c r="D8" s="231"/>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612295797.75999999</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299391701.25</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145.24545101418678</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34113068.519999996</v>
      </c>
      <c r="E22" s="19">
        <f>'Endett. net + degré d''auto.'!E34</f>
        <v>401519.89999999997</v>
      </c>
      <c r="F22" s="19">
        <f>'Endett. net + degré d''auto.'!F34</f>
        <v>-95339.1</v>
      </c>
      <c r="G22" s="19">
        <f>'Endett. net + degré d''auto.'!G34</f>
        <v>360193.97000000003</v>
      </c>
      <c r="H22" s="19">
        <f>'Endett. net + degré d''auto.'!H34</f>
        <v>38274.29</v>
      </c>
      <c r="I22" s="19">
        <f>'Endett. net + degré d''auto.'!I34</f>
        <v>1324906.17</v>
      </c>
      <c r="J22" s="19">
        <f>'Endett. net + degré d''auto.'!J34</f>
        <v>1125365.56</v>
      </c>
      <c r="K22" s="19">
        <f>'Endett. net + degré d''auto.'!K34</f>
        <v>1625945.51</v>
      </c>
      <c r="L22" s="19">
        <f>'Endett. net + degré d''auto.'!L34</f>
        <v>2391598.3299999996</v>
      </c>
      <c r="M22" s="19">
        <f>'Endett. net + degré d''auto.'!M34</f>
        <v>77490.390000000014</v>
      </c>
      <c r="N22" s="19">
        <f>'Endett. net + degré d''auto.'!N34</f>
        <v>74900.3</v>
      </c>
      <c r="O22" s="19">
        <f>'Endett. net + degré d''auto.'!O34</f>
        <v>3503305.91</v>
      </c>
      <c r="P22" s="19">
        <f>'Endett. net + degré d''auto.'!P34</f>
        <v>41558.290000000008</v>
      </c>
      <c r="Q22" s="19">
        <f>'Endett. net + degré d''auto.'!Q34</f>
        <v>39958.61</v>
      </c>
      <c r="R22" s="19">
        <f>'Endett. net + degré d''auto.'!R34</f>
        <v>33381.120000000003</v>
      </c>
      <c r="S22" s="19">
        <f>'Endett. net + degré d''auto.'!S34</f>
        <v>68899.049999999988</v>
      </c>
      <c r="T22" s="19">
        <f>'Endett. net + degré d''auto.'!T34</f>
        <v>505565.69000000006</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1167163.0999999999</v>
      </c>
      <c r="Z22" s="19">
        <f>'Endett. net + degré d''auto.'!Z34</f>
        <v>3351462.38</v>
      </c>
      <c r="AA22" s="19">
        <f>'Endett. net + degré d''auto.'!AA34</f>
        <v>-5526.0000000000091</v>
      </c>
      <c r="AB22" s="19">
        <f>'Endett. net + degré d''auto.'!AB34</f>
        <v>75351.459999999963</v>
      </c>
      <c r="AC22" s="19">
        <f>'Endett. net + degré d''auto.'!AC34</f>
        <v>113550.93</v>
      </c>
      <c r="AD22" s="19">
        <f>'Endett. net + degré d''auto.'!AD34</f>
        <v>252975.03999999998</v>
      </c>
      <c r="AE22" s="19">
        <f>'Endett. net + degré d''auto.'!AE34</f>
        <v>-119609.33999999998</v>
      </c>
      <c r="AF22" s="19">
        <f>'Endett. net + degré d''auto.'!AF34</f>
        <v>-25090.839999999993</v>
      </c>
      <c r="AG22" s="19">
        <f>'Endett. net + degré d''auto.'!AG34</f>
        <v>1735091.4100000001</v>
      </c>
      <c r="AH22" s="19">
        <f>'Endett. net + degré d''auto.'!AH34</f>
        <v>1694911.9500000002</v>
      </c>
      <c r="AI22" s="19">
        <f>'Endett. net + degré d''auto.'!AI34</f>
        <v>112597.11</v>
      </c>
      <c r="AJ22" s="19">
        <f>'Endett. net + degré d''auto.'!AJ34</f>
        <v>230572.77000000002</v>
      </c>
      <c r="AK22" s="19">
        <f>'Endett. net + degré d''auto.'!AK34</f>
        <v>1410963.8900000001</v>
      </c>
      <c r="AL22" s="19">
        <f>'Endett. net + degré d''auto.'!AL34</f>
        <v>497732.82000000007</v>
      </c>
      <c r="AM22" s="19">
        <f>'Endett. net + degré d''auto.'!AM34</f>
        <v>228941.75999999998</v>
      </c>
      <c r="AN22" s="19">
        <f>'Endett. net + degré d''auto.'!AN34</f>
        <v>40757.96</v>
      </c>
      <c r="AO22" s="19">
        <f>'Endett. net + degré d''auto.'!AO34</f>
        <v>2612596.5499999998</v>
      </c>
      <c r="AP22" s="19">
        <f>'Endett. net + degré d''auto.'!AP34</f>
        <v>82332.509999999995</v>
      </c>
      <c r="AQ22" s="19">
        <f>'Endett. net + degré d''auto.'!AQ34</f>
        <v>-9367.7400000000052</v>
      </c>
      <c r="AR22" s="19">
        <f>'Endett. net + degré d''auto.'!AR34</f>
        <v>401363.77</v>
      </c>
      <c r="AS22" s="19">
        <f>'Endett. net + degré d''auto.'!AS34</f>
        <v>33189.119999999995</v>
      </c>
      <c r="AT22" s="19">
        <f>'Endett. net + degré d''auto.'!AT34</f>
        <v>294595.40999999997</v>
      </c>
      <c r="AU22" s="19">
        <f>'Endett. net + degré d''auto.'!AU34</f>
        <v>-192570.18</v>
      </c>
      <c r="AV22" s="19">
        <f>'Endett. net + degré d''auto.'!AV34</f>
        <v>1003169.55</v>
      </c>
      <c r="AW22" s="19">
        <f>'Endett. net + degré d''auto.'!AW34</f>
        <v>371793.77999999997</v>
      </c>
      <c r="AX22" s="19">
        <f>'Endett. net + degré d''auto.'!AX34</f>
        <v>-16147.379999999997</v>
      </c>
      <c r="AY22" s="19">
        <f>'Endett. net + degré d''auto.'!AY34</f>
        <v>87845.56</v>
      </c>
      <c r="AZ22" s="19">
        <f>'Endett. net + degré d''auto.'!AZ34</f>
        <v>381830.6</v>
      </c>
      <c r="BA22" s="19">
        <f>'Endett. net + degré d''auto.'!BA34</f>
        <v>175093.08000000002</v>
      </c>
      <c r="BB22" s="19">
        <f>'Endett. net + degré d''auto.'!BB34</f>
        <v>796357.97</v>
      </c>
      <c r="BC22" s="19">
        <f>'Endett. net + degré d''auto.'!BC34</f>
        <v>27300.52</v>
      </c>
      <c r="BD22" s="19">
        <f>'Endett. net + degré d''auto.'!BD34</f>
        <v>3262627.7</v>
      </c>
      <c r="BE22" s="19">
        <f>'Endett. net + degré d''auto.'!BE34</f>
        <v>111433.08000000002</v>
      </c>
      <c r="BF22" s="19">
        <f t="shared" si="0"/>
        <v>13519007.099999996</v>
      </c>
      <c r="BG22" s="19">
        <f t="shared" si="1"/>
        <v>8685013.7400000002</v>
      </c>
      <c r="BH22" s="19">
        <f t="shared" si="2"/>
        <v>11601840.33</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75.27055860568251</v>
      </c>
      <c r="E24" s="19">
        <f>'Endett. net + degré d''auto.'!E41</f>
        <v>108.0218773949772</v>
      </c>
      <c r="F24" s="19">
        <f>'Endett. net + degré d''auto.'!F41</f>
        <v>-428.45567549591499</v>
      </c>
      <c r="G24" s="19">
        <f>'Endett. net + degré d''auto.'!G41</f>
        <v>203.28533679785812</v>
      </c>
      <c r="H24" s="19">
        <f>'Endett. net + degré d''auto.'!H41</f>
        <v>-29.030676000647748</v>
      </c>
      <c r="I24" s="19">
        <f>'Endett. net + degré d''auto.'!I41</f>
        <v>61.208842350160594</v>
      </c>
      <c r="J24" s="19">
        <f>'Endett. net + degré d''auto.'!J41</f>
        <v>73.501907525618009</v>
      </c>
      <c r="K24" s="19">
        <f>'Endett. net + degré d''auto.'!K41</f>
        <v>264.68882734459407</v>
      </c>
      <c r="L24" s="19">
        <f>'Endett. net + degré d''auto.'!L41</f>
        <v>22.649256583754063</v>
      </c>
      <c r="M24" s="19">
        <f>'Endett. net + degré d''auto.'!M41</f>
        <v>8.2836263911096086</v>
      </c>
      <c r="N24" s="19">
        <f>'Endett. net + degré d''auto.'!N41</f>
        <v>181.49838554319052</v>
      </c>
      <c r="O24" s="19">
        <f>'Endett. net + degré d''auto.'!O41</f>
        <v>77.771100189822178</v>
      </c>
      <c r="P24" s="19">
        <f>'Endett. net + degré d''auto.'!P41</f>
        <v>-31.552708439990717</v>
      </c>
      <c r="Q24" s="19">
        <f>'Endett. net + degré d''auto.'!Q41</f>
        <v>1826.136690811873</v>
      </c>
      <c r="R24" s="19">
        <f>'Endett. net + degré d''auto.'!R41</f>
        <v>78.13062027732866</v>
      </c>
      <c r="S24" s="19">
        <f>'Endett. net + degré d''auto.'!S41</f>
        <v>-31.14915519749356</v>
      </c>
      <c r="T24" s="19">
        <f>'Endett. net + degré d''auto.'!T41</f>
        <v>337.22094673735273</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265.72192614418054</v>
      </c>
      <c r="Z24" s="19">
        <f>'Endett. net + degré d''auto.'!Z41</f>
        <v>1295.8320947748555</v>
      </c>
      <c r="AA24" s="19">
        <f>'Endett. net + degré d''auto.'!AA41</f>
        <v>-1.6267644256117393</v>
      </c>
      <c r="AB24" s="19">
        <f>'Endett. net + degré d''auto.'!AB41</f>
        <v>42.270596699479249</v>
      </c>
      <c r="AC24" s="19">
        <f>'Endett. net + degré d''auto.'!AC41</f>
        <v>37.268670285740541</v>
      </c>
      <c r="AD24" s="19">
        <f>'Endett. net + degré d''auto.'!AD41</f>
        <v>18.391310523541478</v>
      </c>
      <c r="AE24" s="19">
        <f>'Endett. net + degré d''auto.'!AE41</f>
        <v>-24.766668985772284</v>
      </c>
      <c r="AF24" s="19">
        <f>'Endett. net + degré d''auto.'!AF41</f>
        <v>-4.6116263018287205</v>
      </c>
      <c r="AG24" s="19">
        <f>'Endett. net + degré d''auto.'!AG41</f>
        <v>220.75293599932172</v>
      </c>
      <c r="AH24" s="19">
        <f>'Endett. net + degré d''auto.'!AH41</f>
        <v>364.59737549820943</v>
      </c>
      <c r="AI24" s="19">
        <f>'Endett. net + degré d''auto.'!AI41</f>
        <v>539.54630945164683</v>
      </c>
      <c r="AJ24" s="19">
        <f>'Endett. net + degré d''auto.'!AJ41</f>
        <v>401.18555109064539</v>
      </c>
      <c r="AK24" s="19">
        <f>'Endett. net + degré d''auto.'!AK41</f>
        <v>525.89147782045325</v>
      </c>
      <c r="AL24" s="19">
        <f>'Endett. net + degré d''auto.'!AL41</f>
        <v>334.12780737462816</v>
      </c>
      <c r="AM24" s="19">
        <f>'Endett. net + degré d''auto.'!AM41</f>
        <v>62.472773088156551</v>
      </c>
      <c r="AN24" s="19">
        <f>'Endett. net + degré d''auto.'!AN41</f>
        <v>207.3510543586091</v>
      </c>
      <c r="AO24" s="19">
        <f>'Endett. net + degré d''auto.'!AO41</f>
        <v>195.91015674025525</v>
      </c>
      <c r="AP24" s="19">
        <f>'Endett. net + degré d''auto.'!AP41</f>
        <v>24.877011658874139</v>
      </c>
      <c r="AQ24" s="19">
        <f>'Endett. net + degré d''auto.'!AQ41</f>
        <v>-0.89303114651727544</v>
      </c>
      <c r="AR24" s="19">
        <f>'Endett. net + degré d''auto.'!AR41</f>
        <v>33.056214234409467</v>
      </c>
      <c r="AS24" s="19">
        <f>'Endett. net + degré d''auto.'!AS41</f>
        <v>43.773626712775929</v>
      </c>
      <c r="AT24" s="19">
        <f>'Endett. net + degré d''auto.'!AT41</f>
        <v>30.990512610631594</v>
      </c>
      <c r="AU24" s="19">
        <f>'Endett. net + degré d''auto.'!AU41</f>
        <v>-154.43878152510661</v>
      </c>
      <c r="AV24" s="19">
        <f>'Endett. net + degré d''auto.'!AV41</f>
        <v>50.346116216485939</v>
      </c>
      <c r="AW24" s="19">
        <f>'Endett. net + degré d''auto.'!AW41</f>
        <v>113.37779069402212</v>
      </c>
      <c r="AX24" s="19" t="e">
        <f>'Endett. net + degré d''auto.'!AX41</f>
        <v>#VALUE!</v>
      </c>
      <c r="AY24" s="19">
        <f>'Endett. net + degré d''auto.'!AY41</f>
        <v>103.85434357131582</v>
      </c>
      <c r="AZ24" s="19">
        <f>'Endett. net + degré d''auto.'!AZ41</f>
        <v>144.42016621739126</v>
      </c>
      <c r="BA24" s="19">
        <f>'Endett. net + degré d''auto.'!BA41</f>
        <v>17.373365239144054</v>
      </c>
      <c r="BB24" s="19">
        <f>'Endett. net + degré d''auto.'!BB41</f>
        <v>95.046105940872977</v>
      </c>
      <c r="BC24" s="19">
        <f>'Endett. net + degré d''auto.'!BC41</f>
        <v>10.256202959252656</v>
      </c>
      <c r="BD24" s="19">
        <f>'Endett. net + degré d''auto.'!BD41</f>
        <v>56.743736613665554</v>
      </c>
      <c r="BE24" s="19">
        <f>'Endett. net + degré d''auto.'!BE41</f>
        <v>-398.67153707725282</v>
      </c>
      <c r="BF24" s="19">
        <f t="shared" si="0"/>
        <v>2928.0280770747199</v>
      </c>
      <c r="BG24" s="19">
        <f t="shared" si="1"/>
        <v>3185.4727035779738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162.00292777171705</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7.607936119547956</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3.1098463814089921</v>
      </c>
      <c r="BF33" s="19">
        <f t="shared" si="0"/>
        <v>159.8441038778993</v>
      </c>
      <c r="BG33" s="19">
        <f t="shared" si="1"/>
        <v>279.98530360732025</v>
      </c>
      <c r="BH33" s="19">
        <f t="shared" si="2"/>
        <v>195.33232499838957</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4053.2282034793202</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9.025730693783677</v>
      </c>
      <c r="E37" s="19">
        <f>'Quotité d''autofinancement'!E21</f>
        <v>15.412152150284026</v>
      </c>
      <c r="F37" s="19">
        <f>'Quotité d''autofinancement'!F21</f>
        <v>-9.2572584961491131</v>
      </c>
      <c r="G37" s="19">
        <f>'Quotité d''autofinancement'!G21</f>
        <v>19.170025952402607</v>
      </c>
      <c r="H37" s="19">
        <f>'Quotité d''autofinancement'!H21</f>
        <v>2.0313219790934003</v>
      </c>
      <c r="I37" s="19">
        <f>'Quotité d''autofinancement'!I21</f>
        <v>8.0951317440048847</v>
      </c>
      <c r="J37" s="19">
        <f>'Quotité d''autofinancement'!J21</f>
        <v>7.9321739156937259</v>
      </c>
      <c r="K37" s="19">
        <f>'Quotité d''autofinancement'!K21</f>
        <v>13.771291586600318</v>
      </c>
      <c r="L37" s="19">
        <f>'Quotité d''autofinancement'!L21</f>
        <v>2.3702386781213347</v>
      </c>
      <c r="M37" s="19">
        <f>'Quotité d''autofinancement'!M21</f>
        <v>0.99250098387937158</v>
      </c>
      <c r="N37" s="19">
        <f>'Quotité d''autofinancement'!N21</f>
        <v>16.37354316218109</v>
      </c>
      <c r="O37" s="19">
        <f>'Quotité d''autofinancement'!O21</f>
        <v>12.259489452773051</v>
      </c>
      <c r="P37" s="19">
        <f>'Quotité d''autofinancement'!P21</f>
        <v>3.5722851164252276</v>
      </c>
      <c r="Q37" s="19">
        <f>'Quotité d''autofinancement'!Q21</f>
        <v>9.3750354860721448</v>
      </c>
      <c r="R37" s="19">
        <f>'Quotité d''autofinancement'!R21</f>
        <v>3.137457475860105</v>
      </c>
      <c r="S37" s="19">
        <f>'Quotité d''autofinancement'!S21</f>
        <v>4.8208307934120054</v>
      </c>
      <c r="T37" s="19">
        <f>'Quotité d''autofinancement'!T21</f>
        <v>14.875889338646667</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24.080994835668214</v>
      </c>
      <c r="Z37" s="19">
        <f>'Quotité d''autofinancement'!Z21</f>
        <v>33.86777282112444</v>
      </c>
      <c r="AA37" s="19">
        <f>'Quotité d''autofinancement'!AA21</f>
        <v>-9.6049641291264702</v>
      </c>
      <c r="AB37" s="19">
        <f>'Quotité d''autofinancement'!AB21</f>
        <v>8.1680928194760458</v>
      </c>
      <c r="AC37" s="19">
        <f>'Quotité d''autofinancement'!AC21</f>
        <v>4.3269469186845866</v>
      </c>
      <c r="AD37" s="19">
        <f>'Quotité d''autofinancement'!AD21</f>
        <v>13.40641472372652</v>
      </c>
      <c r="AE37" s="19">
        <f>'Quotité d''autofinancement'!AE21</f>
        <v>-4.63619216385709</v>
      </c>
      <c r="AF37" s="19">
        <f>'Quotité d''autofinancement'!AF21</f>
        <v>-0.88683872432580479</v>
      </c>
      <c r="AG37" s="19">
        <f>'Quotité d''autofinancement'!AG21</f>
        <v>17.464919927671541</v>
      </c>
      <c r="AH37" s="19">
        <f>'Quotité d''autofinancement'!AH21</f>
        <v>13.636208451980043</v>
      </c>
      <c r="AI37" s="19">
        <f>'Quotité d''autofinancement'!AI21</f>
        <v>13.933647652813097</v>
      </c>
      <c r="AJ37" s="19">
        <f>'Quotité d''autofinancement'!AJ21</f>
        <v>22.842639563735297</v>
      </c>
      <c r="AK37" s="19">
        <f>'Quotité d''autofinancement'!AK21</f>
        <v>16.345887786473231</v>
      </c>
      <c r="AL37" s="19">
        <f>'Quotité d''autofinancement'!AL21</f>
        <v>8.9849210581325973</v>
      </c>
      <c r="AM37" s="19">
        <f>'Quotité d''autofinancement'!AM21</f>
        <v>4.4295633105609014</v>
      </c>
      <c r="AN37" s="19">
        <f>'Quotité d''autofinancement'!AN21</f>
        <v>6.8067216968784052</v>
      </c>
      <c r="AO37" s="19">
        <f>'Quotité d''autofinancement'!AO21</f>
        <v>25.850202058688826</v>
      </c>
      <c r="AP37" s="19">
        <f>'Quotité d''autofinancement'!AP21</f>
        <v>2.2922741079788276</v>
      </c>
      <c r="AQ37" s="19">
        <f>'Quotité d''autofinancement'!AQ21</f>
        <v>-0.40794096014234804</v>
      </c>
      <c r="AR37" s="19">
        <f>'Quotité d''autofinancement'!AR21</f>
        <v>13.324204709955229</v>
      </c>
      <c r="AS37" s="19">
        <f>'Quotité d''autofinancement'!AS21</f>
        <v>1.0573424367865525</v>
      </c>
      <c r="AT37" s="19">
        <f>'Quotité d''autofinancement'!AT21</f>
        <v>11.868441856018434</v>
      </c>
      <c r="AU37" s="19">
        <f>'Quotité d''autofinancement'!AU21</f>
        <v>-12.885799330438246</v>
      </c>
      <c r="AV37" s="19">
        <f>'Quotité d''autofinancement'!AV21</f>
        <v>15.037124905824564</v>
      </c>
      <c r="AW37" s="19">
        <f>'Quotité d''autofinancement'!AW21</f>
        <v>11.289369499511498</v>
      </c>
      <c r="AX37" s="19">
        <f>'Quotité d''autofinancement'!AX21</f>
        <v>-2.1332307102690504</v>
      </c>
      <c r="AY37" s="19">
        <f>'Quotité d''autofinancement'!AY21</f>
        <v>6.6996022080777999</v>
      </c>
      <c r="AZ37" s="19">
        <f>'Quotité d''autofinancement'!AZ21</f>
        <v>8.1673514046991329</v>
      </c>
      <c r="BA37" s="19">
        <f>'Quotité d''autofinancement'!BA21</f>
        <v>10.838393921266585</v>
      </c>
      <c r="BB37" s="19">
        <f>'Quotité d''autofinancement'!BB21</f>
        <v>13.385301376788892</v>
      </c>
      <c r="BC37" s="19">
        <f>'Quotité d''autofinancement'!BC21</f>
        <v>7.1011887111457925</v>
      </c>
      <c r="BD37" s="19">
        <f>'Quotité d''autofinancement'!BD21</f>
        <v>7.7426000857874042</v>
      </c>
      <c r="BE37" s="19">
        <f>'Quotité d''autofinancement'!BE21</f>
        <v>4.3095002897201269</v>
      </c>
      <c r="BF37" s="19">
        <f t="shared" si="0"/>
        <v>140.24485756467618</v>
      </c>
      <c r="BG37" s="19">
        <f t="shared" si="1"/>
        <v>141.83407292011873</v>
      </c>
      <c r="BH37" s="19">
        <f t="shared" si="2"/>
        <v>160.10302042344517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51.026110678267585</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8"/>
      <c r="B1" s="228"/>
      <c r="C1" s="228"/>
      <c r="D1" s="228"/>
    </row>
    <row r="2" spans="1:8" ht="18" x14ac:dyDescent="0.25">
      <c r="A2" s="235" t="s">
        <v>831</v>
      </c>
      <c r="B2" s="235"/>
      <c r="C2" s="235"/>
      <c r="D2" s="235"/>
      <c r="E2" s="228"/>
      <c r="F2" s="228"/>
      <c r="G2" s="228"/>
      <c r="H2" s="228"/>
    </row>
    <row r="3" spans="1:8" ht="18" x14ac:dyDescent="0.25">
      <c r="A3" s="193"/>
      <c r="B3" s="193"/>
      <c r="C3" s="193"/>
      <c r="D3" s="193"/>
      <c r="E3" s="193"/>
      <c r="F3" s="193"/>
      <c r="G3" s="193"/>
      <c r="H3" s="193"/>
    </row>
    <row r="4" spans="1:8" ht="15" thickBot="1" x14ac:dyDescent="0.25">
      <c r="B4" s="236" t="s">
        <v>782</v>
      </c>
      <c r="C4" s="236"/>
      <c r="D4" s="236"/>
    </row>
    <row r="5" spans="1:8" ht="15.75" thickBot="1" x14ac:dyDescent="0.3">
      <c r="A5" s="32" t="s">
        <v>569</v>
      </c>
      <c r="B5" s="220" t="s">
        <v>49</v>
      </c>
      <c r="C5" s="221"/>
      <c r="D5" s="222"/>
      <c r="F5" s="158"/>
    </row>
    <row r="6" spans="1:8" ht="15.75" thickBot="1" x14ac:dyDescent="0.3">
      <c r="E6" s="7"/>
      <c r="H6" s="165"/>
    </row>
    <row r="7" spans="1:8" ht="15.75" thickBot="1" x14ac:dyDescent="0.3">
      <c r="A7" s="232" t="s">
        <v>562</v>
      </c>
      <c r="B7" s="233"/>
      <c r="C7" s="233"/>
      <c r="D7" s="234"/>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L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1569834.08</v>
      </c>
      <c r="K5" s="12">
        <f t="shared" si="0"/>
        <v>79607.59</v>
      </c>
      <c r="L5" s="12">
        <f t="shared" si="0"/>
        <v>190874.18</v>
      </c>
      <c r="M5" s="12">
        <f t="shared" si="0"/>
        <v>17515.550000000003</v>
      </c>
      <c r="N5" s="12">
        <f t="shared" si="0"/>
        <v>40635.29</v>
      </c>
      <c r="O5" s="12">
        <f t="shared" si="0"/>
        <v>236997.82</v>
      </c>
      <c r="P5" s="12">
        <f t="shared" si="0"/>
        <v>194403.89</v>
      </c>
      <c r="Q5" s="12">
        <f t="shared" si="0"/>
        <v>397674.45999999996</v>
      </c>
      <c r="R5" s="12">
        <f t="shared" si="0"/>
        <v>4263450.13</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443886.1</v>
      </c>
      <c r="K6" s="80">
        <f t="shared" si="1"/>
        <v>9487.5499999999993</v>
      </c>
      <c r="L6" s="80">
        <f t="shared" si="1"/>
        <v>30622.850000000002</v>
      </c>
      <c r="M6" s="80">
        <f t="shared" si="1"/>
        <v>1939.75</v>
      </c>
      <c r="N6" s="80">
        <f t="shared" si="1"/>
        <v>6736</v>
      </c>
      <c r="O6" s="80">
        <f t="shared" si="1"/>
        <v>27769.25</v>
      </c>
      <c r="P6" s="80">
        <f t="shared" si="1"/>
        <v>14511.85</v>
      </c>
      <c r="Q6" s="80">
        <f t="shared" si="1"/>
        <v>48316.549999999996</v>
      </c>
      <c r="R6" s="80">
        <f t="shared" si="1"/>
        <v>879027.29999999993</v>
      </c>
      <c r="S6" s="8">
        <v>3</v>
      </c>
    </row>
    <row r="7" spans="1:19" x14ac:dyDescent="0.2">
      <c r="C7" s="8">
        <v>300</v>
      </c>
      <c r="D7" s="8" t="s">
        <v>80</v>
      </c>
      <c r="E7" s="13">
        <v>35344.5</v>
      </c>
      <c r="F7" s="13">
        <v>10892.55</v>
      </c>
      <c r="G7" s="13">
        <v>5020</v>
      </c>
      <c r="H7" s="13">
        <v>2054.5</v>
      </c>
      <c r="I7" s="13">
        <v>15240</v>
      </c>
      <c r="J7" s="13">
        <v>64596</v>
      </c>
      <c r="K7" s="13">
        <v>2700</v>
      </c>
      <c r="L7" s="13">
        <v>12520.35</v>
      </c>
      <c r="M7" s="13">
        <v>515</v>
      </c>
      <c r="N7" s="13">
        <v>1560</v>
      </c>
      <c r="O7" s="13">
        <v>21930</v>
      </c>
      <c r="P7" s="13">
        <v>4312.5</v>
      </c>
      <c r="Q7" s="13">
        <v>7343</v>
      </c>
      <c r="R7" s="13">
        <f t="shared" ref="R7:R14" si="2">SUM(E7:Q7)</f>
        <v>184028.4</v>
      </c>
      <c r="S7" s="8">
        <v>4</v>
      </c>
    </row>
    <row r="8" spans="1:19" x14ac:dyDescent="0.2">
      <c r="C8" s="8">
        <v>301</v>
      </c>
      <c r="D8" s="8" t="s">
        <v>81</v>
      </c>
      <c r="E8" s="13">
        <v>154892.85</v>
      </c>
      <c r="F8" s="13">
        <v>0</v>
      </c>
      <c r="G8" s="13">
        <v>8306.4</v>
      </c>
      <c r="H8" s="13">
        <v>6200</v>
      </c>
      <c r="I8" s="13">
        <v>21576.5</v>
      </c>
      <c r="J8" s="13">
        <v>268435.3</v>
      </c>
      <c r="K8" s="13">
        <v>5000</v>
      </c>
      <c r="L8" s="13">
        <v>15567.6</v>
      </c>
      <c r="M8" s="13">
        <v>1490.7</v>
      </c>
      <c r="N8" s="13">
        <v>5176</v>
      </c>
      <c r="O8" s="13">
        <v>777.65</v>
      </c>
      <c r="P8" s="13">
        <v>7465.5</v>
      </c>
      <c r="Q8" s="13">
        <v>32043.200000000001</v>
      </c>
      <c r="R8" s="13">
        <f t="shared" si="2"/>
        <v>526931.69999999995</v>
      </c>
      <c r="S8" s="8">
        <v>5</v>
      </c>
    </row>
    <row r="9" spans="1:19" x14ac:dyDescent="0.2">
      <c r="C9" s="8">
        <v>302</v>
      </c>
      <c r="D9" s="8" t="s">
        <v>82</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v>0</v>
      </c>
      <c r="K10" s="13">
        <v>0</v>
      </c>
      <c r="L10" s="13">
        <v>0</v>
      </c>
      <c r="M10" s="13">
        <v>0</v>
      </c>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v>6797.6</v>
      </c>
      <c r="K11" s="13">
        <v>0</v>
      </c>
      <c r="L11" s="13">
        <v>0</v>
      </c>
      <c r="M11" s="13">
        <v>0</v>
      </c>
      <c r="N11" s="13">
        <v>0</v>
      </c>
      <c r="O11" s="13">
        <v>0</v>
      </c>
      <c r="P11" s="13">
        <v>0</v>
      </c>
      <c r="Q11" s="13">
        <v>0</v>
      </c>
      <c r="R11" s="13">
        <f t="shared" si="2"/>
        <v>6797.6</v>
      </c>
      <c r="S11" s="8">
        <v>8</v>
      </c>
    </row>
    <row r="12" spans="1:19" x14ac:dyDescent="0.2">
      <c r="C12" s="8">
        <v>305</v>
      </c>
      <c r="D12" s="8" t="s">
        <v>84</v>
      </c>
      <c r="E12" s="13">
        <v>15897</v>
      </c>
      <c r="F12" s="13">
        <v>0</v>
      </c>
      <c r="G12" s="13">
        <v>897.9</v>
      </c>
      <c r="H12" s="13">
        <v>1056</v>
      </c>
      <c r="I12" s="13">
        <v>4542.6499999999996</v>
      </c>
      <c r="J12" s="13">
        <v>79849.850000000006</v>
      </c>
      <c r="K12" s="13">
        <v>95.45</v>
      </c>
      <c r="L12" s="13">
        <v>2534.9</v>
      </c>
      <c r="M12" s="13">
        <v>-65.95</v>
      </c>
      <c r="N12" s="13">
        <v>0</v>
      </c>
      <c r="O12" s="13">
        <v>2709.5</v>
      </c>
      <c r="P12" s="13">
        <v>1792.15</v>
      </c>
      <c r="Q12" s="13">
        <v>7971.25</v>
      </c>
      <c r="R12" s="13">
        <f t="shared" si="2"/>
        <v>117280.7</v>
      </c>
      <c r="S12" s="8">
        <v>9</v>
      </c>
    </row>
    <row r="13" spans="1:19" x14ac:dyDescent="0.2">
      <c r="C13" s="8">
        <v>306</v>
      </c>
      <c r="D13" s="8" t="s">
        <v>85</v>
      </c>
      <c r="E13" s="13">
        <v>0</v>
      </c>
      <c r="F13" s="13">
        <v>0</v>
      </c>
      <c r="G13" s="13">
        <v>0</v>
      </c>
      <c r="H13" s="13">
        <v>0</v>
      </c>
      <c r="I13" s="13">
        <v>0</v>
      </c>
      <c r="J13" s="13">
        <v>0</v>
      </c>
      <c r="K13" s="13">
        <v>0</v>
      </c>
      <c r="L13" s="13">
        <v>0</v>
      </c>
      <c r="M13" s="13">
        <v>0</v>
      </c>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v>24207.35</v>
      </c>
      <c r="K14" s="13">
        <v>1692.1</v>
      </c>
      <c r="L14" s="13">
        <v>0</v>
      </c>
      <c r="M14" s="13">
        <v>0</v>
      </c>
      <c r="N14" s="13">
        <v>0</v>
      </c>
      <c r="O14" s="13">
        <v>2352.1</v>
      </c>
      <c r="P14" s="13">
        <v>941.7</v>
      </c>
      <c r="Q14" s="13">
        <v>959.1</v>
      </c>
      <c r="R14" s="13">
        <f t="shared" si="2"/>
        <v>41670.149999999987</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649503.94000000006</v>
      </c>
      <c r="K16" s="80">
        <f t="shared" si="3"/>
        <v>43037.089999999989</v>
      </c>
      <c r="L16" s="80">
        <f t="shared" si="3"/>
        <v>109038.73999999999</v>
      </c>
      <c r="M16" s="80">
        <f t="shared" si="3"/>
        <v>12548.300000000001</v>
      </c>
      <c r="N16" s="80">
        <f t="shared" si="3"/>
        <v>24697.79</v>
      </c>
      <c r="O16" s="80">
        <f t="shared" si="3"/>
        <v>107111.15</v>
      </c>
      <c r="P16" s="80">
        <f t="shared" si="3"/>
        <v>59025.39</v>
      </c>
      <c r="Q16" s="80">
        <f t="shared" si="3"/>
        <v>168675.25</v>
      </c>
      <c r="R16" s="80">
        <f t="shared" si="3"/>
        <v>1793502.1200000003</v>
      </c>
      <c r="S16" s="8">
        <v>13</v>
      </c>
    </row>
    <row r="17" spans="2:19" x14ac:dyDescent="0.2">
      <c r="C17" s="8">
        <v>310</v>
      </c>
      <c r="D17" s="8" t="s">
        <v>88</v>
      </c>
      <c r="E17" s="13">
        <v>39862</v>
      </c>
      <c r="F17" s="13">
        <v>29019.25</v>
      </c>
      <c r="G17" s="13">
        <v>2515.4499999999998</v>
      </c>
      <c r="H17" s="13">
        <v>1325.9</v>
      </c>
      <c r="I17" s="13">
        <v>5530.95</v>
      </c>
      <c r="J17" s="13">
        <v>13506.9</v>
      </c>
      <c r="K17" s="13">
        <v>6642.85</v>
      </c>
      <c r="L17" s="13">
        <v>2420.35</v>
      </c>
      <c r="M17" s="13">
        <v>93.55</v>
      </c>
      <c r="N17" s="13">
        <v>3135.05</v>
      </c>
      <c r="O17" s="13">
        <v>2184.9</v>
      </c>
      <c r="P17" s="13">
        <v>10203.4</v>
      </c>
      <c r="Q17" s="13">
        <v>1948.55</v>
      </c>
      <c r="R17" s="13">
        <f t="shared" ref="R17:R26" si="4">SUM(E17:Q17)</f>
        <v>118389.09999999999</v>
      </c>
      <c r="S17" s="8">
        <v>14</v>
      </c>
    </row>
    <row r="18" spans="2:19" x14ac:dyDescent="0.2">
      <c r="C18" s="8">
        <v>311</v>
      </c>
      <c r="D18" s="8" t="s">
        <v>449</v>
      </c>
      <c r="E18" s="13">
        <v>1374.05</v>
      </c>
      <c r="F18" s="13">
        <v>0</v>
      </c>
      <c r="G18" s="13">
        <v>367.9</v>
      </c>
      <c r="H18" s="13">
        <v>0</v>
      </c>
      <c r="I18" s="13">
        <v>189</v>
      </c>
      <c r="J18" s="13">
        <v>6876.6</v>
      </c>
      <c r="K18" s="13">
        <v>65</v>
      </c>
      <c r="L18" s="13">
        <v>1750.6</v>
      </c>
      <c r="M18" s="13">
        <v>0</v>
      </c>
      <c r="N18" s="13">
        <v>538.5</v>
      </c>
      <c r="O18" s="13">
        <v>0</v>
      </c>
      <c r="P18" s="13">
        <v>3592.6</v>
      </c>
      <c r="Q18" s="13">
        <v>4144.8999999999996</v>
      </c>
      <c r="R18" s="13">
        <f t="shared" si="4"/>
        <v>18899.150000000001</v>
      </c>
      <c r="S18" s="8">
        <v>15</v>
      </c>
    </row>
    <row r="19" spans="2:19" x14ac:dyDescent="0.2">
      <c r="C19" s="8">
        <v>312</v>
      </c>
      <c r="D19" s="8" t="s">
        <v>90</v>
      </c>
      <c r="E19" s="13">
        <v>14576.9</v>
      </c>
      <c r="F19" s="13">
        <v>0</v>
      </c>
      <c r="G19" s="13">
        <v>0</v>
      </c>
      <c r="H19" s="13">
        <v>0</v>
      </c>
      <c r="I19" s="13">
        <v>972.35</v>
      </c>
      <c r="J19" s="13">
        <v>197392.75</v>
      </c>
      <c r="K19" s="13">
        <v>2592.9499999999998</v>
      </c>
      <c r="L19" s="13">
        <v>0</v>
      </c>
      <c r="M19" s="13">
        <v>723.9</v>
      </c>
      <c r="N19" s="13">
        <v>877.85</v>
      </c>
      <c r="O19" s="13">
        <v>-7869.7</v>
      </c>
      <c r="P19" s="13">
        <v>862.5</v>
      </c>
      <c r="Q19" s="13">
        <v>12400.45</v>
      </c>
      <c r="R19" s="13">
        <f t="shared" si="4"/>
        <v>222529.95</v>
      </c>
      <c r="S19" s="8">
        <v>16</v>
      </c>
    </row>
    <row r="20" spans="2:19" x14ac:dyDescent="0.2">
      <c r="C20" s="8">
        <v>313</v>
      </c>
      <c r="D20" s="8" t="s">
        <v>91</v>
      </c>
      <c r="E20" s="13">
        <v>190940.42</v>
      </c>
      <c r="F20" s="13">
        <v>52591.12</v>
      </c>
      <c r="G20" s="13">
        <v>65332.05</v>
      </c>
      <c r="H20" s="13">
        <v>20707.25</v>
      </c>
      <c r="I20" s="13">
        <v>109274.48</v>
      </c>
      <c r="J20" s="13">
        <v>234647.2</v>
      </c>
      <c r="K20" s="13">
        <v>31768.54</v>
      </c>
      <c r="L20" s="13">
        <v>104867.79</v>
      </c>
      <c r="M20" s="13">
        <v>10323.549999999999</v>
      </c>
      <c r="N20" s="13">
        <v>19396.29</v>
      </c>
      <c r="O20" s="13">
        <v>73959.8</v>
      </c>
      <c r="P20" s="13">
        <v>24011.79</v>
      </c>
      <c r="Q20" s="13">
        <v>104644.35</v>
      </c>
      <c r="R20" s="13">
        <f t="shared" si="4"/>
        <v>1042464.6300000002</v>
      </c>
      <c r="S20" s="8">
        <v>17</v>
      </c>
    </row>
    <row r="21" spans="2:19" x14ac:dyDescent="0.2">
      <c r="C21" s="8">
        <v>314</v>
      </c>
      <c r="D21" s="8" t="s">
        <v>841</v>
      </c>
      <c r="E21" s="13">
        <v>7336.1</v>
      </c>
      <c r="F21" s="13">
        <v>6252.5</v>
      </c>
      <c r="G21" s="13">
        <v>20673.25</v>
      </c>
      <c r="H21" s="13">
        <v>3342.55</v>
      </c>
      <c r="I21" s="13">
        <v>11223.7</v>
      </c>
      <c r="J21" s="13">
        <v>193391.19</v>
      </c>
      <c r="K21" s="13">
        <v>809.7</v>
      </c>
      <c r="L21" s="13">
        <v>0</v>
      </c>
      <c r="M21" s="13">
        <v>383.95</v>
      </c>
      <c r="N21" s="13">
        <v>0</v>
      </c>
      <c r="O21" s="13">
        <v>37569.449999999997</v>
      </c>
      <c r="P21" s="13">
        <v>18295.75</v>
      </c>
      <c r="Q21" s="13">
        <v>36497.4</v>
      </c>
      <c r="R21" s="13">
        <f t="shared" si="4"/>
        <v>335775.54000000004</v>
      </c>
      <c r="S21" s="8">
        <v>18</v>
      </c>
    </row>
    <row r="22" spans="2:19" x14ac:dyDescent="0.2">
      <c r="C22" s="8">
        <v>315</v>
      </c>
      <c r="D22" s="8" t="s">
        <v>92</v>
      </c>
      <c r="E22" s="13">
        <v>15787.8</v>
      </c>
      <c r="F22" s="13">
        <v>0</v>
      </c>
      <c r="G22" s="13">
        <v>538.5</v>
      </c>
      <c r="H22" s="13">
        <v>0</v>
      </c>
      <c r="I22" s="13">
        <v>538.5</v>
      </c>
      <c r="J22" s="13">
        <v>0</v>
      </c>
      <c r="K22" s="13">
        <v>693.6</v>
      </c>
      <c r="L22" s="13">
        <v>0</v>
      </c>
      <c r="M22" s="13">
        <v>595.5</v>
      </c>
      <c r="N22" s="13">
        <v>0</v>
      </c>
      <c r="O22" s="13">
        <v>0</v>
      </c>
      <c r="P22" s="13">
        <v>469.9</v>
      </c>
      <c r="Q22" s="13">
        <v>323.10000000000002</v>
      </c>
      <c r="R22" s="13">
        <f t="shared" si="4"/>
        <v>18946.899999999998</v>
      </c>
      <c r="S22" s="8">
        <v>19</v>
      </c>
    </row>
    <row r="23" spans="2:19" x14ac:dyDescent="0.2">
      <c r="C23" s="8">
        <v>316</v>
      </c>
      <c r="D23" s="8" t="s">
        <v>93</v>
      </c>
      <c r="E23" s="13">
        <v>2017.3</v>
      </c>
      <c r="F23" s="13">
        <v>0</v>
      </c>
      <c r="G23" s="13">
        <v>950</v>
      </c>
      <c r="H23" s="13">
        <v>0</v>
      </c>
      <c r="I23" s="13">
        <v>0</v>
      </c>
      <c r="J23" s="13">
        <v>0</v>
      </c>
      <c r="K23" s="13">
        <v>0</v>
      </c>
      <c r="L23" s="13">
        <v>0</v>
      </c>
      <c r="M23" s="13">
        <v>0</v>
      </c>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v>3689.3</v>
      </c>
      <c r="K24" s="13">
        <v>0</v>
      </c>
      <c r="L24" s="13">
        <v>0</v>
      </c>
      <c r="M24" s="13">
        <v>427.85</v>
      </c>
      <c r="N24" s="13">
        <v>750.1</v>
      </c>
      <c r="O24" s="13">
        <v>466.7</v>
      </c>
      <c r="P24" s="13">
        <v>323.10000000000002</v>
      </c>
      <c r="Q24" s="13">
        <v>716.5</v>
      </c>
      <c r="R24" s="13">
        <f t="shared" si="4"/>
        <v>14179.500000000002</v>
      </c>
      <c r="S24" s="8">
        <v>21</v>
      </c>
    </row>
    <row r="25" spans="2:19" x14ac:dyDescent="0.2">
      <c r="C25" s="8">
        <v>318</v>
      </c>
      <c r="D25" s="8" t="s">
        <v>95</v>
      </c>
      <c r="E25" s="13">
        <v>0</v>
      </c>
      <c r="F25" s="13">
        <v>0</v>
      </c>
      <c r="G25" s="13">
        <v>1093.0999999999999</v>
      </c>
      <c r="H25" s="13">
        <v>0</v>
      </c>
      <c r="I25" s="13">
        <v>0</v>
      </c>
      <c r="J25" s="13">
        <v>0</v>
      </c>
      <c r="K25" s="13">
        <v>0</v>
      </c>
      <c r="L25" s="13">
        <v>0</v>
      </c>
      <c r="M25" s="13">
        <v>0</v>
      </c>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v>0</v>
      </c>
      <c r="K26" s="13">
        <v>464.45</v>
      </c>
      <c r="L26" s="13">
        <v>0</v>
      </c>
      <c r="M26" s="13">
        <v>0</v>
      </c>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43930</v>
      </c>
      <c r="K28" s="80">
        <f t="shared" si="5"/>
        <v>0</v>
      </c>
      <c r="L28" s="80">
        <f t="shared" si="5"/>
        <v>0</v>
      </c>
      <c r="M28" s="80">
        <f t="shared" si="5"/>
        <v>1300</v>
      </c>
      <c r="N28" s="80">
        <f t="shared" si="5"/>
        <v>0</v>
      </c>
      <c r="O28" s="80">
        <f t="shared" si="5"/>
        <v>24500</v>
      </c>
      <c r="P28" s="80">
        <f t="shared" si="5"/>
        <v>33148.9</v>
      </c>
      <c r="Q28" s="80">
        <f t="shared" si="5"/>
        <v>0</v>
      </c>
      <c r="R28" s="80">
        <f t="shared" si="5"/>
        <v>227781.8</v>
      </c>
      <c r="S28" s="8">
        <v>25</v>
      </c>
    </row>
    <row r="29" spans="2:19" x14ac:dyDescent="0.2">
      <c r="C29" s="8">
        <v>330</v>
      </c>
      <c r="D29" s="8" t="s">
        <v>99</v>
      </c>
      <c r="E29" s="13">
        <v>88586.1</v>
      </c>
      <c r="F29" s="13">
        <v>11268</v>
      </c>
      <c r="G29" s="13">
        <v>2709.45</v>
      </c>
      <c r="H29" s="13">
        <v>0</v>
      </c>
      <c r="I29" s="13">
        <v>22339.35</v>
      </c>
      <c r="J29" s="13">
        <v>43930</v>
      </c>
      <c r="K29" s="13">
        <v>0</v>
      </c>
      <c r="L29" s="13">
        <v>0</v>
      </c>
      <c r="M29" s="13">
        <v>1300</v>
      </c>
      <c r="N29" s="13">
        <v>0</v>
      </c>
      <c r="O29" s="13">
        <v>24500</v>
      </c>
      <c r="P29" s="13">
        <v>33148.9</v>
      </c>
      <c r="Q29" s="13">
        <v>0</v>
      </c>
      <c r="R29" s="13">
        <f>SUM(E29:Q29)</f>
        <v>227781.8</v>
      </c>
      <c r="S29" s="8">
        <v>26</v>
      </c>
    </row>
    <row r="30" spans="2:19" x14ac:dyDescent="0.2">
      <c r="C30" s="8">
        <v>332</v>
      </c>
      <c r="D30" s="8" t="s">
        <v>98</v>
      </c>
      <c r="E30" s="13">
        <v>0</v>
      </c>
      <c r="F30" s="13">
        <v>0</v>
      </c>
      <c r="G30" s="13">
        <v>0</v>
      </c>
      <c r="H30" s="13">
        <v>0</v>
      </c>
      <c r="I30" s="13">
        <v>0</v>
      </c>
      <c r="J30" s="13">
        <v>0</v>
      </c>
      <c r="K30" s="13">
        <v>0</v>
      </c>
      <c r="L30" s="13">
        <v>0</v>
      </c>
      <c r="M30" s="13">
        <v>0</v>
      </c>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135650.68999999997</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298273.74</v>
      </c>
      <c r="S32" s="8">
        <v>29</v>
      </c>
    </row>
    <row r="33" spans="2:19" x14ac:dyDescent="0.2">
      <c r="C33" s="8">
        <v>340</v>
      </c>
      <c r="D33" s="8" t="s">
        <v>101</v>
      </c>
      <c r="E33" s="13">
        <v>28174.25</v>
      </c>
      <c r="F33" s="13">
        <v>2557.65</v>
      </c>
      <c r="G33" s="13">
        <v>2510</v>
      </c>
      <c r="H33" s="13">
        <v>0</v>
      </c>
      <c r="I33" s="13">
        <v>5089.3599999999997</v>
      </c>
      <c r="J33" s="13">
        <v>20767.05</v>
      </c>
      <c r="K33" s="13">
        <v>1668.3</v>
      </c>
      <c r="L33" s="13">
        <v>0</v>
      </c>
      <c r="M33" s="13">
        <v>0</v>
      </c>
      <c r="N33" s="13">
        <v>0</v>
      </c>
      <c r="O33" s="13">
        <v>0</v>
      </c>
      <c r="P33" s="13">
        <v>13038.5</v>
      </c>
      <c r="Q33" s="13">
        <v>1585.8</v>
      </c>
      <c r="R33" s="13">
        <f t="shared" ref="R33:R38" si="7">SUM(E33:Q33)</f>
        <v>75390.91</v>
      </c>
      <c r="S33" s="8">
        <v>30</v>
      </c>
    </row>
    <row r="34" spans="2:19" x14ac:dyDescent="0.2">
      <c r="C34" s="8">
        <v>341</v>
      </c>
      <c r="D34" s="8" t="s">
        <v>102</v>
      </c>
      <c r="E34" s="13">
        <v>0</v>
      </c>
      <c r="F34" s="13">
        <v>0</v>
      </c>
      <c r="G34" s="13">
        <v>0</v>
      </c>
      <c r="H34" s="13">
        <v>0</v>
      </c>
      <c r="I34" s="13">
        <v>0</v>
      </c>
      <c r="J34" s="13">
        <v>2140.16</v>
      </c>
      <c r="K34" s="13">
        <v>0</v>
      </c>
      <c r="L34" s="13">
        <v>0</v>
      </c>
      <c r="M34" s="13">
        <v>0</v>
      </c>
      <c r="N34" s="13">
        <v>0</v>
      </c>
      <c r="O34" s="13">
        <v>0</v>
      </c>
      <c r="P34" s="13">
        <v>0</v>
      </c>
      <c r="Q34" s="13">
        <v>0</v>
      </c>
      <c r="R34" s="13">
        <f t="shared" si="7"/>
        <v>2140.16</v>
      </c>
      <c r="S34" s="8">
        <v>31</v>
      </c>
    </row>
    <row r="35" spans="2:19"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v>109484.9</v>
      </c>
      <c r="K36" s="13">
        <v>0</v>
      </c>
      <c r="L36" s="13">
        <v>0</v>
      </c>
      <c r="M36" s="13">
        <v>0</v>
      </c>
      <c r="N36" s="13">
        <v>0</v>
      </c>
      <c r="O36" s="13">
        <v>5240.3</v>
      </c>
      <c r="P36" s="13">
        <v>3710.55</v>
      </c>
      <c r="Q36" s="13">
        <v>2904.4</v>
      </c>
      <c r="R36" s="13">
        <f t="shared" si="7"/>
        <v>183803.44999999998</v>
      </c>
      <c r="S36" s="8">
        <v>33</v>
      </c>
    </row>
    <row r="37" spans="2:19" x14ac:dyDescent="0.2">
      <c r="C37" s="8">
        <v>344</v>
      </c>
      <c r="D37" s="8" t="s">
        <v>105</v>
      </c>
      <c r="E37" s="13">
        <v>369.98</v>
      </c>
      <c r="F37" s="13">
        <v>0</v>
      </c>
      <c r="G37" s="13">
        <v>15896.15</v>
      </c>
      <c r="H37" s="13">
        <v>0</v>
      </c>
      <c r="I37" s="13">
        <v>0</v>
      </c>
      <c r="J37" s="13">
        <v>0</v>
      </c>
      <c r="K37" s="13">
        <v>0</v>
      </c>
      <c r="L37" s="13">
        <v>0</v>
      </c>
      <c r="M37" s="13">
        <v>0</v>
      </c>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v>3258.58</v>
      </c>
      <c r="K38" s="13">
        <v>324.8</v>
      </c>
      <c r="L38" s="13">
        <v>3571.35</v>
      </c>
      <c r="M38" s="13">
        <v>0</v>
      </c>
      <c r="N38" s="13">
        <v>0</v>
      </c>
      <c r="O38" s="13">
        <v>2709.65</v>
      </c>
      <c r="P38" s="13">
        <v>0</v>
      </c>
      <c r="Q38" s="13">
        <v>2504.66</v>
      </c>
      <c r="R38" s="13">
        <f t="shared" si="7"/>
        <v>18637.39</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72074</v>
      </c>
      <c r="K40" s="80">
        <f t="shared" si="8"/>
        <v>0</v>
      </c>
      <c r="L40" s="80">
        <f t="shared" si="8"/>
        <v>5321.35</v>
      </c>
      <c r="M40" s="80">
        <f t="shared" si="8"/>
        <v>0</v>
      </c>
      <c r="N40" s="80">
        <f t="shared" si="8"/>
        <v>0</v>
      </c>
      <c r="O40" s="80">
        <f t="shared" si="8"/>
        <v>81.62</v>
      </c>
      <c r="P40" s="80">
        <f t="shared" si="8"/>
        <v>4147</v>
      </c>
      <c r="Q40" s="80">
        <f t="shared" si="8"/>
        <v>0</v>
      </c>
      <c r="R40" s="80">
        <f t="shared" si="8"/>
        <v>118003.83</v>
      </c>
      <c r="S40" s="8">
        <v>37</v>
      </c>
    </row>
    <row r="41" spans="2:19" x14ac:dyDescent="0.2">
      <c r="C41" s="8">
        <v>350</v>
      </c>
      <c r="D41" s="8" t="s">
        <v>108</v>
      </c>
      <c r="E41" s="13">
        <v>0</v>
      </c>
      <c r="F41" s="13">
        <v>0</v>
      </c>
      <c r="G41" s="13">
        <v>0</v>
      </c>
      <c r="H41" s="13">
        <v>0</v>
      </c>
      <c r="I41" s="13">
        <v>0</v>
      </c>
      <c r="J41" s="13">
        <v>0</v>
      </c>
      <c r="K41" s="13">
        <v>0</v>
      </c>
      <c r="L41" s="13">
        <v>0</v>
      </c>
      <c r="M41" s="13">
        <v>0</v>
      </c>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v>72074</v>
      </c>
      <c r="K42" s="13">
        <v>0</v>
      </c>
      <c r="L42" s="13">
        <v>5321.35</v>
      </c>
      <c r="M42" s="13">
        <v>0</v>
      </c>
      <c r="N42" s="13">
        <v>0</v>
      </c>
      <c r="O42" s="13">
        <v>81.62</v>
      </c>
      <c r="P42" s="13">
        <v>4147</v>
      </c>
      <c r="Q42" s="13">
        <v>0</v>
      </c>
      <c r="R42" s="13">
        <f t="shared" si="9"/>
        <v>118003.83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54789.35</v>
      </c>
      <c r="K44" s="80">
        <f t="shared" si="10"/>
        <v>19461.5</v>
      </c>
      <c r="L44" s="80">
        <f t="shared" si="10"/>
        <v>41282.089999999997</v>
      </c>
      <c r="M44" s="80">
        <f t="shared" si="10"/>
        <v>1727.5</v>
      </c>
      <c r="N44" s="80">
        <f t="shared" si="10"/>
        <v>9201.5</v>
      </c>
      <c r="O44" s="80">
        <f t="shared" si="10"/>
        <v>10785.85</v>
      </c>
      <c r="P44" s="80">
        <f t="shared" si="10"/>
        <v>39922.9</v>
      </c>
      <c r="Q44" s="80">
        <f t="shared" si="10"/>
        <v>21889.85</v>
      </c>
      <c r="R44" s="80">
        <f t="shared" si="10"/>
        <v>351255.14</v>
      </c>
      <c r="S44" s="8">
        <v>41</v>
      </c>
    </row>
    <row r="45" spans="2:19" x14ac:dyDescent="0.2">
      <c r="C45" s="8">
        <v>360</v>
      </c>
      <c r="D45" s="8" t="s">
        <v>110</v>
      </c>
      <c r="E45" s="13">
        <v>4124.1000000000004</v>
      </c>
      <c r="F45" s="13">
        <v>0</v>
      </c>
      <c r="G45" s="13">
        <v>0</v>
      </c>
      <c r="H45" s="13">
        <v>0</v>
      </c>
      <c r="I45" s="13">
        <v>0</v>
      </c>
      <c r="J45" s="13">
        <v>2000</v>
      </c>
      <c r="K45" s="13">
        <v>0</v>
      </c>
      <c r="L45" s="13">
        <v>0</v>
      </c>
      <c r="M45" s="13">
        <v>0</v>
      </c>
      <c r="N45" s="13">
        <v>0</v>
      </c>
      <c r="O45" s="13">
        <v>0</v>
      </c>
      <c r="P45" s="13">
        <v>0</v>
      </c>
      <c r="Q45" s="13">
        <v>0</v>
      </c>
      <c r="R45" s="13">
        <f t="shared" ref="R45:R52" si="11">SUM(E45:Q45)</f>
        <v>6124.1</v>
      </c>
      <c r="S45" s="8">
        <v>42</v>
      </c>
    </row>
    <row r="46" spans="2:19" x14ac:dyDescent="0.2">
      <c r="C46" s="8">
        <v>361</v>
      </c>
      <c r="D46" s="8" t="s">
        <v>111</v>
      </c>
      <c r="E46" s="13">
        <v>1897.4</v>
      </c>
      <c r="F46" s="13">
        <v>0</v>
      </c>
      <c r="G46" s="13">
        <v>0</v>
      </c>
      <c r="H46" s="13">
        <v>0</v>
      </c>
      <c r="I46" s="13">
        <v>25045</v>
      </c>
      <c r="J46" s="13">
        <v>0</v>
      </c>
      <c r="K46" s="13">
        <v>0</v>
      </c>
      <c r="L46" s="13">
        <v>0</v>
      </c>
      <c r="M46" s="13">
        <v>232</v>
      </c>
      <c r="N46" s="13">
        <v>9201.5</v>
      </c>
      <c r="O46" s="13">
        <v>0</v>
      </c>
      <c r="P46" s="13">
        <v>1799.15</v>
      </c>
      <c r="Q46" s="13">
        <v>20000</v>
      </c>
      <c r="R46" s="13">
        <f t="shared" si="11"/>
        <v>58175.05</v>
      </c>
      <c r="S46" s="8">
        <v>43</v>
      </c>
    </row>
    <row r="47" spans="2:19" x14ac:dyDescent="0.2">
      <c r="C47" s="8">
        <v>362</v>
      </c>
      <c r="D47" s="8" t="s">
        <v>112</v>
      </c>
      <c r="E47" s="13">
        <v>0</v>
      </c>
      <c r="F47" s="13">
        <v>0</v>
      </c>
      <c r="G47" s="13">
        <v>0</v>
      </c>
      <c r="H47" s="13">
        <v>0</v>
      </c>
      <c r="I47" s="13">
        <v>0</v>
      </c>
      <c r="J47" s="13">
        <v>0</v>
      </c>
      <c r="K47" s="13">
        <v>0</v>
      </c>
      <c r="L47" s="13">
        <v>0</v>
      </c>
      <c r="M47" s="13">
        <v>0</v>
      </c>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v>52789.35</v>
      </c>
      <c r="K48" s="13">
        <v>19461.5</v>
      </c>
      <c r="L48" s="13">
        <v>41282.089999999997</v>
      </c>
      <c r="M48" s="13">
        <v>1495.5</v>
      </c>
      <c r="N48" s="13">
        <v>0</v>
      </c>
      <c r="O48" s="13">
        <v>10785.85</v>
      </c>
      <c r="P48" s="13">
        <v>38123.75</v>
      </c>
      <c r="Q48" s="13">
        <v>1889.85</v>
      </c>
      <c r="R48" s="13">
        <f t="shared" si="11"/>
        <v>286955.99</v>
      </c>
      <c r="S48" s="8">
        <v>45</v>
      </c>
    </row>
    <row r="49" spans="2:19"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v>0</v>
      </c>
      <c r="K52" s="13">
        <v>0</v>
      </c>
      <c r="L52" s="13">
        <v>0</v>
      </c>
      <c r="M52" s="13">
        <v>0</v>
      </c>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v>0</v>
      </c>
      <c r="K55" s="13">
        <v>5628.35</v>
      </c>
      <c r="L55" s="13">
        <v>0</v>
      </c>
      <c r="M55" s="13">
        <v>0</v>
      </c>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170000</v>
      </c>
      <c r="K57" s="80">
        <f t="shared" si="13"/>
        <v>0</v>
      </c>
      <c r="L57" s="80">
        <f t="shared" si="13"/>
        <v>0</v>
      </c>
      <c r="M57" s="80">
        <f t="shared" si="13"/>
        <v>0</v>
      </c>
      <c r="N57" s="80">
        <f t="shared" si="13"/>
        <v>0</v>
      </c>
      <c r="O57" s="80">
        <f t="shared" si="13"/>
        <v>58800</v>
      </c>
      <c r="P57" s="80">
        <f t="shared" si="13"/>
        <v>0</v>
      </c>
      <c r="Q57" s="80">
        <f t="shared" si="13"/>
        <v>0</v>
      </c>
      <c r="R57" s="80">
        <f t="shared" si="13"/>
        <v>228800</v>
      </c>
      <c r="S57" s="8">
        <v>54</v>
      </c>
    </row>
    <row r="58" spans="2:19"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v>170000</v>
      </c>
      <c r="K63" s="13">
        <v>0</v>
      </c>
      <c r="L63" s="13">
        <v>0</v>
      </c>
      <c r="M63" s="13">
        <v>0</v>
      </c>
      <c r="N63" s="13">
        <v>0</v>
      </c>
      <c r="O63" s="13">
        <v>58800</v>
      </c>
      <c r="P63" s="13">
        <v>0</v>
      </c>
      <c r="Q63" s="13">
        <v>0</v>
      </c>
      <c r="R63" s="13">
        <f t="shared" si="14"/>
        <v>228800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v>0</v>
      </c>
      <c r="K66" s="13">
        <v>0</v>
      </c>
      <c r="L66" s="13">
        <v>0</v>
      </c>
      <c r="M66" s="13">
        <v>0</v>
      </c>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v>0</v>
      </c>
      <c r="K67" s="13">
        <v>0</v>
      </c>
      <c r="L67" s="13">
        <v>1037.8</v>
      </c>
      <c r="M67" s="13">
        <v>0</v>
      </c>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v>0</v>
      </c>
      <c r="K69" s="13">
        <v>0</v>
      </c>
      <c r="L69" s="13">
        <v>0</v>
      </c>
      <c r="M69" s="13">
        <v>0</v>
      </c>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1584537.6000000001</v>
      </c>
      <c r="K76" s="15">
        <f t="shared" si="17"/>
        <v>97677.1</v>
      </c>
      <c r="L76" s="15">
        <f t="shared" si="17"/>
        <v>196689.99</v>
      </c>
      <c r="M76" s="15">
        <f t="shared" si="17"/>
        <v>15814.25</v>
      </c>
      <c r="N76" s="15">
        <f t="shared" si="17"/>
        <v>32747.149999999998</v>
      </c>
      <c r="O76" s="15">
        <f t="shared" si="17"/>
        <v>237341.01</v>
      </c>
      <c r="P76" s="15">
        <f t="shared" si="17"/>
        <v>192997.19999999998</v>
      </c>
      <c r="Q76" s="15">
        <f t="shared" si="17"/>
        <v>457029.49</v>
      </c>
      <c r="R76" s="15">
        <f t="shared" si="17"/>
        <v>4470743.97</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v>0</v>
      </c>
      <c r="K80" s="13">
        <v>0</v>
      </c>
      <c r="L80" s="13">
        <v>0</v>
      </c>
      <c r="M80" s="13">
        <v>0</v>
      </c>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v>0</v>
      </c>
      <c r="K86" s="13">
        <v>0</v>
      </c>
      <c r="L86" s="13">
        <v>0</v>
      </c>
      <c r="M86" s="13">
        <v>0</v>
      </c>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391419.30000000005</v>
      </c>
      <c r="K89" s="82">
        <f t="shared" si="20"/>
        <v>40195.949999999997</v>
      </c>
      <c r="L89" s="82">
        <f t="shared" si="20"/>
        <v>147489.15</v>
      </c>
      <c r="M89" s="82">
        <f t="shared" si="20"/>
        <v>9996</v>
      </c>
      <c r="N89" s="82">
        <f t="shared" si="20"/>
        <v>10834.349999999999</v>
      </c>
      <c r="O89" s="82">
        <f t="shared" si="20"/>
        <v>114705.35</v>
      </c>
      <c r="P89" s="82">
        <f t="shared" si="20"/>
        <v>79854.399999999994</v>
      </c>
      <c r="Q89" s="82">
        <f t="shared" si="20"/>
        <v>189625.84</v>
      </c>
      <c r="R89" s="82">
        <f t="shared" si="20"/>
        <v>1622990.31</v>
      </c>
      <c r="S89" s="8">
        <v>86</v>
      </c>
    </row>
    <row r="90" spans="2:19"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v>0</v>
      </c>
      <c r="K91" s="13">
        <v>0</v>
      </c>
      <c r="L91" s="13">
        <v>600</v>
      </c>
      <c r="M91" s="13">
        <v>0</v>
      </c>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v>41315.75</v>
      </c>
      <c r="K94" s="13">
        <v>14700</v>
      </c>
      <c r="L94" s="13">
        <v>0</v>
      </c>
      <c r="M94" s="13">
        <v>0</v>
      </c>
      <c r="N94" s="13">
        <v>5709.7</v>
      </c>
      <c r="O94" s="13">
        <v>0</v>
      </c>
      <c r="P94" s="13">
        <v>22535</v>
      </c>
      <c r="Q94" s="13">
        <v>52902.8</v>
      </c>
      <c r="R94" s="13">
        <f t="shared" si="21"/>
        <v>167055.25</v>
      </c>
      <c r="S94" s="8">
        <v>91</v>
      </c>
    </row>
    <row r="95" spans="2:19" x14ac:dyDescent="0.2">
      <c r="C95" s="8">
        <v>425</v>
      </c>
      <c r="D95" s="8" t="s">
        <v>152</v>
      </c>
      <c r="E95" s="13">
        <v>299790.55</v>
      </c>
      <c r="F95" s="13">
        <v>49256</v>
      </c>
      <c r="G95" s="13">
        <v>108887.77</v>
      </c>
      <c r="H95" s="13">
        <v>9759</v>
      </c>
      <c r="I95" s="13">
        <v>126189.2</v>
      </c>
      <c r="J95" s="13">
        <v>298926.65000000002</v>
      </c>
      <c r="K95" s="13">
        <v>25440.95</v>
      </c>
      <c r="L95" s="13">
        <v>146889.15</v>
      </c>
      <c r="M95" s="13">
        <v>9996</v>
      </c>
      <c r="N95" s="13">
        <v>584.95000000000005</v>
      </c>
      <c r="O95" s="13">
        <v>114705.35</v>
      </c>
      <c r="P95" s="13">
        <v>54483.15</v>
      </c>
      <c r="Q95" s="13">
        <v>119781.25</v>
      </c>
      <c r="R95" s="13">
        <f t="shared" si="21"/>
        <v>1364689.97</v>
      </c>
      <c r="S95" s="8">
        <v>92</v>
      </c>
    </row>
    <row r="96" spans="2:19" x14ac:dyDescent="0.2">
      <c r="C96" s="8">
        <v>426</v>
      </c>
      <c r="D96" s="8" t="s">
        <v>153</v>
      </c>
      <c r="E96" s="13">
        <v>410</v>
      </c>
      <c r="F96" s="13">
        <v>724</v>
      </c>
      <c r="G96" s="13">
        <v>1000</v>
      </c>
      <c r="H96" s="13">
        <v>4246.8</v>
      </c>
      <c r="I96" s="13">
        <v>7364.2</v>
      </c>
      <c r="J96" s="13">
        <v>51176.9</v>
      </c>
      <c r="K96" s="13">
        <v>55</v>
      </c>
      <c r="L96" s="13">
        <v>0</v>
      </c>
      <c r="M96" s="13">
        <v>0</v>
      </c>
      <c r="N96" s="13">
        <v>4539.7</v>
      </c>
      <c r="O96" s="13">
        <v>0</v>
      </c>
      <c r="P96" s="13">
        <v>2836.25</v>
      </c>
      <c r="Q96" s="13">
        <v>16641.79</v>
      </c>
      <c r="R96" s="13">
        <f t="shared" si="21"/>
        <v>88994.640000000014</v>
      </c>
      <c r="S96" s="8">
        <v>93</v>
      </c>
    </row>
    <row r="97" spans="2:19" x14ac:dyDescent="0.2">
      <c r="C97" s="8">
        <v>427</v>
      </c>
      <c r="D97" s="8" t="s">
        <v>154</v>
      </c>
      <c r="E97" s="13">
        <v>0</v>
      </c>
      <c r="F97" s="13">
        <v>0</v>
      </c>
      <c r="G97" s="13">
        <v>0</v>
      </c>
      <c r="H97" s="13">
        <v>0</v>
      </c>
      <c r="I97" s="13">
        <v>0</v>
      </c>
      <c r="J97" s="13">
        <v>0</v>
      </c>
      <c r="K97" s="13">
        <v>0</v>
      </c>
      <c r="L97" s="13">
        <v>0</v>
      </c>
      <c r="M97" s="13">
        <v>0</v>
      </c>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v>0</v>
      </c>
      <c r="K98" s="13">
        <v>0</v>
      </c>
      <c r="L98" s="13">
        <v>0</v>
      </c>
      <c r="M98" s="13">
        <v>0</v>
      </c>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v>0</v>
      </c>
      <c r="K103" s="13">
        <v>0</v>
      </c>
      <c r="L103" s="13">
        <v>0</v>
      </c>
      <c r="M103" s="13">
        <v>0</v>
      </c>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1149298.3</v>
      </c>
      <c r="K106" s="82">
        <f t="shared" si="23"/>
        <v>22776.550000000003</v>
      </c>
      <c r="L106" s="82">
        <f t="shared" si="23"/>
        <v>15826.939999999999</v>
      </c>
      <c r="M106" s="82">
        <f t="shared" si="23"/>
        <v>2525.0500000000002</v>
      </c>
      <c r="N106" s="82">
        <f t="shared" si="23"/>
        <v>4371.05</v>
      </c>
      <c r="O106" s="82">
        <f t="shared" si="23"/>
        <v>117561.31</v>
      </c>
      <c r="P106" s="82">
        <f t="shared" si="23"/>
        <v>103211.2</v>
      </c>
      <c r="Q106" s="82">
        <f t="shared" si="23"/>
        <v>35327.699999999997</v>
      </c>
      <c r="R106" s="82">
        <f t="shared" si="23"/>
        <v>2052006.0599999998</v>
      </c>
      <c r="S106" s="8">
        <v>103</v>
      </c>
    </row>
    <row r="107" spans="2:19" x14ac:dyDescent="0.2">
      <c r="C107" s="8">
        <v>440</v>
      </c>
      <c r="D107" s="8" t="s">
        <v>162</v>
      </c>
      <c r="E107" s="13">
        <v>227.9</v>
      </c>
      <c r="F107" s="13">
        <v>1868</v>
      </c>
      <c r="G107" s="13">
        <v>6.8</v>
      </c>
      <c r="H107" s="13">
        <v>122.76</v>
      </c>
      <c r="I107" s="13">
        <v>5.35</v>
      </c>
      <c r="J107" s="13">
        <v>50740</v>
      </c>
      <c r="K107" s="13">
        <v>5.15</v>
      </c>
      <c r="L107" s="13">
        <v>610.59</v>
      </c>
      <c r="M107" s="13">
        <v>76</v>
      </c>
      <c r="N107" s="13">
        <v>4.05</v>
      </c>
      <c r="O107" s="13">
        <v>354.71</v>
      </c>
      <c r="P107" s="13">
        <v>3.25</v>
      </c>
      <c r="Q107" s="13">
        <v>1958.65</v>
      </c>
      <c r="R107" s="13">
        <f t="shared" ref="R107:R116" si="24">SUM(E107:Q107)</f>
        <v>55983.21</v>
      </c>
      <c r="S107" s="8">
        <v>104</v>
      </c>
    </row>
    <row r="108" spans="2:19" x14ac:dyDescent="0.2">
      <c r="C108" s="8">
        <v>441</v>
      </c>
      <c r="D108" s="8" t="s">
        <v>163</v>
      </c>
      <c r="E108" s="13">
        <v>0</v>
      </c>
      <c r="F108" s="13">
        <v>0</v>
      </c>
      <c r="G108" s="13">
        <v>0</v>
      </c>
      <c r="H108" s="13">
        <v>0</v>
      </c>
      <c r="I108" s="13">
        <v>20872</v>
      </c>
      <c r="J108" s="13">
        <v>1500.15</v>
      </c>
      <c r="K108" s="13">
        <v>0</v>
      </c>
      <c r="L108" s="13">
        <v>0</v>
      </c>
      <c r="M108" s="13">
        <v>0</v>
      </c>
      <c r="N108" s="13">
        <v>0</v>
      </c>
      <c r="O108" s="13">
        <v>0</v>
      </c>
      <c r="P108" s="13">
        <v>0</v>
      </c>
      <c r="Q108" s="13">
        <v>0</v>
      </c>
      <c r="R108" s="13">
        <f t="shared" si="24"/>
        <v>22372.15</v>
      </c>
      <c r="S108" s="8">
        <v>105</v>
      </c>
    </row>
    <row r="109" spans="2:19" x14ac:dyDescent="0.2">
      <c r="C109" s="8">
        <v>442</v>
      </c>
      <c r="D109" s="8" t="s">
        <v>164</v>
      </c>
      <c r="E109" s="13">
        <v>0</v>
      </c>
      <c r="F109" s="13">
        <v>0</v>
      </c>
      <c r="G109" s="13">
        <v>0</v>
      </c>
      <c r="H109" s="13">
        <v>0</v>
      </c>
      <c r="I109" s="13">
        <v>29996</v>
      </c>
      <c r="J109" s="13">
        <v>160</v>
      </c>
      <c r="K109" s="13">
        <v>0</v>
      </c>
      <c r="L109" s="13">
        <v>18216.349999999999</v>
      </c>
      <c r="M109" s="13">
        <v>0</v>
      </c>
      <c r="N109" s="13">
        <v>0</v>
      </c>
      <c r="O109" s="13">
        <v>0</v>
      </c>
      <c r="P109" s="13">
        <v>0</v>
      </c>
      <c r="Q109" s="13">
        <v>0</v>
      </c>
      <c r="R109" s="13">
        <f t="shared" si="24"/>
        <v>48372.35</v>
      </c>
      <c r="S109" s="8">
        <v>106</v>
      </c>
    </row>
    <row r="110" spans="2:19" x14ac:dyDescent="0.2">
      <c r="C110" s="8">
        <v>443</v>
      </c>
      <c r="D110" s="8" t="s">
        <v>165</v>
      </c>
      <c r="E110" s="13">
        <v>306877.5</v>
      </c>
      <c r="F110" s="13">
        <v>44351</v>
      </c>
      <c r="G110" s="13">
        <v>17610</v>
      </c>
      <c r="H110" s="13">
        <v>0</v>
      </c>
      <c r="I110" s="13">
        <v>0</v>
      </c>
      <c r="J110" s="13">
        <v>665958.9</v>
      </c>
      <c r="K110" s="13">
        <v>0</v>
      </c>
      <c r="L110" s="13">
        <v>-3000</v>
      </c>
      <c r="M110" s="13">
        <v>0</v>
      </c>
      <c r="N110" s="13">
        <v>0</v>
      </c>
      <c r="O110" s="13">
        <v>35500</v>
      </c>
      <c r="P110" s="13">
        <v>32312.7</v>
      </c>
      <c r="Q110" s="13">
        <v>1800</v>
      </c>
      <c r="R110" s="13">
        <f t="shared" si="24"/>
        <v>1101410.0999999999</v>
      </c>
      <c r="S110" s="8">
        <v>107</v>
      </c>
    </row>
    <row r="111" spans="2:19" x14ac:dyDescent="0.2">
      <c r="C111" s="8">
        <v>444</v>
      </c>
      <c r="D111" s="8" t="s">
        <v>105</v>
      </c>
      <c r="E111" s="13">
        <v>0</v>
      </c>
      <c r="F111" s="13">
        <v>0</v>
      </c>
      <c r="G111" s="13">
        <v>0</v>
      </c>
      <c r="H111" s="13">
        <v>0</v>
      </c>
      <c r="I111" s="13">
        <v>0</v>
      </c>
      <c r="J111" s="13">
        <v>250</v>
      </c>
      <c r="K111" s="13">
        <v>0</v>
      </c>
      <c r="L111" s="13">
        <v>0</v>
      </c>
      <c r="M111" s="13">
        <v>0</v>
      </c>
      <c r="N111" s="13">
        <v>0</v>
      </c>
      <c r="O111" s="13">
        <v>0</v>
      </c>
      <c r="P111" s="13">
        <v>0</v>
      </c>
      <c r="Q111" s="13">
        <v>0</v>
      </c>
      <c r="R111" s="13">
        <f t="shared" si="24"/>
        <v>250</v>
      </c>
      <c r="S111" s="8">
        <v>108</v>
      </c>
    </row>
    <row r="112" spans="2:19"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v>430689.25</v>
      </c>
      <c r="K114" s="13">
        <v>22771.4</v>
      </c>
      <c r="L114" s="13">
        <v>0</v>
      </c>
      <c r="M114" s="13">
        <v>2469</v>
      </c>
      <c r="N114" s="13">
        <v>4367</v>
      </c>
      <c r="O114" s="13">
        <v>81706.600000000006</v>
      </c>
      <c r="P114" s="13">
        <v>70895.25</v>
      </c>
      <c r="Q114" s="13">
        <v>31569.05</v>
      </c>
      <c r="R114" s="13">
        <f t="shared" si="24"/>
        <v>823638.20000000007</v>
      </c>
      <c r="S114" s="8">
        <v>111</v>
      </c>
    </row>
    <row r="115" spans="2:19"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v>0</v>
      </c>
      <c r="K116" s="13">
        <v>0</v>
      </c>
      <c r="L116" s="13">
        <v>0</v>
      </c>
      <c r="M116" s="13">
        <v>-19.95</v>
      </c>
      <c r="N116" s="13">
        <v>0</v>
      </c>
      <c r="O116" s="13">
        <v>0</v>
      </c>
      <c r="P116" s="13">
        <v>0</v>
      </c>
      <c r="Q116" s="13">
        <v>0</v>
      </c>
      <c r="R116" s="13">
        <f t="shared" si="24"/>
        <v>-19.95</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27400</v>
      </c>
      <c r="K118" s="82">
        <f t="shared" si="25"/>
        <v>0</v>
      </c>
      <c r="L118" s="82">
        <f t="shared" si="25"/>
        <v>2200</v>
      </c>
      <c r="M118" s="82">
        <f t="shared" si="25"/>
        <v>19.95</v>
      </c>
      <c r="N118" s="82">
        <f t="shared" si="25"/>
        <v>0</v>
      </c>
      <c r="O118" s="82">
        <f t="shared" si="25"/>
        <v>0</v>
      </c>
      <c r="P118" s="82">
        <f t="shared" si="25"/>
        <v>6781.6</v>
      </c>
      <c r="Q118" s="82">
        <f t="shared" si="25"/>
        <v>0</v>
      </c>
      <c r="R118" s="82">
        <f t="shared" si="25"/>
        <v>55821.350000000006</v>
      </c>
      <c r="S118" s="8">
        <v>115</v>
      </c>
    </row>
    <row r="119" spans="2:19" x14ac:dyDescent="0.2">
      <c r="C119" s="8">
        <v>450</v>
      </c>
      <c r="D119" s="8" t="s">
        <v>171</v>
      </c>
      <c r="E119" s="13">
        <v>0</v>
      </c>
      <c r="F119" s="13">
        <v>0</v>
      </c>
      <c r="G119" s="13">
        <v>0</v>
      </c>
      <c r="H119" s="13">
        <v>0</v>
      </c>
      <c r="I119" s="13">
        <v>0</v>
      </c>
      <c r="J119" s="13">
        <v>0</v>
      </c>
      <c r="K119" s="13">
        <v>0</v>
      </c>
      <c r="L119" s="13">
        <v>2200</v>
      </c>
      <c r="M119" s="13">
        <v>19.95</v>
      </c>
      <c r="N119" s="13">
        <v>0</v>
      </c>
      <c r="O119" s="13">
        <v>0</v>
      </c>
      <c r="P119" s="13">
        <v>6781.6</v>
      </c>
      <c r="Q119" s="13">
        <v>0</v>
      </c>
      <c r="R119" s="13">
        <f>SUM(E119:Q119)</f>
        <v>9001.5499999999993</v>
      </c>
      <c r="S119" s="8">
        <v>116</v>
      </c>
    </row>
    <row r="120" spans="2:19" x14ac:dyDescent="0.2">
      <c r="C120" s="8">
        <v>451</v>
      </c>
      <c r="D120" s="8" t="s">
        <v>172</v>
      </c>
      <c r="E120" s="13">
        <v>0</v>
      </c>
      <c r="F120" s="13">
        <v>0</v>
      </c>
      <c r="G120" s="13">
        <v>0</v>
      </c>
      <c r="H120" s="13">
        <v>0</v>
      </c>
      <c r="I120" s="13">
        <v>19419.8</v>
      </c>
      <c r="J120" s="13">
        <v>27400</v>
      </c>
      <c r="K120" s="13">
        <v>0</v>
      </c>
      <c r="L120" s="13">
        <v>0</v>
      </c>
      <c r="M120" s="13">
        <v>0</v>
      </c>
      <c r="N120" s="13">
        <v>0</v>
      </c>
      <c r="O120" s="13">
        <v>0</v>
      </c>
      <c r="P120" s="13">
        <v>0</v>
      </c>
      <c r="Q120" s="13">
        <v>0</v>
      </c>
      <c r="R120" s="13">
        <f>SUM(E120:Q120)</f>
        <v>46819.8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16420</v>
      </c>
      <c r="K122" s="82">
        <f t="shared" si="26"/>
        <v>29076.25</v>
      </c>
      <c r="L122" s="82">
        <f t="shared" si="26"/>
        <v>30136.1</v>
      </c>
      <c r="M122" s="82">
        <f t="shared" si="26"/>
        <v>3273.25</v>
      </c>
      <c r="N122" s="82">
        <f t="shared" si="26"/>
        <v>17541.75</v>
      </c>
      <c r="O122" s="82">
        <f t="shared" si="26"/>
        <v>5074.3500000000004</v>
      </c>
      <c r="P122" s="82">
        <f t="shared" si="26"/>
        <v>3130</v>
      </c>
      <c r="Q122" s="82">
        <f t="shared" si="26"/>
        <v>232075.95</v>
      </c>
      <c r="R122" s="82">
        <f t="shared" si="26"/>
        <v>564488.1</v>
      </c>
      <c r="S122" s="8">
        <v>119</v>
      </c>
    </row>
    <row r="123" spans="2:19"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v>0</v>
      </c>
      <c r="K124" s="13">
        <v>0</v>
      </c>
      <c r="L124" s="13">
        <v>0</v>
      </c>
      <c r="M124" s="13">
        <v>0</v>
      </c>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v>16420</v>
      </c>
      <c r="K126" s="13">
        <v>28279.5</v>
      </c>
      <c r="L126" s="13">
        <v>29265.55</v>
      </c>
      <c r="M126" s="13">
        <v>3140</v>
      </c>
      <c r="N126" s="13">
        <v>17541.75</v>
      </c>
      <c r="O126" s="13">
        <v>4512.5</v>
      </c>
      <c r="P126" s="13">
        <v>3130</v>
      </c>
      <c r="Q126" s="13">
        <v>231686</v>
      </c>
      <c r="R126" s="13">
        <f>SUM(E126:Q126)</f>
        <v>555796.19999999995</v>
      </c>
      <c r="S126" s="8">
        <v>123</v>
      </c>
    </row>
    <row r="127" spans="2:19" x14ac:dyDescent="0.2">
      <c r="C127" s="8">
        <v>469</v>
      </c>
      <c r="D127" s="8" t="s">
        <v>178</v>
      </c>
      <c r="E127" s="13">
        <v>2174.6</v>
      </c>
      <c r="F127" s="13">
        <v>543.65</v>
      </c>
      <c r="G127" s="13">
        <v>0</v>
      </c>
      <c r="H127" s="13">
        <v>0</v>
      </c>
      <c r="I127" s="13">
        <v>21.3</v>
      </c>
      <c r="J127" s="13">
        <v>0</v>
      </c>
      <c r="K127" s="13">
        <v>796.75</v>
      </c>
      <c r="L127" s="13">
        <v>870.55</v>
      </c>
      <c r="M127" s="13">
        <v>133.25</v>
      </c>
      <c r="N127" s="13">
        <v>0</v>
      </c>
      <c r="O127" s="13">
        <v>561.85</v>
      </c>
      <c r="P127" s="13">
        <v>0</v>
      </c>
      <c r="Q127" s="13">
        <v>389.95</v>
      </c>
      <c r="R127" s="13">
        <f>SUM(E127:Q127)</f>
        <v>5491.9000000000005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v>0</v>
      </c>
      <c r="K130" s="13">
        <v>5628.35</v>
      </c>
      <c r="L130" s="13">
        <v>0</v>
      </c>
      <c r="M130" s="13">
        <v>0</v>
      </c>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v>0</v>
      </c>
      <c r="K136" s="13">
        <v>0</v>
      </c>
      <c r="L136" s="13">
        <v>0</v>
      </c>
      <c r="M136" s="13">
        <v>0</v>
      </c>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v>0</v>
      </c>
      <c r="K139" s="13">
        <v>0</v>
      </c>
      <c r="L139" s="13">
        <v>0</v>
      </c>
      <c r="M139" s="13">
        <v>0</v>
      </c>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v>0</v>
      </c>
      <c r="K142" s="13">
        <v>0</v>
      </c>
      <c r="L142" s="13">
        <v>0</v>
      </c>
      <c r="M142" s="13">
        <v>0</v>
      </c>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v>0</v>
      </c>
      <c r="K143" s="13">
        <v>0</v>
      </c>
      <c r="L143" s="13">
        <v>1037.8</v>
      </c>
      <c r="M143" s="13">
        <v>0</v>
      </c>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14703.52</v>
      </c>
      <c r="K154" s="85">
        <f t="shared" si="32"/>
        <v>18069.509999999998</v>
      </c>
      <c r="L154" s="85">
        <f t="shared" si="32"/>
        <v>5815.81</v>
      </c>
      <c r="M154" s="85">
        <f t="shared" si="32"/>
        <v>-1701.3</v>
      </c>
      <c r="N154" s="85">
        <f t="shared" si="32"/>
        <v>-7888.14</v>
      </c>
      <c r="O154" s="85">
        <f t="shared" si="32"/>
        <v>343.19</v>
      </c>
      <c r="P154" s="85">
        <f t="shared" si="32"/>
        <v>-1406.69</v>
      </c>
      <c r="Q154" s="85">
        <f t="shared" si="32"/>
        <v>59355.03</v>
      </c>
      <c r="R154" s="85">
        <f t="shared" si="32"/>
        <v>207293.83999999997</v>
      </c>
      <c r="S154" s="8">
        <v>151</v>
      </c>
    </row>
    <row r="155" spans="1:19" x14ac:dyDescent="0.2">
      <c r="C155" s="8">
        <v>900</v>
      </c>
      <c r="D155" s="8" t="s">
        <v>195</v>
      </c>
      <c r="E155" s="13">
        <v>89792</v>
      </c>
      <c r="F155" s="13">
        <v>-15370.52</v>
      </c>
      <c r="G155" s="13">
        <v>18763.12</v>
      </c>
      <c r="H155" s="13">
        <v>13233</v>
      </c>
      <c r="I155" s="13">
        <v>13585.31</v>
      </c>
      <c r="J155" s="13">
        <v>14703.52</v>
      </c>
      <c r="K155" s="13">
        <v>18069.509999999998</v>
      </c>
      <c r="L155" s="13">
        <v>5815.81</v>
      </c>
      <c r="M155" s="13">
        <v>-3276.85</v>
      </c>
      <c r="N155" s="13">
        <v>-7888.14</v>
      </c>
      <c r="O155" s="13">
        <v>343.19</v>
      </c>
      <c r="P155" s="13">
        <v>-1406.69</v>
      </c>
      <c r="Q155" s="13">
        <v>59355.03</v>
      </c>
      <c r="R155" s="13">
        <f>SUM(E155:Q155)</f>
        <v>205718.28999999998</v>
      </c>
      <c r="S155" s="8">
        <v>152</v>
      </c>
    </row>
    <row r="156" spans="1:19" x14ac:dyDescent="0.2">
      <c r="C156" s="8">
        <v>901</v>
      </c>
      <c r="D156" s="8" t="s">
        <v>196</v>
      </c>
      <c r="E156" s="13">
        <v>0</v>
      </c>
      <c r="F156" s="13">
        <v>0</v>
      </c>
      <c r="G156" s="13">
        <v>0</v>
      </c>
      <c r="H156" s="13">
        <v>0</v>
      </c>
      <c r="I156" s="13">
        <v>0</v>
      </c>
      <c r="J156" s="13">
        <v>0</v>
      </c>
      <c r="K156" s="13">
        <v>0</v>
      </c>
      <c r="L156" s="13">
        <v>0</v>
      </c>
      <c r="M156" s="13">
        <v>1575.55</v>
      </c>
      <c r="N156" s="13">
        <v>0</v>
      </c>
      <c r="O156" s="13">
        <v>0</v>
      </c>
      <c r="P156" s="13">
        <v>0</v>
      </c>
      <c r="Q156" s="13">
        <v>0</v>
      </c>
      <c r="R156" s="13">
        <f>SUM(E156:Q156)</f>
        <v>1575.55</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14703.52</v>
      </c>
      <c r="K158" s="88">
        <f t="shared" si="33"/>
        <v>18069.509999999998</v>
      </c>
      <c r="L158" s="88">
        <f t="shared" si="33"/>
        <v>5815.81</v>
      </c>
      <c r="M158" s="88">
        <f t="shared" si="33"/>
        <v>-1701.3</v>
      </c>
      <c r="N158" s="88">
        <f t="shared" si="33"/>
        <v>-7888.14</v>
      </c>
      <c r="O158" s="88">
        <f t="shared" si="33"/>
        <v>343.19</v>
      </c>
      <c r="P158" s="88">
        <f t="shared" si="33"/>
        <v>-1406.69</v>
      </c>
      <c r="Q158" s="88">
        <f t="shared" si="33"/>
        <v>59355.03</v>
      </c>
      <c r="R158" s="88">
        <f t="shared" si="33"/>
        <v>207293.83999999997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14703.520000000019</v>
      </c>
      <c r="K160" s="88">
        <f t="shared" si="34"/>
        <v>18069.510000000009</v>
      </c>
      <c r="L160" s="88">
        <f t="shared" si="34"/>
        <v>5815.8099999999977</v>
      </c>
      <c r="M160" s="88">
        <f t="shared" si="34"/>
        <v>-1701.3000000000029</v>
      </c>
      <c r="N160" s="88">
        <f t="shared" si="34"/>
        <v>-7888.1400000000031</v>
      </c>
      <c r="O160" s="88">
        <f t="shared" si="34"/>
        <v>343.19000000000233</v>
      </c>
      <c r="P160" s="88">
        <f t="shared" si="34"/>
        <v>-1406.6900000000314</v>
      </c>
      <c r="Q160" s="88">
        <f t="shared" si="34"/>
        <v>59355.030000000028</v>
      </c>
      <c r="R160" s="88">
        <f t="shared" si="34"/>
        <v>207293.83999999985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-1.8189894035458565E-11</v>
      </c>
      <c r="K161" s="25">
        <f t="shared" si="35"/>
        <v>0</v>
      </c>
      <c r="L161" s="25">
        <f t="shared" si="35"/>
        <v>0</v>
      </c>
      <c r="M161" s="25">
        <f t="shared" si="35"/>
        <v>2.9558577807620168E-12</v>
      </c>
      <c r="N161" s="25">
        <f t="shared" si="35"/>
        <v>0</v>
      </c>
      <c r="O161" s="25">
        <f t="shared" si="35"/>
        <v>-2.3305801732931286E-12</v>
      </c>
      <c r="P161" s="25">
        <f t="shared" si="35"/>
        <v>3.1377567211166024E-11</v>
      </c>
      <c r="Q161" s="25">
        <f t="shared" si="35"/>
        <v>0</v>
      </c>
      <c r="R161" s="25">
        <f t="shared" si="35"/>
        <v>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1264183.3900000001</v>
      </c>
      <c r="K165" s="13">
        <f t="shared" si="37"/>
        <v>77614.489999999991</v>
      </c>
      <c r="L165" s="13">
        <f t="shared" si="37"/>
        <v>186265.03</v>
      </c>
      <c r="M165" s="13">
        <f t="shared" si="37"/>
        <v>17515.550000000003</v>
      </c>
      <c r="N165" s="13">
        <f t="shared" si="37"/>
        <v>40635.29</v>
      </c>
      <c r="O165" s="13">
        <f t="shared" si="37"/>
        <v>170247.87</v>
      </c>
      <c r="P165" s="13">
        <f t="shared" si="37"/>
        <v>150756.04</v>
      </c>
      <c r="Q165" s="13">
        <f t="shared" si="37"/>
        <v>390679.6</v>
      </c>
      <c r="R165" s="13">
        <f t="shared" si="37"/>
        <v>3599030.99</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435239.30000000005</v>
      </c>
      <c r="K166" s="13">
        <f t="shared" si="38"/>
        <v>74900.55</v>
      </c>
      <c r="L166" s="13">
        <f t="shared" si="38"/>
        <v>179825.25</v>
      </c>
      <c r="M166" s="13">
        <f t="shared" si="38"/>
        <v>13289.2</v>
      </c>
      <c r="N166" s="13">
        <f t="shared" si="38"/>
        <v>28376.1</v>
      </c>
      <c r="O166" s="13">
        <f t="shared" si="38"/>
        <v>119779.70000000001</v>
      </c>
      <c r="P166" s="13">
        <f t="shared" si="38"/>
        <v>89766</v>
      </c>
      <c r="Q166" s="13">
        <f t="shared" si="38"/>
        <v>421701.79000000004</v>
      </c>
      <c r="R166" s="13">
        <f t="shared" si="38"/>
        <v>2224355.6100000003</v>
      </c>
      <c r="S166" s="8">
        <v>163</v>
      </c>
    </row>
    <row r="168" spans="4:19" x14ac:dyDescent="0.2">
      <c r="L168" s="1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87"/>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row r="178" spans="1:4" ht="15" x14ac:dyDescent="0.25">
      <c r="D178" s="89" t="s">
        <v>450</v>
      </c>
    </row>
    <row r="179" spans="1:4" x14ac:dyDescent="0.2">
      <c r="A179" s="8">
        <v>3</v>
      </c>
      <c r="B179" s="8">
        <v>31</v>
      </c>
      <c r="C179" s="8">
        <v>3180</v>
      </c>
      <c r="D179" s="8" t="s">
        <v>95</v>
      </c>
    </row>
    <row r="180" spans="1:4" x14ac:dyDescent="0.2">
      <c r="B180" s="8">
        <v>36</v>
      </c>
      <c r="C180" s="8">
        <v>36227</v>
      </c>
      <c r="D180" s="8" t="s">
        <v>286</v>
      </c>
    </row>
    <row r="181" spans="1:4" x14ac:dyDescent="0.2">
      <c r="C181" s="8">
        <v>36228</v>
      </c>
      <c r="D181" s="8" t="s">
        <v>287</v>
      </c>
    </row>
    <row r="182" spans="1:4" x14ac:dyDescent="0.2">
      <c r="B182" s="8">
        <v>38</v>
      </c>
      <c r="C182" s="8">
        <v>3898</v>
      </c>
      <c r="D182" s="8" t="s">
        <v>227</v>
      </c>
    </row>
    <row r="184" spans="1:4" x14ac:dyDescent="0.2">
      <c r="A184" s="8">
        <v>4</v>
      </c>
      <c r="B184" s="8">
        <v>44</v>
      </c>
      <c r="C184" s="8">
        <v>4490</v>
      </c>
      <c r="D184" s="8" t="s">
        <v>882</v>
      </c>
    </row>
    <row r="185" spans="1:4" x14ac:dyDescent="0.2">
      <c r="B185" s="8">
        <v>46</v>
      </c>
      <c r="C185" s="8">
        <v>46227</v>
      </c>
      <c r="D185" s="8" t="s">
        <v>286</v>
      </c>
    </row>
    <row r="186" spans="1:4" x14ac:dyDescent="0.2">
      <c r="C186" s="8">
        <v>46228</v>
      </c>
      <c r="D186" s="8" t="s">
        <v>287</v>
      </c>
    </row>
    <row r="187" spans="1:4" x14ac:dyDescent="0.2">
      <c r="B187" s="8">
        <v>48</v>
      </c>
      <c r="C187" s="8">
        <v>4896</v>
      </c>
      <c r="D187" s="8" t="s">
        <v>575</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161"/>
  <sheetViews>
    <sheetView topLeftCell="A97"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c r="D4" s="90" t="s">
        <v>743</v>
      </c>
    </row>
    <row r="5" spans="1:5" ht="15.75" thickBot="1" x14ac:dyDescent="0.3">
      <c r="A5" s="8" t="s">
        <v>734</v>
      </c>
      <c r="D5" s="96" t="s">
        <v>65</v>
      </c>
    </row>
    <row r="7" spans="1:5" ht="15" x14ac:dyDescent="0.25">
      <c r="E7" s="33" t="s">
        <v>201</v>
      </c>
    </row>
    <row r="8" spans="1:5" ht="20.25" x14ac:dyDescent="0.3">
      <c r="A8" s="11">
        <v>3</v>
      </c>
      <c r="B8" s="11"/>
      <c r="C8" s="11"/>
      <c r="D8" s="11" t="s">
        <v>60</v>
      </c>
      <c r="E8" s="97">
        <f>HLOOKUP($D$5,'Bourgeoisies Comptes 2022'!$E$4:$R$166,2,0)</f>
        <v>4263450.13</v>
      </c>
    </row>
    <row r="9" spans="1:5" ht="15" x14ac:dyDescent="0.25">
      <c r="A9" s="79"/>
      <c r="B9" s="79">
        <v>30</v>
      </c>
      <c r="C9" s="79"/>
      <c r="D9" s="79" t="s">
        <v>61</v>
      </c>
      <c r="E9" s="80">
        <f>HLOOKUP($D$5,'Bourgeoisies Comptes 2022'!$E$4:$R$166,3,0)</f>
        <v>879027.29999999993</v>
      </c>
    </row>
    <row r="10" spans="1:5" x14ac:dyDescent="0.2">
      <c r="C10" s="8">
        <v>300</v>
      </c>
      <c r="D10" s="8" t="s">
        <v>80</v>
      </c>
      <c r="E10" s="18">
        <f>HLOOKUP($D$5,'Bourgeoisies Comptes 2022'!$E$4:$R$166,4,0)</f>
        <v>184028.4</v>
      </c>
    </row>
    <row r="11" spans="1:5" x14ac:dyDescent="0.2">
      <c r="C11" s="8">
        <v>301</v>
      </c>
      <c r="D11" s="8" t="s">
        <v>81</v>
      </c>
      <c r="E11" s="18">
        <f>HLOOKUP($D$5,'Bourgeoisies Comptes 2022'!$E$4:$R$166,5,0)</f>
        <v>526931.69999999995</v>
      </c>
    </row>
    <row r="12" spans="1:5" x14ac:dyDescent="0.2">
      <c r="C12" s="8">
        <v>302</v>
      </c>
      <c r="D12" s="8" t="s">
        <v>82</v>
      </c>
      <c r="E12" s="18">
        <f>HLOOKUP($D$5,'Bourgeoisies Comptes 2022'!$E$4:$R$166,6,0)</f>
        <v>0</v>
      </c>
    </row>
    <row r="13" spans="1:5" x14ac:dyDescent="0.2">
      <c r="C13" s="8">
        <v>303</v>
      </c>
      <c r="D13" s="8" t="s">
        <v>83</v>
      </c>
      <c r="E13" s="18">
        <f>HLOOKUP($D$5,'Bourgeoisies Comptes 2022'!$E$4:$R$166,7,0)</f>
        <v>2318.75</v>
      </c>
    </row>
    <row r="14" spans="1:5" x14ac:dyDescent="0.2">
      <c r="C14" s="8">
        <v>304</v>
      </c>
      <c r="D14" s="8" t="s">
        <v>578</v>
      </c>
      <c r="E14" s="18">
        <f>HLOOKUP($D$5,'Bourgeoisies Comptes 2022'!$E$4:$R$166,8,0)</f>
        <v>6797.6</v>
      </c>
    </row>
    <row r="15" spans="1:5" x14ac:dyDescent="0.2">
      <c r="C15" s="8">
        <v>305</v>
      </c>
      <c r="D15" s="8" t="s">
        <v>84</v>
      </c>
      <c r="E15" s="18">
        <f>HLOOKUP($D$5,'Bourgeoisies Comptes 2022'!$E$4:$R$166,9,0)</f>
        <v>117280.7</v>
      </c>
    </row>
    <row r="16" spans="1:5" x14ac:dyDescent="0.2">
      <c r="C16" s="8">
        <v>306</v>
      </c>
      <c r="D16" s="8" t="s">
        <v>85</v>
      </c>
      <c r="E16" s="18">
        <f>HLOOKUP($D$5,'Bourgeoisies Comptes 2022'!$E$4:$R$166,10,0)</f>
        <v>0</v>
      </c>
    </row>
    <row r="17" spans="2:5" x14ac:dyDescent="0.2">
      <c r="C17" s="8">
        <v>309</v>
      </c>
      <c r="D17" s="8" t="s">
        <v>86</v>
      </c>
      <c r="E17" s="18">
        <f>HLOOKUP($D$5,'Bourgeoisies Comptes 2022'!$E$4:$R$166,11,0)</f>
        <v>41670.149999999987</v>
      </c>
    </row>
    <row r="18" spans="2:5" x14ac:dyDescent="0.2">
      <c r="E18" s="13"/>
    </row>
    <row r="19" spans="2:5" ht="15" x14ac:dyDescent="0.25">
      <c r="B19" s="79">
        <v>31</v>
      </c>
      <c r="C19" s="79"/>
      <c r="D19" s="79" t="s">
        <v>87</v>
      </c>
      <c r="E19" s="80">
        <f>SUM(E20:E29)</f>
        <v>1793502.1200000003</v>
      </c>
    </row>
    <row r="20" spans="2:5" x14ac:dyDescent="0.2">
      <c r="C20" s="8">
        <v>310</v>
      </c>
      <c r="D20" s="8" t="s">
        <v>88</v>
      </c>
      <c r="E20" s="18">
        <f>HLOOKUP($D$5,'Bourgeoisies Comptes 2022'!$E$4:$R$166,14,0)</f>
        <v>118389.09999999999</v>
      </c>
    </row>
    <row r="21" spans="2:5" x14ac:dyDescent="0.2">
      <c r="C21" s="8">
        <v>311</v>
      </c>
      <c r="D21" s="8" t="s">
        <v>449</v>
      </c>
      <c r="E21" s="18">
        <f>HLOOKUP($D$5,'Bourgeoisies Comptes 2022'!$E$4:$R$166,15,0)</f>
        <v>18899.150000000001</v>
      </c>
    </row>
    <row r="22" spans="2:5" x14ac:dyDescent="0.2">
      <c r="C22" s="8">
        <v>312</v>
      </c>
      <c r="D22" s="8" t="s">
        <v>90</v>
      </c>
      <c r="E22" s="18">
        <f>HLOOKUP($D$5,'Bourgeoisies Comptes 2022'!$E$4:$R$166,16,0)</f>
        <v>222529.95</v>
      </c>
    </row>
    <row r="23" spans="2:5" x14ac:dyDescent="0.2">
      <c r="C23" s="8">
        <v>313</v>
      </c>
      <c r="D23" s="8" t="s">
        <v>91</v>
      </c>
      <c r="E23" s="18">
        <f>HLOOKUP($D$5,'Bourgeoisies Comptes 2022'!$E$4:$R$166,17,0)</f>
        <v>1042464.6300000002</v>
      </c>
    </row>
    <row r="24" spans="2:5" x14ac:dyDescent="0.2">
      <c r="C24" s="8">
        <v>314</v>
      </c>
      <c r="D24" s="8" t="s">
        <v>841</v>
      </c>
      <c r="E24" s="18">
        <f>HLOOKUP($D$5,'Bourgeoisies Comptes 2022'!$E$4:$R$166,18,0)</f>
        <v>335775.54000000004</v>
      </c>
    </row>
    <row r="25" spans="2:5" x14ac:dyDescent="0.2">
      <c r="C25" s="8">
        <v>315</v>
      </c>
      <c r="D25" s="8" t="s">
        <v>92</v>
      </c>
      <c r="E25" s="18">
        <f>HLOOKUP($D$5,'Bourgeoisies Comptes 2022'!$E$4:$R$166,19,0)</f>
        <v>18946.899999999998</v>
      </c>
    </row>
    <row r="26" spans="2:5" x14ac:dyDescent="0.2">
      <c r="C26" s="8">
        <v>316</v>
      </c>
      <c r="D26" s="8" t="s">
        <v>93</v>
      </c>
      <c r="E26" s="18">
        <f>HLOOKUP($D$5,'Bourgeoisies Comptes 2022'!$E$4:$R$166,20,0)</f>
        <v>2967.3</v>
      </c>
    </row>
    <row r="27" spans="2:5" x14ac:dyDescent="0.2">
      <c r="C27" s="8">
        <v>317</v>
      </c>
      <c r="D27" s="8" t="s">
        <v>94</v>
      </c>
      <c r="E27" s="18">
        <f>HLOOKUP($D$5,'Bourgeoisies Comptes 2022'!$E$4:$R$166,21,0)</f>
        <v>14179.500000000002</v>
      </c>
    </row>
    <row r="28" spans="2:5" x14ac:dyDescent="0.2">
      <c r="C28" s="8">
        <v>318</v>
      </c>
      <c r="D28" s="8" t="s">
        <v>95</v>
      </c>
      <c r="E28" s="18">
        <f>HLOOKUP($D$5,'Bourgeoisies Comptes 2022'!$E$4:$R$166,22,0)</f>
        <v>9093.1</v>
      </c>
    </row>
    <row r="29" spans="2:5" x14ac:dyDescent="0.2">
      <c r="C29" s="8">
        <v>319</v>
      </c>
      <c r="D29" s="8" t="s">
        <v>96</v>
      </c>
      <c r="E29" s="18">
        <f>HLOOKUP($D$5,'Bourgeoisies Comptes 2022'!$E$4:$R$166,23,0)</f>
        <v>10256.949999999999</v>
      </c>
    </row>
    <row r="30" spans="2:5" x14ac:dyDescent="0.2">
      <c r="E30" s="13"/>
    </row>
    <row r="31" spans="2:5" ht="15" x14ac:dyDescent="0.25">
      <c r="B31" s="79">
        <v>33</v>
      </c>
      <c r="C31" s="79"/>
      <c r="D31" s="79" t="s">
        <v>97</v>
      </c>
      <c r="E31" s="80">
        <f>SUM(E32:E33)</f>
        <v>227781.8</v>
      </c>
    </row>
    <row r="32" spans="2:5" x14ac:dyDescent="0.2">
      <c r="C32" s="8">
        <v>330</v>
      </c>
      <c r="D32" s="8" t="s">
        <v>99</v>
      </c>
      <c r="E32" s="18">
        <f>HLOOKUP($D$5,'Bourgeoisies Comptes 2022'!$E$4:$R$166,26,0)</f>
        <v>227781.8</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298273.74</v>
      </c>
    </row>
    <row r="36" spans="2:5" x14ac:dyDescent="0.2">
      <c r="C36" s="8">
        <v>340</v>
      </c>
      <c r="D36" s="8" t="s">
        <v>101</v>
      </c>
      <c r="E36" s="18">
        <f>HLOOKUP($D$5,'Bourgeoisies Comptes 2022'!$E$4:$R$166,30,0)</f>
        <v>75390.91</v>
      </c>
    </row>
    <row r="37" spans="2:5" x14ac:dyDescent="0.2">
      <c r="C37" s="8">
        <v>341</v>
      </c>
      <c r="D37" s="8" t="s">
        <v>102</v>
      </c>
      <c r="E37" s="18">
        <f>HLOOKUP($D$5,'Bourgeoisies Comptes 2022'!$E$4:$R$166,31,0)</f>
        <v>2140.16</v>
      </c>
    </row>
    <row r="38" spans="2:5" x14ac:dyDescent="0.2">
      <c r="C38" s="8">
        <v>342</v>
      </c>
      <c r="D38" s="8" t="s">
        <v>103</v>
      </c>
      <c r="E38" s="18">
        <f>HLOOKUP($D$5,'Bourgeoisies Comptes 2022'!$E$4:$R$166,32,0)</f>
        <v>0</v>
      </c>
    </row>
    <row r="39" spans="2:5" x14ac:dyDescent="0.2">
      <c r="C39" s="8">
        <v>343</v>
      </c>
      <c r="D39" s="8" t="s">
        <v>104</v>
      </c>
      <c r="E39" s="18">
        <f>HLOOKUP($D$5,'Bourgeoisies Comptes 2022'!$E$4:$R$166,33,0)</f>
        <v>183803.44999999998</v>
      </c>
    </row>
    <row r="40" spans="2:5" x14ac:dyDescent="0.2">
      <c r="C40" s="8">
        <v>344</v>
      </c>
      <c r="D40" s="8" t="s">
        <v>105</v>
      </c>
      <c r="E40" s="18">
        <f>HLOOKUP($D$5,'Bourgeoisies Comptes 2022'!$E$4:$R$166,34,0)</f>
        <v>18301.829999999998</v>
      </c>
    </row>
    <row r="41" spans="2:5" x14ac:dyDescent="0.2">
      <c r="C41" s="8">
        <v>349</v>
      </c>
      <c r="D41" s="8" t="s">
        <v>106</v>
      </c>
      <c r="E41" s="18">
        <f>HLOOKUP($D$5,'Bourgeoisies Comptes 2022'!$E$4:$R$166,35,0)</f>
        <v>18637.39</v>
      </c>
    </row>
    <row r="42" spans="2:5" x14ac:dyDescent="0.2">
      <c r="E42" s="13"/>
    </row>
    <row r="43" spans="2:5" ht="15" x14ac:dyDescent="0.25">
      <c r="B43" s="79">
        <v>35</v>
      </c>
      <c r="C43" s="79"/>
      <c r="D43" s="79" t="s">
        <v>108</v>
      </c>
      <c r="E43" s="80">
        <f>SUM(E44:E45)</f>
        <v>118003.83</v>
      </c>
    </row>
    <row r="44" spans="2:5" x14ac:dyDescent="0.2">
      <c r="C44" s="8">
        <v>350</v>
      </c>
      <c r="D44" s="8" t="s">
        <v>108</v>
      </c>
      <c r="E44" s="18">
        <f>HLOOKUP($D$5,'Bourgeoisies Comptes 2022'!$E$4:$R$166,38,0)</f>
        <v>0</v>
      </c>
    </row>
    <row r="45" spans="2:5" x14ac:dyDescent="0.2">
      <c r="C45" s="8">
        <v>351</v>
      </c>
      <c r="D45" s="8" t="s">
        <v>107</v>
      </c>
      <c r="E45" s="18">
        <f>HLOOKUP($D$5,'Bourgeoisies Comptes 2022'!$E$4:$R$166,39,0)</f>
        <v>118003.83</v>
      </c>
    </row>
    <row r="46" spans="2:5" x14ac:dyDescent="0.2">
      <c r="E46" s="13"/>
    </row>
    <row r="47" spans="2:5" ht="15" x14ac:dyDescent="0.25">
      <c r="B47" s="79">
        <v>36</v>
      </c>
      <c r="C47" s="79"/>
      <c r="D47" s="79" t="s">
        <v>109</v>
      </c>
      <c r="E47" s="80">
        <f>SUM(E48:E55)</f>
        <v>351255.14</v>
      </c>
    </row>
    <row r="48" spans="2:5" x14ac:dyDescent="0.2">
      <c r="C48" s="8">
        <v>360</v>
      </c>
      <c r="D48" s="8" t="s">
        <v>110</v>
      </c>
      <c r="E48" s="18">
        <f>HLOOKUP($D$5,'Bourgeoisies Comptes 2022'!$E$4:$R$166,42,0)</f>
        <v>6124.1</v>
      </c>
    </row>
    <row r="49" spans="2:5" x14ac:dyDescent="0.2">
      <c r="C49" s="8">
        <v>361</v>
      </c>
      <c r="D49" s="8" t="s">
        <v>111</v>
      </c>
      <c r="E49" s="18">
        <f>HLOOKUP($D$5,'Bourgeoisies Comptes 2022'!$E$4:$R$166,43,0)</f>
        <v>58175.05</v>
      </c>
    </row>
    <row r="50" spans="2:5" x14ac:dyDescent="0.2">
      <c r="C50" s="8">
        <v>362</v>
      </c>
      <c r="D50" s="8" t="s">
        <v>112</v>
      </c>
      <c r="E50" s="18">
        <f>HLOOKUP($D$5,'Bourgeoisies Comptes 2022'!$E$4:$R$166,44,0)</f>
        <v>0</v>
      </c>
    </row>
    <row r="51" spans="2:5" x14ac:dyDescent="0.2">
      <c r="C51" s="8">
        <v>363</v>
      </c>
      <c r="D51" s="8" t="s">
        <v>113</v>
      </c>
      <c r="E51" s="18">
        <f>HLOOKUP($D$5,'Bourgeoisies Comptes 2022'!$E$4:$R$166,45,0)</f>
        <v>286955.99</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229460.80000000002</v>
      </c>
    </row>
    <row r="58" spans="2:5" x14ac:dyDescent="0.2">
      <c r="C58" s="8">
        <v>370</v>
      </c>
      <c r="D58" s="8" t="s">
        <v>119</v>
      </c>
      <c r="E58" s="18">
        <f>HLOOKUP($D$5,'Bourgeoisies Comptes 2022'!$E$4:$R$166,52,0)</f>
        <v>229460.80000000002</v>
      </c>
    </row>
    <row r="59" spans="2:5" x14ac:dyDescent="0.2">
      <c r="E59" s="13"/>
    </row>
    <row r="60" spans="2:5" ht="15" x14ac:dyDescent="0.25">
      <c r="B60" s="79">
        <v>38</v>
      </c>
      <c r="C60" s="79"/>
      <c r="D60" s="79" t="s">
        <v>120</v>
      </c>
      <c r="E60" s="80">
        <f>SUM(E61:E66)</f>
        <v>228800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228800</v>
      </c>
    </row>
    <row r="67" spans="1:5" x14ac:dyDescent="0.2">
      <c r="E67" s="13"/>
    </row>
    <row r="68" spans="1:5" ht="15" x14ac:dyDescent="0.25">
      <c r="B68" s="79">
        <v>39</v>
      </c>
      <c r="C68" s="79"/>
      <c r="D68" s="79" t="s">
        <v>127</v>
      </c>
      <c r="E68" s="80">
        <f>SUM(E69:E76)</f>
        <v>137345.40000000002</v>
      </c>
    </row>
    <row r="69" spans="1:5" x14ac:dyDescent="0.2">
      <c r="C69" s="8">
        <v>390</v>
      </c>
      <c r="D69" s="8" t="s">
        <v>128</v>
      </c>
      <c r="E69" s="18">
        <f>HLOOKUP($D$5,'Bourgeoisies Comptes 2022'!$E$4:$R$166,63,0)</f>
        <v>13451.3</v>
      </c>
    </row>
    <row r="70" spans="1:5" x14ac:dyDescent="0.2">
      <c r="C70" s="8">
        <v>391</v>
      </c>
      <c r="D70" s="8" t="s">
        <v>129</v>
      </c>
      <c r="E70" s="18">
        <f>HLOOKUP($D$5,'Bourgeoisies Comptes 2022'!$E$4:$R$166,64,0)</f>
        <v>117394.1</v>
      </c>
    </row>
    <row r="71" spans="1:5" x14ac:dyDescent="0.2">
      <c r="C71" s="8">
        <v>392</v>
      </c>
      <c r="D71" s="8" t="s">
        <v>130</v>
      </c>
      <c r="E71" s="18">
        <f>HLOOKUP($D$5,'Bourgeoisies Comptes 2022'!$E$4:$R$166,65,0)</f>
        <v>0</v>
      </c>
    </row>
    <row r="72" spans="1:5" x14ac:dyDescent="0.2">
      <c r="C72" s="8">
        <v>393</v>
      </c>
      <c r="D72" s="8" t="s">
        <v>131</v>
      </c>
      <c r="E72" s="18">
        <f>HLOOKUP($D$5,'Bourgeoisies Comptes 2022'!$E$4:$R$166,66,0)</f>
        <v>6500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4470743.97</v>
      </c>
    </row>
    <row r="80" spans="1:5" ht="15" x14ac:dyDescent="0.25">
      <c r="A80" s="7"/>
      <c r="B80" s="81">
        <v>40</v>
      </c>
      <c r="C80" s="81"/>
      <c r="D80" s="81" t="s">
        <v>79</v>
      </c>
      <c r="E80" s="82">
        <f>SUM(E81:E84)</f>
        <v>337.5</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337.5</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7410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7410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1622990.31</v>
      </c>
    </row>
    <row r="93" spans="2:5" x14ac:dyDescent="0.2">
      <c r="C93" s="8">
        <v>420</v>
      </c>
      <c r="D93" s="8" t="s">
        <v>147</v>
      </c>
      <c r="E93" s="18">
        <f>HLOOKUP($D$5,'Bourgeoisies Comptes 2022'!$E$4:$R$166,87,0)</f>
        <v>0</v>
      </c>
    </row>
    <row r="94" spans="2:5" x14ac:dyDescent="0.2">
      <c r="C94" s="8">
        <v>421</v>
      </c>
      <c r="D94" s="8" t="s">
        <v>148</v>
      </c>
      <c r="E94" s="18">
        <f>HLOOKUP($D$5,'Bourgeoisies Comptes 2022'!$E$4:$R$166,88,0)</f>
        <v>2250.4499999999998</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167055.25</v>
      </c>
    </row>
    <row r="98" spans="2:5" x14ac:dyDescent="0.2">
      <c r="C98" s="8">
        <v>425</v>
      </c>
      <c r="D98" s="8" t="s">
        <v>152</v>
      </c>
      <c r="E98" s="18">
        <f>HLOOKUP($D$5,'Bourgeoisies Comptes 2022'!$E$4:$R$166,92,0)</f>
        <v>1364689.97</v>
      </c>
    </row>
    <row r="99" spans="2:5" x14ac:dyDescent="0.2">
      <c r="C99" s="8">
        <v>426</v>
      </c>
      <c r="D99" s="8" t="s">
        <v>153</v>
      </c>
      <c r="E99" s="18">
        <f>HLOOKUP($D$5,'Bourgeoisies Comptes 2022'!$E$4:$R$166,93,0)</f>
        <v>88994.640000000014</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-32320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-32320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2052006.0599999998</v>
      </c>
    </row>
    <row r="110" spans="2:5" x14ac:dyDescent="0.2">
      <c r="C110" s="8">
        <v>440</v>
      </c>
      <c r="D110" s="8" t="s">
        <v>162</v>
      </c>
      <c r="E110" s="18">
        <f>HLOOKUP($D$5,'Bourgeoisies Comptes 2022'!$E$4:$R$166,104,0)</f>
        <v>55983.21</v>
      </c>
    </row>
    <row r="111" spans="2:5" x14ac:dyDescent="0.2">
      <c r="C111" s="8">
        <v>441</v>
      </c>
      <c r="D111" s="8" t="s">
        <v>163</v>
      </c>
      <c r="E111" s="18">
        <f>HLOOKUP($D$5,'Bourgeoisies Comptes 2022'!$E$4:$R$166,105,0)</f>
        <v>22372.15</v>
      </c>
    </row>
    <row r="112" spans="2:5" x14ac:dyDescent="0.2">
      <c r="C112" s="8">
        <v>442</v>
      </c>
      <c r="D112" s="8" t="s">
        <v>164</v>
      </c>
      <c r="E112" s="18">
        <f>HLOOKUP($D$5,'Bourgeoisies Comptes 2022'!$E$4:$R$166,106,0)</f>
        <v>48372.35</v>
      </c>
    </row>
    <row r="113" spans="2:5" x14ac:dyDescent="0.2">
      <c r="C113" s="8">
        <v>443</v>
      </c>
      <c r="D113" s="8" t="s">
        <v>165</v>
      </c>
      <c r="E113" s="18">
        <f>HLOOKUP($D$5,'Bourgeoisies Comptes 2022'!$E$4:$R$166,107,0)</f>
        <v>1101410.0999999999</v>
      </c>
    </row>
    <row r="114" spans="2:5" x14ac:dyDescent="0.2">
      <c r="C114" s="8">
        <v>444</v>
      </c>
      <c r="D114" s="8" t="s">
        <v>105</v>
      </c>
      <c r="E114" s="18">
        <f>HLOOKUP($D$5,'Bourgeoisies Comptes 2022'!$E$4:$R$166,108,0)</f>
        <v>250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823638.20000000007</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-19.95</v>
      </c>
    </row>
    <row r="120" spans="2:5" x14ac:dyDescent="0.2">
      <c r="E120" s="13"/>
    </row>
    <row r="121" spans="2:5" ht="15" x14ac:dyDescent="0.25">
      <c r="B121" s="81">
        <v>45</v>
      </c>
      <c r="C121" s="81"/>
      <c r="D121" s="81" t="s">
        <v>173</v>
      </c>
      <c r="E121" s="82">
        <f>SUM(E122:E123)</f>
        <v>55821.350000000006</v>
      </c>
    </row>
    <row r="122" spans="2:5" x14ac:dyDescent="0.2">
      <c r="C122" s="8">
        <v>450</v>
      </c>
      <c r="D122" s="8" t="s">
        <v>171</v>
      </c>
      <c r="E122" s="18">
        <f>HLOOKUP($D$5,'Bourgeoisies Comptes 2022'!$E$4:$R$166,116,0)</f>
        <v>9001.5499999999993</v>
      </c>
    </row>
    <row r="123" spans="2:5" x14ac:dyDescent="0.2">
      <c r="C123" s="8">
        <v>451</v>
      </c>
      <c r="D123" s="8" t="s">
        <v>172</v>
      </c>
      <c r="E123" s="18">
        <f>HLOOKUP($D$5,'Bourgeoisies Comptes 2022'!$E$4:$R$166,117,0)</f>
        <v>46819.8</v>
      </c>
    </row>
    <row r="124" spans="2:5" x14ac:dyDescent="0.2">
      <c r="E124" s="13"/>
    </row>
    <row r="125" spans="2:5" ht="15" x14ac:dyDescent="0.25">
      <c r="B125" s="81">
        <v>46</v>
      </c>
      <c r="C125" s="81"/>
      <c r="D125" s="81" t="s">
        <v>174</v>
      </c>
      <c r="E125" s="82">
        <f>SUM(E126:E130)</f>
        <v>564488.1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3200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555796.19999999995</v>
      </c>
    </row>
    <row r="130" spans="2:5" x14ac:dyDescent="0.2">
      <c r="C130" s="8">
        <v>469</v>
      </c>
      <c r="D130" s="8" t="s">
        <v>178</v>
      </c>
      <c r="E130" s="18">
        <f>HLOOKUP($D$5,'Bourgeoisies Comptes 2022'!$E$4:$R$166,124,0)</f>
        <v>5491.9000000000005</v>
      </c>
    </row>
    <row r="131" spans="2:5" x14ac:dyDescent="0.2">
      <c r="E131" s="13"/>
    </row>
    <row r="132" spans="2:5" ht="15" x14ac:dyDescent="0.25">
      <c r="B132" s="81">
        <v>47</v>
      </c>
      <c r="C132" s="81"/>
      <c r="D132" s="81" t="s">
        <v>118</v>
      </c>
      <c r="E132" s="82">
        <f>SUM(E133)</f>
        <v>5628.35</v>
      </c>
    </row>
    <row r="133" spans="2:5" x14ac:dyDescent="0.2">
      <c r="C133" s="8">
        <v>470</v>
      </c>
      <c r="D133" s="8" t="s">
        <v>179</v>
      </c>
      <c r="E133" s="18">
        <f>HLOOKUP($D$5,'Bourgeoisies Comptes 2022'!$E$4:$R$166,127,0)</f>
        <v>5628.35</v>
      </c>
    </row>
    <row r="134" spans="2:5" x14ac:dyDescent="0.2">
      <c r="E134" s="13"/>
    </row>
    <row r="135" spans="2:5" ht="15" x14ac:dyDescent="0.25">
      <c r="B135" s="81">
        <v>48</v>
      </c>
      <c r="C135" s="81"/>
      <c r="D135" s="81" t="s">
        <v>180</v>
      </c>
      <c r="E135" s="82">
        <f>SUM(E136:E142)</f>
        <v>81900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81880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20</v>
      </c>
    </row>
    <row r="143" spans="2:5" x14ac:dyDescent="0.2">
      <c r="E143" s="13"/>
    </row>
    <row r="144" spans="2:5" ht="15" x14ac:dyDescent="0.25">
      <c r="B144" s="81">
        <v>49</v>
      </c>
      <c r="C144" s="81"/>
      <c r="D144" s="81" t="s">
        <v>127</v>
      </c>
      <c r="E144" s="82">
        <f>SUM(E145:E152)</f>
        <v>112482.29999999999</v>
      </c>
    </row>
    <row r="145" spans="1:5" x14ac:dyDescent="0.2">
      <c r="C145" s="8">
        <v>490</v>
      </c>
      <c r="D145" s="8" t="s">
        <v>128</v>
      </c>
      <c r="E145" s="18">
        <f>HLOOKUP($D$5,'Bourgeoisies Comptes 2022'!$E$4:$R$166,139,0)</f>
        <v>46853.9</v>
      </c>
    </row>
    <row r="146" spans="1:5" x14ac:dyDescent="0.2">
      <c r="C146" s="8">
        <v>491</v>
      </c>
      <c r="D146" s="8" t="s">
        <v>129</v>
      </c>
      <c r="E146" s="18">
        <f>HLOOKUP($D$5,'Bourgeoisies Comptes 2022'!$E$4:$R$166,140,0)</f>
        <v>65628.399999999994</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207293.83999999997</v>
      </c>
    </row>
    <row r="158" spans="1:5" x14ac:dyDescent="0.2">
      <c r="C158" s="8">
        <v>900</v>
      </c>
      <c r="D158" s="8" t="s">
        <v>195</v>
      </c>
      <c r="E158" s="18">
        <f>HLOOKUP($D$5,'Bourgeoisies Comptes 2022'!$E$4:$R$166,152,0)</f>
        <v>205718.28999999998</v>
      </c>
    </row>
    <row r="159" spans="1:5" x14ac:dyDescent="0.2">
      <c r="C159" s="8">
        <v>901</v>
      </c>
      <c r="D159" s="8" t="s">
        <v>196</v>
      </c>
      <c r="E159" s="18">
        <f>HLOOKUP($D$5,'Bourgeoisies Comptes 2022'!$E$4:$R$166,153,0)</f>
        <v>1575.55</v>
      </c>
    </row>
    <row r="160" spans="1:5" x14ac:dyDescent="0.2">
      <c r="E160" s="13"/>
    </row>
    <row r="161" spans="4:5" ht="15" x14ac:dyDescent="0.25">
      <c r="D161" s="7" t="s">
        <v>197</v>
      </c>
      <c r="E161" s="18">
        <f>HLOOKUP($D$5,'Bourgeoisies Comptes 2022'!$E$4:$R$166,155,0)</f>
        <v>207293.83999999997</v>
      </c>
    </row>
  </sheetData>
  <pageMargins left="0.7" right="0.7" top="0.75" bottom="0.75" header="0.3" footer="0.3"/>
  <pageSetup paperSize="9" scale="7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207293.83999999997</v>
      </c>
    </row>
    <row r="8" spans="1:3" x14ac:dyDescent="0.2">
      <c r="A8" s="101">
        <v>900</v>
      </c>
      <c r="B8" s="102" t="s">
        <v>218</v>
      </c>
      <c r="C8" s="103">
        <f>'Bourgeoisies Comptes 2022'!R155</f>
        <v>205718.28999999998</v>
      </c>
    </row>
    <row r="9" spans="1:3" x14ac:dyDescent="0.2">
      <c r="A9" s="101">
        <v>901</v>
      </c>
      <c r="B9" s="102" t="s">
        <v>219</v>
      </c>
      <c r="C9" s="103">
        <f>'Bourgeoisies Comptes 2022'!R156</f>
        <v>1575.55</v>
      </c>
    </row>
    <row r="10" spans="1:3" x14ac:dyDescent="0.2">
      <c r="A10" s="101" t="s">
        <v>216</v>
      </c>
      <c r="B10" s="102" t="s">
        <v>220</v>
      </c>
      <c r="C10" s="103">
        <f>'Bourgeoisie investissement'!R183</f>
        <v>180106.55</v>
      </c>
    </row>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208" t="s">
        <v>743</v>
      </c>
    </row>
    <row r="6" spans="1:3" ht="15.75" thickBot="1" x14ac:dyDescent="0.3">
      <c r="B6" s="96" t="s">
        <v>28</v>
      </c>
    </row>
    <row r="9" spans="1:3" ht="15" x14ac:dyDescent="0.25">
      <c r="A9" s="100" t="s">
        <v>215</v>
      </c>
      <c r="B9" s="100" t="s">
        <v>200</v>
      </c>
      <c r="C9" s="100" t="s">
        <v>852</v>
      </c>
    </row>
    <row r="10" spans="1:3" x14ac:dyDescent="0.2">
      <c r="A10" s="101">
        <v>90</v>
      </c>
      <c r="B10" s="102" t="s">
        <v>783</v>
      </c>
      <c r="C10" s="103">
        <f>HLOOKUP($B$6,'Bourgeoisies Comptes 2022'!$E$4:$R$166,151,0)</f>
        <v>14703.52</v>
      </c>
    </row>
    <row r="11" spans="1:3" x14ac:dyDescent="0.2">
      <c r="A11" s="101">
        <v>900</v>
      </c>
      <c r="B11" s="102" t="s">
        <v>218</v>
      </c>
      <c r="C11" s="103">
        <f>HLOOKUP($B$6,'Bourgeoisies Comptes 2022'!$E$4:$R$166,152,0)</f>
        <v>14703.52</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45307.65</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3599030.99</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2224355.6100000003</v>
      </c>
    </row>
    <row r="11" spans="1:3" ht="15" x14ac:dyDescent="0.25">
      <c r="A11" s="102"/>
      <c r="B11" s="104" t="s">
        <v>204</v>
      </c>
      <c r="C11" s="105">
        <f>C10-C9</f>
        <v>-1374675.38</v>
      </c>
    </row>
    <row r="12" spans="1:3" x14ac:dyDescent="0.2">
      <c r="A12" s="102"/>
      <c r="B12" s="102"/>
      <c r="C12" s="102"/>
    </row>
    <row r="13" spans="1:3" x14ac:dyDescent="0.2">
      <c r="A13" s="102">
        <v>34</v>
      </c>
      <c r="B13" s="102" t="s">
        <v>100</v>
      </c>
      <c r="C13" s="103">
        <f>'Bourgeoisies Comptes 2022'!R32</f>
        <v>298273.74</v>
      </c>
    </row>
    <row r="14" spans="1:3" x14ac:dyDescent="0.2">
      <c r="A14" s="102">
        <v>44</v>
      </c>
      <c r="B14" s="102" t="s">
        <v>161</v>
      </c>
      <c r="C14" s="103">
        <f>'Bourgeoisies Comptes 2022'!R106</f>
        <v>2052006.0599999998</v>
      </c>
    </row>
    <row r="15" spans="1:3" ht="15" x14ac:dyDescent="0.25">
      <c r="A15" s="102"/>
      <c r="B15" s="104" t="s">
        <v>237</v>
      </c>
      <c r="C15" s="105">
        <f>C14-C13</f>
        <v>1753732.3199999998</v>
      </c>
    </row>
    <row r="16" spans="1:3" x14ac:dyDescent="0.2">
      <c r="A16" s="102"/>
      <c r="B16" s="102"/>
      <c r="C16" s="102"/>
    </row>
    <row r="17" spans="1:3" ht="15" x14ac:dyDescent="0.25">
      <c r="A17" s="102"/>
      <c r="B17" s="104" t="s">
        <v>205</v>
      </c>
      <c r="C17" s="105">
        <f>C11+C15</f>
        <v>379056.93999999994</v>
      </c>
    </row>
    <row r="18" spans="1:3" x14ac:dyDescent="0.2">
      <c r="A18" s="102"/>
      <c r="B18" s="102"/>
      <c r="C18" s="102"/>
    </row>
    <row r="19" spans="1:3" x14ac:dyDescent="0.2">
      <c r="A19" s="102">
        <v>38</v>
      </c>
      <c r="B19" s="102" t="s">
        <v>120</v>
      </c>
      <c r="C19" s="103">
        <f>'Bourgeoisies Comptes 2022'!R57</f>
        <v>228800</v>
      </c>
    </row>
    <row r="20" spans="1:3" x14ac:dyDescent="0.2">
      <c r="A20" s="102">
        <v>48</v>
      </c>
      <c r="B20" s="102" t="s">
        <v>180</v>
      </c>
      <c r="C20" s="103">
        <f>'Bourgeoisies Comptes 2022'!R132</f>
        <v>81900</v>
      </c>
    </row>
    <row r="21" spans="1:3" ht="15" x14ac:dyDescent="0.25">
      <c r="A21" s="102"/>
      <c r="B21" s="104" t="s">
        <v>206</v>
      </c>
      <c r="C21" s="105">
        <f>C20-C19</f>
        <v>-146900</v>
      </c>
    </row>
    <row r="22" spans="1:3" x14ac:dyDescent="0.2">
      <c r="A22" s="102"/>
      <c r="B22" s="102"/>
      <c r="C22" s="102"/>
    </row>
    <row r="23" spans="1:3" ht="15" x14ac:dyDescent="0.25">
      <c r="A23" s="102"/>
      <c r="B23" s="104" t="s">
        <v>207</v>
      </c>
      <c r="C23" s="105">
        <f>C17+C21</f>
        <v>232156.93999999994</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743</v>
      </c>
    </row>
    <row r="6" spans="1:3" ht="15.75" thickBot="1" x14ac:dyDescent="0.3">
      <c r="B6" s="96" t="s">
        <v>28</v>
      </c>
    </row>
    <row r="8" spans="1:3" ht="15" x14ac:dyDescent="0.25">
      <c r="A8" s="100" t="s">
        <v>199</v>
      </c>
      <c r="B8" s="100" t="s">
        <v>200</v>
      </c>
      <c r="C8" s="100" t="s">
        <v>201</v>
      </c>
    </row>
    <row r="9" spans="1:3" x14ac:dyDescent="0.2">
      <c r="A9" s="101" t="s">
        <v>208</v>
      </c>
      <c r="B9" s="102" t="s">
        <v>202</v>
      </c>
      <c r="C9" s="103">
        <f>HLOOKUP($B$6,'Bourgeoisies Comptes 2022'!$E$4:$R$169,162,0)</f>
        <v>1264183.3900000001</v>
      </c>
    </row>
    <row r="10" spans="1:3" x14ac:dyDescent="0.2">
      <c r="A10" s="101" t="s">
        <v>209</v>
      </c>
      <c r="B10" s="102" t="s">
        <v>203</v>
      </c>
      <c r="C10" s="103">
        <f>HLOOKUP($B$6,'Bourgeoisies Comptes 2022'!$E$4:$R$169,163,0)</f>
        <v>435239.30000000005</v>
      </c>
    </row>
    <row r="11" spans="1:3" ht="15" x14ac:dyDescent="0.25">
      <c r="A11" s="102"/>
      <c r="B11" s="104" t="s">
        <v>204</v>
      </c>
      <c r="C11" s="105">
        <f>C10-C9</f>
        <v>-828944.09000000008</v>
      </c>
    </row>
    <row r="12" spans="1:3" x14ac:dyDescent="0.2">
      <c r="A12" s="102"/>
      <c r="B12" s="102"/>
      <c r="C12" s="102"/>
    </row>
    <row r="13" spans="1:3" x14ac:dyDescent="0.2">
      <c r="A13" s="102">
        <v>34</v>
      </c>
      <c r="B13" s="102" t="s">
        <v>100</v>
      </c>
      <c r="C13" s="103">
        <f>HLOOKUP($B$6,'Bourgeoisies Comptes 2022'!$E$4:$R$169,29,0)</f>
        <v>135650.68999999997</v>
      </c>
    </row>
    <row r="14" spans="1:3" x14ac:dyDescent="0.2">
      <c r="A14" s="102">
        <v>44</v>
      </c>
      <c r="B14" s="102" t="s">
        <v>161</v>
      </c>
      <c r="C14" s="103">
        <f>HLOOKUP($B$6,'Bourgeoisies Comptes 2022'!$E$4:$R$169,103,0)</f>
        <v>1149298.3</v>
      </c>
    </row>
    <row r="15" spans="1:3" ht="15" x14ac:dyDescent="0.25">
      <c r="A15" s="102"/>
      <c r="B15" s="104" t="s">
        <v>237</v>
      </c>
      <c r="C15" s="105">
        <f>C14-C13</f>
        <v>1013647.6100000001</v>
      </c>
    </row>
    <row r="16" spans="1:3" x14ac:dyDescent="0.2">
      <c r="A16" s="102"/>
      <c r="B16" s="102"/>
      <c r="C16" s="102"/>
    </row>
    <row r="17" spans="1:3" ht="15" x14ac:dyDescent="0.25">
      <c r="A17" s="102"/>
      <c r="B17" s="104" t="s">
        <v>205</v>
      </c>
      <c r="C17" s="105">
        <f>C11+C15</f>
        <v>184703.52000000002</v>
      </c>
    </row>
    <row r="18" spans="1:3" x14ac:dyDescent="0.2">
      <c r="A18" s="102"/>
      <c r="B18" s="102"/>
      <c r="C18" s="102"/>
    </row>
    <row r="19" spans="1:3" x14ac:dyDescent="0.2">
      <c r="A19" s="102">
        <v>38</v>
      </c>
      <c r="B19" s="102" t="s">
        <v>120</v>
      </c>
      <c r="C19" s="103">
        <f>HLOOKUP($B$6,'Bourgeoisies Comptes 2022'!$E$4:$R$169,54,0)</f>
        <v>170000</v>
      </c>
    </row>
    <row r="20" spans="1:3" x14ac:dyDescent="0.2">
      <c r="A20" s="102">
        <v>48</v>
      </c>
      <c r="B20" s="102" t="s">
        <v>180</v>
      </c>
      <c r="C20" s="103">
        <f>HLOOKUP($B$6,'Bourgeoisies Comptes 2022'!$E$4:$R$169,129,0)</f>
        <v>0</v>
      </c>
    </row>
    <row r="21" spans="1:3" ht="15" x14ac:dyDescent="0.25">
      <c r="A21" s="102"/>
      <c r="B21" s="104" t="s">
        <v>206</v>
      </c>
      <c r="C21" s="105">
        <f>C20-C19</f>
        <v>-170000</v>
      </c>
    </row>
    <row r="22" spans="1:3" x14ac:dyDescent="0.2">
      <c r="A22" s="102"/>
      <c r="B22" s="102"/>
      <c r="C22" s="102"/>
    </row>
    <row r="23" spans="1:3" ht="15" x14ac:dyDescent="0.25">
      <c r="A23" s="102"/>
      <c r="B23" s="104" t="s">
        <v>207</v>
      </c>
      <c r="C23" s="105">
        <f>C17+C21</f>
        <v>14703.520000000019</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207293.83999999997</v>
      </c>
    </row>
    <row r="10" spans="1:4" x14ac:dyDescent="0.2">
      <c r="A10" s="102">
        <v>33</v>
      </c>
      <c r="B10" s="106" t="s">
        <v>224</v>
      </c>
      <c r="C10" s="102" t="s">
        <v>97</v>
      </c>
      <c r="D10" s="103">
        <f>'Bourgeoisies Comptes 2022'!R28</f>
        <v>227781.8</v>
      </c>
    </row>
    <row r="11" spans="1:4" x14ac:dyDescent="0.2">
      <c r="A11" s="102">
        <v>35</v>
      </c>
      <c r="B11" s="106" t="s">
        <v>224</v>
      </c>
      <c r="C11" s="102" t="s">
        <v>226</v>
      </c>
      <c r="D11" s="103">
        <f>'Bourgeoisies Comptes 2022'!R40</f>
        <v>118003.83</v>
      </c>
    </row>
    <row r="12" spans="1:4" x14ac:dyDescent="0.2">
      <c r="A12" s="102">
        <v>45</v>
      </c>
      <c r="B12" s="106" t="s">
        <v>225</v>
      </c>
      <c r="C12" s="102" t="s">
        <v>173</v>
      </c>
      <c r="D12" s="103">
        <f>'Bourgeoisies Comptes 2022'!R118</f>
        <v>55821.350000000006</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228800</v>
      </c>
    </row>
    <row r="17" spans="1:4" x14ac:dyDescent="0.2">
      <c r="A17" s="102">
        <v>4490</v>
      </c>
      <c r="B17" s="106" t="s">
        <v>225</v>
      </c>
      <c r="C17" s="102" t="s">
        <v>235</v>
      </c>
      <c r="D17" s="103">
        <f>'Bourgeoisies Comptes 2022'!R116</f>
        <v>-19.95</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726058.07</v>
      </c>
    </row>
    <row r="21" spans="1:4" x14ac:dyDescent="0.2">
      <c r="A21" s="102"/>
      <c r="B21" s="102"/>
      <c r="C21" s="102"/>
      <c r="D21" s="103"/>
    </row>
    <row r="22" spans="1:4" x14ac:dyDescent="0.2">
      <c r="A22" s="102" t="s">
        <v>223</v>
      </c>
      <c r="B22" s="108" t="s">
        <v>225</v>
      </c>
      <c r="C22" s="102" t="s">
        <v>229</v>
      </c>
      <c r="D22" s="103">
        <f>'Bourgeoisie investissement'!R183</f>
        <v>180106.55</v>
      </c>
    </row>
    <row r="23" spans="1:4" x14ac:dyDescent="0.2">
      <c r="A23" s="102"/>
      <c r="B23" s="102"/>
      <c r="C23" s="102"/>
      <c r="D23" s="103"/>
    </row>
    <row r="24" spans="1:4" ht="15" x14ac:dyDescent="0.25">
      <c r="A24" s="107"/>
      <c r="B24" s="107"/>
      <c r="C24" s="104" t="s">
        <v>230</v>
      </c>
      <c r="D24" s="105">
        <f>D20-D22</f>
        <v>545951.52</v>
      </c>
    </row>
  </sheetData>
  <pageMargins left="0.7" right="0.7" top="0.75" bottom="0.75" header="0.3" footer="0.3"/>
  <pageSetup paperSize="9" scale="8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223" t="s">
        <v>743</v>
      </c>
      <c r="C5" s="223"/>
      <c r="D5" s="223"/>
    </row>
    <row r="6" spans="1:5" ht="15.75" thickBot="1" x14ac:dyDescent="0.3">
      <c r="B6" s="220" t="s">
        <v>28</v>
      </c>
      <c r="C6" s="221"/>
      <c r="D6" s="222"/>
    </row>
    <row r="8" spans="1:5" ht="15" x14ac:dyDescent="0.25">
      <c r="B8" s="100" t="s">
        <v>222</v>
      </c>
      <c r="C8" s="100"/>
      <c r="D8" s="100" t="s">
        <v>200</v>
      </c>
      <c r="E8" s="100" t="s">
        <v>201</v>
      </c>
    </row>
    <row r="9" spans="1:5" x14ac:dyDescent="0.2">
      <c r="B9" s="102">
        <v>90</v>
      </c>
      <c r="C9" s="106"/>
      <c r="D9" s="102" t="s">
        <v>784</v>
      </c>
      <c r="E9" s="103">
        <f>HLOOKUP($B$6,'Bourgeoisies Comptes 2022'!$E$4:$R$168,151,0)</f>
        <v>14703.52</v>
      </c>
    </row>
    <row r="10" spans="1:5" x14ac:dyDescent="0.2">
      <c r="B10" s="102">
        <v>33</v>
      </c>
      <c r="C10" s="106" t="s">
        <v>224</v>
      </c>
      <c r="D10" s="102" t="s">
        <v>97</v>
      </c>
      <c r="E10" s="103">
        <f>HLOOKUP($B$6,'Bourgeoisies Comptes 2022'!$E$4:$R$168,25,0)</f>
        <v>43930</v>
      </c>
    </row>
    <row r="11" spans="1:5" x14ac:dyDescent="0.2">
      <c r="B11" s="102">
        <v>35</v>
      </c>
      <c r="C11" s="106" t="s">
        <v>224</v>
      </c>
      <c r="D11" s="102" t="s">
        <v>226</v>
      </c>
      <c r="E11" s="103">
        <f>HLOOKUP($B$6,'Bourgeoisies Comptes 2022'!$E$4:$R$168,37,0)</f>
        <v>72074</v>
      </c>
    </row>
    <row r="12" spans="1:5" x14ac:dyDescent="0.2">
      <c r="B12" s="102">
        <v>45</v>
      </c>
      <c r="C12" s="106" t="s">
        <v>225</v>
      </c>
      <c r="D12" s="102" t="s">
        <v>173</v>
      </c>
      <c r="E12" s="103">
        <f>HLOOKUP($B$6,'Bourgeoisies Comptes 2022'!$E$4:$R$168,115,0)</f>
        <v>27400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170000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273307.52000000002</v>
      </c>
    </row>
    <row r="21" spans="2:5" x14ac:dyDescent="0.2">
      <c r="B21" s="102"/>
      <c r="C21" s="102"/>
      <c r="D21" s="102"/>
      <c r="E21" s="103"/>
    </row>
    <row r="22" spans="2:5" x14ac:dyDescent="0.2">
      <c r="B22" s="102" t="s">
        <v>223</v>
      </c>
      <c r="C22" s="108" t="s">
        <v>225</v>
      </c>
      <c r="D22" s="102" t="s">
        <v>229</v>
      </c>
      <c r="E22" s="103">
        <f>HLOOKUP($B$6,'Bourgeoisie investissement'!$E$4:$R$184,180,0)</f>
        <v>45307.65</v>
      </c>
    </row>
    <row r="23" spans="2:5" x14ac:dyDescent="0.2">
      <c r="B23" s="102"/>
      <c r="C23" s="102"/>
      <c r="D23" s="102"/>
      <c r="E23" s="103"/>
    </row>
    <row r="24" spans="2:5" ht="15" x14ac:dyDescent="0.25">
      <c r="B24" s="107"/>
      <c r="C24" s="107"/>
      <c r="D24" s="104" t="s">
        <v>230</v>
      </c>
      <c r="E24" s="105">
        <f>E20-E22</f>
        <v>227999.87000000002</v>
      </c>
    </row>
  </sheetData>
  <mergeCells count="2">
    <mergeCell ref="B6:D6"/>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L18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34492484.75</v>
      </c>
      <c r="L5" s="119">
        <f t="shared" si="0"/>
        <v>1130873.72</v>
      </c>
      <c r="M5" s="119">
        <f t="shared" si="0"/>
        <v>1788939.24</v>
      </c>
      <c r="N5" s="119">
        <f t="shared" si="0"/>
        <v>106528.17</v>
      </c>
      <c r="O5" s="119">
        <f t="shared" si="0"/>
        <v>576444.63</v>
      </c>
      <c r="P5" s="119">
        <f t="shared" si="0"/>
        <v>2658913.96</v>
      </c>
      <c r="Q5" s="119">
        <f t="shared" si="0"/>
        <v>1923199.36</v>
      </c>
      <c r="R5" s="119">
        <f t="shared" si="0"/>
        <v>2536130.92</v>
      </c>
      <c r="S5" s="119">
        <f t="shared" ref="S5:S13" si="1">SUM(F5:R5)</f>
        <v>61487461.760000005</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32226400.550000001</v>
      </c>
      <c r="L6" s="121">
        <f t="shared" si="2"/>
        <v>481303.72000000003</v>
      </c>
      <c r="M6" s="121">
        <f t="shared" si="2"/>
        <v>1788939.24</v>
      </c>
      <c r="N6" s="121">
        <f t="shared" si="2"/>
        <v>87115.17</v>
      </c>
      <c r="O6" s="121">
        <f t="shared" si="2"/>
        <v>306734.63</v>
      </c>
      <c r="P6" s="121">
        <f t="shared" si="2"/>
        <v>1400029.81</v>
      </c>
      <c r="Q6" s="121">
        <f t="shared" si="2"/>
        <v>899639.31</v>
      </c>
      <c r="R6" s="121">
        <f t="shared" si="2"/>
        <v>1013324.9199999999</v>
      </c>
      <c r="S6" s="121">
        <f t="shared" si="1"/>
        <v>48772491.610000014</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1020109.05</v>
      </c>
      <c r="L7" s="111">
        <f t="shared" si="3"/>
        <v>244707.52000000002</v>
      </c>
      <c r="M7" s="111">
        <f t="shared" si="3"/>
        <v>1725187.48</v>
      </c>
      <c r="N7" s="111">
        <f t="shared" si="3"/>
        <v>86913.17</v>
      </c>
      <c r="O7" s="111">
        <f t="shared" si="3"/>
        <v>288982.63</v>
      </c>
      <c r="P7" s="111">
        <f t="shared" si="3"/>
        <v>769192.2</v>
      </c>
      <c r="Q7" s="111">
        <f t="shared" si="3"/>
        <v>172899.26</v>
      </c>
      <c r="R7" s="111">
        <f t="shared" si="3"/>
        <v>353556.85</v>
      </c>
      <c r="S7" s="111">
        <f t="shared" si="1"/>
        <v>7314879.5599999996</v>
      </c>
      <c r="T7" s="8">
        <v>4</v>
      </c>
    </row>
    <row r="8" spans="1:20" ht="15" x14ac:dyDescent="0.25">
      <c r="D8" s="8">
        <v>1000</v>
      </c>
      <c r="E8" s="8" t="s">
        <v>310</v>
      </c>
      <c r="F8" s="13">
        <v>3477.45</v>
      </c>
      <c r="G8" s="13">
        <v>678.15</v>
      </c>
      <c r="H8" s="13">
        <v>463.17</v>
      </c>
      <c r="I8" s="13">
        <v>356</v>
      </c>
      <c r="J8" s="13">
        <v>1020.2</v>
      </c>
      <c r="K8" s="13">
        <v>1594.4</v>
      </c>
      <c r="L8" s="13">
        <v>0</v>
      </c>
      <c r="M8" s="13">
        <v>48.95</v>
      </c>
      <c r="N8" s="13">
        <v>297</v>
      </c>
      <c r="O8" s="13">
        <v>1065.7</v>
      </c>
      <c r="P8" s="13">
        <v>534.5</v>
      </c>
      <c r="Q8" s="13">
        <v>2281.9499999999998</v>
      </c>
      <c r="R8" s="13">
        <v>0</v>
      </c>
      <c r="S8" s="99">
        <f t="shared" si="1"/>
        <v>11817.469999999998</v>
      </c>
      <c r="T8" s="8">
        <v>5</v>
      </c>
    </row>
    <row r="9" spans="1:20" ht="15" x14ac:dyDescent="0.25">
      <c r="D9" s="8">
        <v>1001</v>
      </c>
      <c r="E9" s="8" t="s">
        <v>311</v>
      </c>
      <c r="F9" s="13">
        <v>1259.71</v>
      </c>
      <c r="G9" s="13">
        <v>0</v>
      </c>
      <c r="H9" s="13">
        <v>37366.639999999999</v>
      </c>
      <c r="I9" s="13">
        <v>0</v>
      </c>
      <c r="J9" s="13">
        <v>54766.61</v>
      </c>
      <c r="K9" s="13">
        <v>10969.99</v>
      </c>
      <c r="L9" s="13">
        <v>203517.82</v>
      </c>
      <c r="M9" s="13">
        <v>51318.44</v>
      </c>
      <c r="N9" s="13">
        <v>7044.27</v>
      </c>
      <c r="O9" s="13">
        <v>84813.06</v>
      </c>
      <c r="P9" s="13">
        <v>0</v>
      </c>
      <c r="Q9" s="13">
        <v>2638.84</v>
      </c>
      <c r="R9" s="13">
        <v>0</v>
      </c>
      <c r="S9" s="99">
        <f t="shared" si="1"/>
        <v>453695.38000000006</v>
      </c>
      <c r="T9" s="8">
        <v>6</v>
      </c>
    </row>
    <row r="10" spans="1:20" ht="15" x14ac:dyDescent="0.25">
      <c r="D10" s="8">
        <v>1002</v>
      </c>
      <c r="E10" s="8" t="s">
        <v>319</v>
      </c>
      <c r="F10" s="13">
        <v>1424377.59</v>
      </c>
      <c r="G10" s="13">
        <v>58532.13</v>
      </c>
      <c r="H10" s="13">
        <v>94601.19</v>
      </c>
      <c r="I10" s="13">
        <v>289168.03999999998</v>
      </c>
      <c r="J10" s="13">
        <v>613273.47</v>
      </c>
      <c r="K10" s="13">
        <v>1007544.66</v>
      </c>
      <c r="L10" s="13">
        <v>32132.45</v>
      </c>
      <c r="M10" s="13">
        <v>548373.1</v>
      </c>
      <c r="N10" s="13">
        <v>79571.899999999994</v>
      </c>
      <c r="O10" s="13">
        <v>203103.87</v>
      </c>
      <c r="P10" s="13">
        <v>768657.7</v>
      </c>
      <c r="Q10" s="13">
        <v>167978.47</v>
      </c>
      <c r="R10" s="13">
        <v>353556.85</v>
      </c>
      <c r="S10" s="99">
        <f t="shared" si="1"/>
        <v>5640871.4199999999</v>
      </c>
      <c r="T10" s="8">
        <v>7</v>
      </c>
    </row>
    <row r="11" spans="1:20" ht="15" x14ac:dyDescent="0.25">
      <c r="D11" s="8">
        <v>1003</v>
      </c>
      <c r="E11" s="8" t="s">
        <v>312</v>
      </c>
      <c r="F11" s="13">
        <v>0</v>
      </c>
      <c r="G11" s="13">
        <v>0</v>
      </c>
      <c r="H11" s="13">
        <v>0</v>
      </c>
      <c r="I11" s="13">
        <v>0</v>
      </c>
      <c r="J11" s="13">
        <v>70208.800000000003</v>
      </c>
      <c r="K11" s="13">
        <v>0</v>
      </c>
      <c r="L11" s="13">
        <v>0</v>
      </c>
      <c r="M11" s="13">
        <v>1125446.99</v>
      </c>
      <c r="N11" s="13">
        <v>0</v>
      </c>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v>0</v>
      </c>
      <c r="L12" s="13">
        <v>0</v>
      </c>
      <c r="M12" s="13">
        <v>0</v>
      </c>
      <c r="N12" s="13">
        <v>0</v>
      </c>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v>0</v>
      </c>
      <c r="L13" s="13">
        <v>9057.25</v>
      </c>
      <c r="M13" s="13">
        <v>0</v>
      </c>
      <c r="N13" s="13">
        <v>0</v>
      </c>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4187583.85</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4280490.2599999988</v>
      </c>
      <c r="T15" s="8">
        <v>12</v>
      </c>
    </row>
    <row r="16" spans="1:20" ht="15" x14ac:dyDescent="0.25">
      <c r="D16" s="8">
        <v>1010</v>
      </c>
      <c r="E16" s="8" t="s">
        <v>315</v>
      </c>
      <c r="F16" s="13">
        <v>50478</v>
      </c>
      <c r="G16" s="13">
        <v>0</v>
      </c>
      <c r="H16" s="13">
        <v>0</v>
      </c>
      <c r="I16" s="13">
        <v>0</v>
      </c>
      <c r="J16" s="13">
        <v>19662.45</v>
      </c>
      <c r="K16" s="13">
        <v>-10699.15</v>
      </c>
      <c r="L16" s="13">
        <v>0</v>
      </c>
      <c r="M16" s="13">
        <v>937.56</v>
      </c>
      <c r="N16" s="13">
        <v>0</v>
      </c>
      <c r="O16" s="13">
        <v>0</v>
      </c>
      <c r="P16" s="13">
        <v>0.31</v>
      </c>
      <c r="Q16" s="13">
        <v>0</v>
      </c>
      <c r="R16" s="13">
        <v>1284.05</v>
      </c>
      <c r="S16" s="99">
        <f t="shared" si="5"/>
        <v>61663.219999999994</v>
      </c>
      <c r="T16" s="8">
        <v>13</v>
      </c>
    </row>
    <row r="17" spans="3:20" ht="15" x14ac:dyDescent="0.25">
      <c r="D17" s="8">
        <v>1011</v>
      </c>
      <c r="E17" s="8" t="s">
        <v>396</v>
      </c>
      <c r="F17" s="13">
        <v>0</v>
      </c>
      <c r="G17" s="13">
        <v>0</v>
      </c>
      <c r="H17" s="13">
        <v>0</v>
      </c>
      <c r="I17" s="13">
        <v>13267.1</v>
      </c>
      <c r="J17" s="13">
        <v>0</v>
      </c>
      <c r="K17" s="13">
        <v>4198283</v>
      </c>
      <c r="L17" s="13">
        <v>7200</v>
      </c>
      <c r="M17" s="13">
        <v>0</v>
      </c>
      <c r="N17" s="13">
        <v>0</v>
      </c>
      <c r="O17" s="13">
        <v>0</v>
      </c>
      <c r="P17" s="13">
        <v>0</v>
      </c>
      <c r="Q17" s="13">
        <v>0</v>
      </c>
      <c r="R17" s="13">
        <v>0</v>
      </c>
      <c r="S17" s="99">
        <f t="shared" si="5"/>
        <v>4218750.0999999996</v>
      </c>
      <c r="T17" s="8">
        <v>14</v>
      </c>
    </row>
    <row r="18" spans="3:20" ht="15" x14ac:dyDescent="0.25">
      <c r="D18" s="8">
        <v>1012</v>
      </c>
      <c r="E18" s="8" t="s">
        <v>316</v>
      </c>
      <c r="F18" s="13">
        <v>0</v>
      </c>
      <c r="G18" s="13">
        <v>-0.06</v>
      </c>
      <c r="H18" s="13">
        <v>0</v>
      </c>
      <c r="I18" s="13">
        <v>0</v>
      </c>
      <c r="J18" s="13">
        <v>0</v>
      </c>
      <c r="K18" s="13">
        <v>0</v>
      </c>
      <c r="L18" s="13">
        <v>0</v>
      </c>
      <c r="M18" s="13">
        <v>0</v>
      </c>
      <c r="N18" s="13">
        <v>0</v>
      </c>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v>0</v>
      </c>
      <c r="L23" s="13">
        <v>0</v>
      </c>
      <c r="M23" s="13">
        <v>0</v>
      </c>
      <c r="N23" s="13">
        <v>0</v>
      </c>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86907.65</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268903.25999999995</v>
      </c>
      <c r="T31" s="8">
        <v>28</v>
      </c>
    </row>
    <row r="32" spans="3:20" ht="15" x14ac:dyDescent="0.25">
      <c r="D32" s="8">
        <v>1040</v>
      </c>
      <c r="E32" s="8" t="s">
        <v>61</v>
      </c>
      <c r="F32" s="13">
        <v>1123.2</v>
      </c>
      <c r="G32" s="13">
        <v>0</v>
      </c>
      <c r="H32" s="13">
        <v>0</v>
      </c>
      <c r="I32" s="13">
        <v>0</v>
      </c>
      <c r="J32" s="13">
        <v>0</v>
      </c>
      <c r="K32" s="13">
        <v>0</v>
      </c>
      <c r="L32" s="13">
        <v>0</v>
      </c>
      <c r="M32" s="13">
        <v>0</v>
      </c>
      <c r="N32" s="13">
        <v>0</v>
      </c>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v>44710.95</v>
      </c>
      <c r="L33" s="13">
        <v>0</v>
      </c>
      <c r="M33" s="13">
        <v>0</v>
      </c>
      <c r="N33" s="13">
        <v>0</v>
      </c>
      <c r="O33" s="13">
        <v>0</v>
      </c>
      <c r="P33" s="13">
        <v>0</v>
      </c>
      <c r="Q33" s="13">
        <v>8230</v>
      </c>
      <c r="R33" s="13">
        <v>0</v>
      </c>
      <c r="S33" s="99">
        <f t="shared" si="8"/>
        <v>65858.45</v>
      </c>
      <c r="T33" s="8">
        <v>30</v>
      </c>
    </row>
    <row r="34" spans="3:20"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v>0</v>
      </c>
      <c r="L35" s="13">
        <v>0</v>
      </c>
      <c r="M35" s="13">
        <v>0</v>
      </c>
      <c r="N35" s="13">
        <v>0</v>
      </c>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v>0</v>
      </c>
      <c r="L36" s="13">
        <v>6460</v>
      </c>
      <c r="M36" s="13">
        <v>60614.2</v>
      </c>
      <c r="N36" s="13">
        <v>0</v>
      </c>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v>42196.7</v>
      </c>
      <c r="L39" s="13">
        <v>0</v>
      </c>
      <c r="M39" s="13">
        <v>0</v>
      </c>
      <c r="N39" s="13">
        <v>0</v>
      </c>
      <c r="O39" s="13">
        <v>0</v>
      </c>
      <c r="P39" s="13">
        <v>21085.3</v>
      </c>
      <c r="Q39" s="13">
        <v>0</v>
      </c>
      <c r="R39" s="13">
        <v>0</v>
      </c>
      <c r="S39" s="99">
        <f t="shared" si="8"/>
        <v>63423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v>0</v>
      </c>
      <c r="L42" s="13">
        <v>0</v>
      </c>
      <c r="M42" s="13">
        <v>0</v>
      </c>
      <c r="N42" s="13">
        <v>0</v>
      </c>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5450</v>
      </c>
      <c r="L48" s="111">
        <f t="shared" si="11"/>
        <v>1503</v>
      </c>
      <c r="M48" s="111">
        <f t="shared" si="11"/>
        <v>0</v>
      </c>
      <c r="N48" s="111">
        <f t="shared" si="11"/>
        <v>202</v>
      </c>
      <c r="O48" s="111">
        <f t="shared" si="11"/>
        <v>5002</v>
      </c>
      <c r="P48" s="111">
        <f t="shared" si="11"/>
        <v>452</v>
      </c>
      <c r="Q48" s="111">
        <f t="shared" si="11"/>
        <v>8200</v>
      </c>
      <c r="R48" s="111">
        <f t="shared" si="11"/>
        <v>532642.73</v>
      </c>
      <c r="S48" s="111">
        <f t="shared" ref="S48:S53" si="12">SUM(F48:R48)</f>
        <v>572336.32999999996</v>
      </c>
      <c r="T48" s="8">
        <v>45</v>
      </c>
    </row>
    <row r="49" spans="3:20" ht="15" x14ac:dyDescent="0.25">
      <c r="D49" s="8">
        <v>1070</v>
      </c>
      <c r="E49" s="8" t="s">
        <v>339</v>
      </c>
      <c r="F49" s="13">
        <v>16974.599999999999</v>
      </c>
      <c r="G49" s="13">
        <v>2</v>
      </c>
      <c r="H49" s="13">
        <v>702</v>
      </c>
      <c r="I49" s="13">
        <v>6</v>
      </c>
      <c r="J49" s="13">
        <v>1200</v>
      </c>
      <c r="K49" s="13">
        <v>5450</v>
      </c>
      <c r="L49" s="13">
        <v>1503</v>
      </c>
      <c r="M49" s="13">
        <v>0</v>
      </c>
      <c r="N49" s="13">
        <v>202</v>
      </c>
      <c r="O49" s="13">
        <v>5002</v>
      </c>
      <c r="P49" s="13">
        <v>452</v>
      </c>
      <c r="Q49" s="13">
        <v>8000</v>
      </c>
      <c r="R49" s="13">
        <v>155993.70000000001</v>
      </c>
      <c r="S49" s="99">
        <f t="shared" si="12"/>
        <v>195487.30000000002</v>
      </c>
      <c r="T49" s="8">
        <v>46</v>
      </c>
    </row>
    <row r="50" spans="3:20" ht="15" x14ac:dyDescent="0.25">
      <c r="D50" s="8">
        <v>1071</v>
      </c>
      <c r="E50" s="8" t="s">
        <v>340</v>
      </c>
      <c r="F50" s="13">
        <v>0</v>
      </c>
      <c r="G50" s="13">
        <v>0</v>
      </c>
      <c r="H50" s="13">
        <v>0</v>
      </c>
      <c r="I50" s="13">
        <v>0</v>
      </c>
      <c r="J50" s="13">
        <v>0</v>
      </c>
      <c r="K50" s="13">
        <v>0</v>
      </c>
      <c r="L50" s="13">
        <v>0</v>
      </c>
      <c r="M50" s="13">
        <v>0</v>
      </c>
      <c r="N50" s="13">
        <v>0</v>
      </c>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26926350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36123746.399999999</v>
      </c>
      <c r="T54" s="8">
        <v>51</v>
      </c>
    </row>
    <row r="55" spans="3:20" ht="15" x14ac:dyDescent="0.25">
      <c r="D55" s="8">
        <v>1080</v>
      </c>
      <c r="E55" s="8" t="s">
        <v>344</v>
      </c>
      <c r="F55" s="13">
        <v>487290</v>
      </c>
      <c r="G55" s="13">
        <v>0</v>
      </c>
      <c r="H55" s="13">
        <v>0</v>
      </c>
      <c r="I55" s="13">
        <v>0</v>
      </c>
      <c r="J55" s="13">
        <v>44240</v>
      </c>
      <c r="K55" s="13">
        <v>21626550</v>
      </c>
      <c r="L55" s="13">
        <v>166630</v>
      </c>
      <c r="M55" s="13">
        <v>0</v>
      </c>
      <c r="N55" s="13">
        <v>0</v>
      </c>
      <c r="O55" s="13">
        <v>10750</v>
      </c>
      <c r="P55" s="13">
        <v>0</v>
      </c>
      <c r="Q55" s="13">
        <v>710310.05</v>
      </c>
      <c r="R55" s="13">
        <v>0</v>
      </c>
      <c r="S55" s="99">
        <f t="shared" si="14"/>
        <v>23045770.050000001</v>
      </c>
      <c r="T55" s="8">
        <v>52</v>
      </c>
    </row>
    <row r="56" spans="3:20" ht="15" x14ac:dyDescent="0.25">
      <c r="D56" s="8">
        <v>1084</v>
      </c>
      <c r="E56" s="8" t="s">
        <v>345</v>
      </c>
      <c r="F56" s="13">
        <v>6240444.3499999996</v>
      </c>
      <c r="G56" s="13">
        <v>36800</v>
      </c>
      <c r="H56" s="13">
        <v>274000</v>
      </c>
      <c r="I56" s="13">
        <v>0</v>
      </c>
      <c r="J56" s="13">
        <v>509120</v>
      </c>
      <c r="K56" s="13">
        <v>5299800</v>
      </c>
      <c r="L56" s="13">
        <v>0</v>
      </c>
      <c r="M56" s="13">
        <v>0</v>
      </c>
      <c r="N56" s="13">
        <v>0</v>
      </c>
      <c r="O56" s="13">
        <v>2000</v>
      </c>
      <c r="P56" s="13">
        <v>609300</v>
      </c>
      <c r="Q56" s="13">
        <v>0</v>
      </c>
      <c r="R56" s="13">
        <v>0</v>
      </c>
      <c r="S56" s="99">
        <f t="shared" si="14"/>
        <v>12971464.35</v>
      </c>
      <c r="T56" s="8">
        <v>53</v>
      </c>
    </row>
    <row r="57" spans="3:20"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v>0</v>
      </c>
      <c r="L59" s="13">
        <v>0</v>
      </c>
      <c r="M59" s="13">
        <v>2200</v>
      </c>
      <c r="N59" s="13">
        <v>0</v>
      </c>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v>0</v>
      </c>
      <c r="L60" s="13">
        <v>0</v>
      </c>
      <c r="M60" s="13">
        <v>0</v>
      </c>
      <c r="N60" s="13">
        <v>0</v>
      </c>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v>0</v>
      </c>
      <c r="L63" s="13">
        <v>54803.199999999997</v>
      </c>
      <c r="M63" s="13">
        <v>0</v>
      </c>
      <c r="N63" s="13">
        <v>0</v>
      </c>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2266084.2000000002</v>
      </c>
      <c r="L68" s="123">
        <f t="shared" si="17"/>
        <v>649570</v>
      </c>
      <c r="M68" s="123">
        <f t="shared" si="17"/>
        <v>0</v>
      </c>
      <c r="N68" s="123">
        <f t="shared" si="17"/>
        <v>19413</v>
      </c>
      <c r="O68" s="123">
        <f t="shared" si="17"/>
        <v>269710</v>
      </c>
      <c r="P68" s="123">
        <f t="shared" si="17"/>
        <v>1258884.1499999999</v>
      </c>
      <c r="Q68" s="123">
        <f t="shared" si="17"/>
        <v>1023560.05</v>
      </c>
      <c r="R68" s="123">
        <f t="shared" si="17"/>
        <v>1522806</v>
      </c>
      <c r="S68" s="123">
        <f t="shared" ref="S68:S78" si="18">SUM(F68:R68)</f>
        <v>12714970.15</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2202081.2000000002</v>
      </c>
      <c r="L69" s="111">
        <f t="shared" si="19"/>
        <v>649570</v>
      </c>
      <c r="M69" s="111">
        <f t="shared" si="19"/>
        <v>0</v>
      </c>
      <c r="N69" s="111">
        <f t="shared" si="19"/>
        <v>19413</v>
      </c>
      <c r="O69" s="111">
        <f t="shared" si="19"/>
        <v>269710</v>
      </c>
      <c r="P69" s="111">
        <f t="shared" si="19"/>
        <v>1258884.1499999999</v>
      </c>
      <c r="Q69" s="111">
        <f t="shared" si="19"/>
        <v>1023560.05</v>
      </c>
      <c r="R69" s="111">
        <f t="shared" si="19"/>
        <v>1522806</v>
      </c>
      <c r="S69" s="111">
        <f t="shared" si="18"/>
        <v>12583167.15</v>
      </c>
      <c r="T69" s="8">
        <v>66</v>
      </c>
    </row>
    <row r="70" spans="2:20" ht="15" x14ac:dyDescent="0.25">
      <c r="D70" s="8">
        <v>1400</v>
      </c>
      <c r="E70" s="8" t="s">
        <v>354</v>
      </c>
      <c r="F70" s="13">
        <v>637850</v>
      </c>
      <c r="G70" s="13">
        <v>233501</v>
      </c>
      <c r="H70" s="13">
        <v>0</v>
      </c>
      <c r="I70" s="13">
        <v>260230</v>
      </c>
      <c r="J70" s="13">
        <v>349180</v>
      </c>
      <c r="K70" s="13">
        <v>764001</v>
      </c>
      <c r="L70" s="13">
        <v>201230</v>
      </c>
      <c r="M70" s="13">
        <v>0</v>
      </c>
      <c r="N70" s="13">
        <v>0</v>
      </c>
      <c r="O70" s="13">
        <v>0</v>
      </c>
      <c r="P70" s="13">
        <v>476564.55</v>
      </c>
      <c r="Q70" s="13">
        <v>297148.05</v>
      </c>
      <c r="R70" s="13">
        <v>33000</v>
      </c>
      <c r="S70" s="99">
        <f t="shared" si="18"/>
        <v>3252704.5999999996</v>
      </c>
      <c r="T70" s="8">
        <v>67</v>
      </c>
    </row>
    <row r="71" spans="2:20" ht="15" x14ac:dyDescent="0.25">
      <c r="D71" s="8">
        <v>1401</v>
      </c>
      <c r="E71" s="8" t="s">
        <v>355</v>
      </c>
      <c r="F71" s="13">
        <v>23800</v>
      </c>
      <c r="G71" s="13">
        <v>60332</v>
      </c>
      <c r="H71" s="13">
        <v>51795.95</v>
      </c>
      <c r="I71" s="13">
        <v>0</v>
      </c>
      <c r="J71" s="13">
        <v>77000</v>
      </c>
      <c r="K71" s="13">
        <v>1</v>
      </c>
      <c r="L71" s="13">
        <v>0</v>
      </c>
      <c r="M71" s="13">
        <v>0</v>
      </c>
      <c r="N71" s="13">
        <v>0</v>
      </c>
      <c r="O71" s="13">
        <v>0</v>
      </c>
      <c r="P71" s="13">
        <v>91903.2</v>
      </c>
      <c r="Q71" s="13">
        <v>0</v>
      </c>
      <c r="R71" s="13">
        <v>0</v>
      </c>
      <c r="S71" s="99">
        <f t="shared" si="18"/>
        <v>304832.15000000002</v>
      </c>
      <c r="T71" s="8">
        <v>68</v>
      </c>
    </row>
    <row r="72" spans="2:20" ht="15" x14ac:dyDescent="0.25">
      <c r="D72" s="8">
        <v>1402</v>
      </c>
      <c r="E72" s="8" t="s">
        <v>356</v>
      </c>
      <c r="F72" s="13">
        <v>87000</v>
      </c>
      <c r="G72" s="13">
        <v>0</v>
      </c>
      <c r="H72" s="13">
        <v>1</v>
      </c>
      <c r="I72" s="13">
        <v>0</v>
      </c>
      <c r="J72" s="13">
        <v>0</v>
      </c>
      <c r="K72" s="13">
        <v>0</v>
      </c>
      <c r="L72" s="13">
        <v>0</v>
      </c>
      <c r="M72" s="13">
        <v>0</v>
      </c>
      <c r="N72" s="13">
        <v>1</v>
      </c>
      <c r="O72" s="13">
        <v>0</v>
      </c>
      <c r="P72" s="13">
        <v>0</v>
      </c>
      <c r="Q72" s="13">
        <v>0</v>
      </c>
      <c r="R72" s="13">
        <v>0</v>
      </c>
      <c r="S72" s="99">
        <f t="shared" si="18"/>
        <v>87002</v>
      </c>
      <c r="T72" s="8">
        <v>69</v>
      </c>
    </row>
    <row r="73" spans="2:20" ht="15" x14ac:dyDescent="0.25">
      <c r="D73" s="8">
        <v>1403</v>
      </c>
      <c r="E73" s="8" t="s">
        <v>357</v>
      </c>
      <c r="F73" s="13">
        <v>0</v>
      </c>
      <c r="G73" s="13">
        <v>0</v>
      </c>
      <c r="H73" s="13">
        <v>0</v>
      </c>
      <c r="I73" s="13">
        <v>0</v>
      </c>
      <c r="J73" s="13">
        <v>73749.8</v>
      </c>
      <c r="K73" s="13">
        <v>0</v>
      </c>
      <c r="L73" s="13">
        <v>0</v>
      </c>
      <c r="M73" s="13">
        <v>0</v>
      </c>
      <c r="N73" s="13">
        <v>0</v>
      </c>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v>130569.2</v>
      </c>
      <c r="L74" s="13">
        <v>211600</v>
      </c>
      <c r="M74" s="13">
        <v>0</v>
      </c>
      <c r="N74" s="13">
        <v>1301</v>
      </c>
      <c r="O74" s="13">
        <v>0</v>
      </c>
      <c r="P74" s="13">
        <v>148049.4</v>
      </c>
      <c r="Q74" s="13">
        <v>0</v>
      </c>
      <c r="R74" s="13">
        <v>1489805</v>
      </c>
      <c r="S74" s="99">
        <f t="shared" si="18"/>
        <v>2739427.5999999996</v>
      </c>
      <c r="T74" s="8">
        <v>71</v>
      </c>
    </row>
    <row r="75" spans="2:20" ht="15" x14ac:dyDescent="0.25">
      <c r="D75" s="8">
        <v>1405</v>
      </c>
      <c r="E75" s="8" t="s">
        <v>359</v>
      </c>
      <c r="F75" s="13">
        <v>911253</v>
      </c>
      <c r="G75" s="13">
        <v>287790</v>
      </c>
      <c r="H75" s="13">
        <v>570450</v>
      </c>
      <c r="I75" s="13">
        <v>311535</v>
      </c>
      <c r="J75" s="13">
        <v>886670</v>
      </c>
      <c r="K75" s="13">
        <v>1307510</v>
      </c>
      <c r="L75" s="13">
        <v>236740</v>
      </c>
      <c r="M75" s="13">
        <v>0</v>
      </c>
      <c r="N75" s="13">
        <v>18110</v>
      </c>
      <c r="O75" s="13">
        <v>269710</v>
      </c>
      <c r="P75" s="13">
        <v>541866</v>
      </c>
      <c r="Q75" s="13">
        <v>681522</v>
      </c>
      <c r="R75" s="13">
        <v>0</v>
      </c>
      <c r="S75" s="99">
        <f t="shared" si="18"/>
        <v>6023156</v>
      </c>
      <c r="T75" s="8">
        <v>72</v>
      </c>
    </row>
    <row r="76" spans="2:20" ht="15" x14ac:dyDescent="0.25">
      <c r="D76" s="8">
        <v>1406</v>
      </c>
      <c r="E76" s="8" t="s">
        <v>360</v>
      </c>
      <c r="F76" s="13">
        <v>54900</v>
      </c>
      <c r="G76" s="13">
        <v>0</v>
      </c>
      <c r="H76" s="13">
        <v>2000</v>
      </c>
      <c r="I76" s="13">
        <v>2</v>
      </c>
      <c r="J76" s="13">
        <v>0</v>
      </c>
      <c r="K76" s="13">
        <v>0</v>
      </c>
      <c r="L76" s="13">
        <v>0</v>
      </c>
      <c r="M76" s="13">
        <v>0</v>
      </c>
      <c r="N76" s="13">
        <v>1</v>
      </c>
      <c r="O76" s="13">
        <v>0</v>
      </c>
      <c r="P76" s="13">
        <v>501</v>
      </c>
      <c r="Q76" s="13">
        <v>0</v>
      </c>
      <c r="R76" s="13">
        <v>1</v>
      </c>
      <c r="S76" s="99">
        <f t="shared" si="18"/>
        <v>57405</v>
      </c>
      <c r="T76" s="8">
        <v>73</v>
      </c>
    </row>
    <row r="77" spans="2:20" ht="15" x14ac:dyDescent="0.25">
      <c r="D77" s="8">
        <v>1407</v>
      </c>
      <c r="E77" s="8" t="s">
        <v>361</v>
      </c>
      <c r="F77" s="13">
        <v>0</v>
      </c>
      <c r="G77" s="13">
        <v>0</v>
      </c>
      <c r="H77" s="13">
        <v>0</v>
      </c>
      <c r="I77" s="13">
        <v>0</v>
      </c>
      <c r="J77" s="13">
        <v>0</v>
      </c>
      <c r="K77" s="13">
        <v>0</v>
      </c>
      <c r="L77" s="13">
        <v>0</v>
      </c>
      <c r="M77" s="13">
        <v>0</v>
      </c>
      <c r="N77" s="13">
        <v>0</v>
      </c>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v>0</v>
      </c>
      <c r="L81" s="13">
        <v>0</v>
      </c>
      <c r="M81" s="13">
        <v>0</v>
      </c>
      <c r="N81" s="13">
        <v>0</v>
      </c>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v>0</v>
      </c>
      <c r="L83" s="13">
        <v>0</v>
      </c>
      <c r="M83" s="13">
        <v>0</v>
      </c>
      <c r="N83" s="13">
        <v>0</v>
      </c>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v>0</v>
      </c>
      <c r="L84" s="13">
        <v>0</v>
      </c>
      <c r="M84" s="13">
        <v>0</v>
      </c>
      <c r="N84" s="13">
        <v>0</v>
      </c>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v>0</v>
      </c>
      <c r="L89" s="13">
        <v>0</v>
      </c>
      <c r="M89" s="13">
        <v>0</v>
      </c>
      <c r="N89" s="13">
        <v>0</v>
      </c>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v>0</v>
      </c>
      <c r="L93" s="13">
        <v>0</v>
      </c>
      <c r="M93" s="13">
        <v>0</v>
      </c>
      <c r="N93" s="13">
        <v>0</v>
      </c>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64003</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64003</v>
      </c>
      <c r="T97" s="8">
        <v>94</v>
      </c>
    </row>
    <row r="98" spans="3:20"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v>64003</v>
      </c>
      <c r="L103" s="13">
        <v>0</v>
      </c>
      <c r="M103" s="13">
        <v>0</v>
      </c>
      <c r="N103" s="13">
        <v>0</v>
      </c>
      <c r="O103" s="13">
        <v>0</v>
      </c>
      <c r="P103" s="13">
        <v>0</v>
      </c>
      <c r="Q103" s="13">
        <v>0</v>
      </c>
      <c r="R103" s="13">
        <v>0</v>
      </c>
      <c r="S103" s="99">
        <f t="shared" si="26"/>
        <v>64003</v>
      </c>
      <c r="T103" s="8">
        <v>100</v>
      </c>
    </row>
    <row r="104" spans="3:20"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34492484.75</v>
      </c>
      <c r="L121" s="124">
        <f t="shared" si="29"/>
        <v>1130873.72</v>
      </c>
      <c r="M121" s="124">
        <f t="shared" si="29"/>
        <v>1788939.24</v>
      </c>
      <c r="N121" s="124">
        <f t="shared" si="29"/>
        <v>106528.17</v>
      </c>
      <c r="O121" s="124">
        <f t="shared" si="29"/>
        <v>576444.63</v>
      </c>
      <c r="P121" s="124">
        <f t="shared" si="29"/>
        <v>2658913.96</v>
      </c>
      <c r="Q121" s="124">
        <f t="shared" si="29"/>
        <v>1923199.36</v>
      </c>
      <c r="R121" s="124">
        <f t="shared" si="29"/>
        <v>2536130.92</v>
      </c>
      <c r="S121" s="22">
        <f t="shared" ref="S121:S131" si="30">SUM(F121:R121)</f>
        <v>61487461.760000013</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4280508.2</v>
      </c>
      <c r="L122" s="126">
        <f t="shared" si="31"/>
        <v>152101.5</v>
      </c>
      <c r="M122" s="126">
        <f t="shared" si="31"/>
        <v>49156.74</v>
      </c>
      <c r="N122" s="126">
        <f t="shared" si="31"/>
        <v>14100</v>
      </c>
      <c r="O122" s="126">
        <f t="shared" si="31"/>
        <v>0</v>
      </c>
      <c r="P122" s="126">
        <f t="shared" si="31"/>
        <v>33530.800000000003</v>
      </c>
      <c r="Q122" s="126">
        <f t="shared" si="31"/>
        <v>462811.83</v>
      </c>
      <c r="R122" s="126">
        <f t="shared" si="31"/>
        <v>42233.35</v>
      </c>
      <c r="S122" s="126">
        <f t="shared" si="30"/>
        <v>9171475.5200000014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198893.15</v>
      </c>
      <c r="L123" s="128">
        <f t="shared" si="32"/>
        <v>0</v>
      </c>
      <c r="M123" s="128">
        <f t="shared" si="32"/>
        <v>0</v>
      </c>
      <c r="N123" s="128">
        <f t="shared" si="32"/>
        <v>0</v>
      </c>
      <c r="O123" s="128">
        <f t="shared" si="32"/>
        <v>0</v>
      </c>
      <c r="P123" s="128">
        <f t="shared" si="32"/>
        <v>0</v>
      </c>
      <c r="Q123" s="128">
        <f t="shared" si="32"/>
        <v>-22.67</v>
      </c>
      <c r="R123" s="128">
        <f t="shared" si="32"/>
        <v>33000</v>
      </c>
      <c r="S123" s="128">
        <f t="shared" si="30"/>
        <v>348514.93</v>
      </c>
      <c r="T123" s="8">
        <v>120</v>
      </c>
    </row>
    <row r="124" spans="1:20" ht="15" x14ac:dyDescent="0.25">
      <c r="D124" s="8">
        <v>2000</v>
      </c>
      <c r="E124" s="8" t="s">
        <v>395</v>
      </c>
      <c r="F124" s="13">
        <v>64844.45</v>
      </c>
      <c r="G124" s="13">
        <v>0</v>
      </c>
      <c r="H124" s="13">
        <v>0</v>
      </c>
      <c r="I124" s="13">
        <v>0</v>
      </c>
      <c r="J124" s="13">
        <v>50000</v>
      </c>
      <c r="K124" s="13">
        <v>192656.65</v>
      </c>
      <c r="L124" s="13">
        <v>0</v>
      </c>
      <c r="M124" s="13">
        <v>0</v>
      </c>
      <c r="N124" s="13">
        <v>0</v>
      </c>
      <c r="O124" s="13">
        <v>0</v>
      </c>
      <c r="P124" s="13">
        <v>0</v>
      </c>
      <c r="Q124" s="13">
        <v>0</v>
      </c>
      <c r="R124" s="13">
        <v>0</v>
      </c>
      <c r="S124" s="99">
        <f t="shared" si="30"/>
        <v>307501.09999999998</v>
      </c>
      <c r="T124" s="8">
        <v>121</v>
      </c>
    </row>
    <row r="125" spans="1:20" ht="15" x14ac:dyDescent="0.25">
      <c r="D125" s="8">
        <v>2001</v>
      </c>
      <c r="E125" s="8" t="s">
        <v>396</v>
      </c>
      <c r="F125" s="13">
        <v>0</v>
      </c>
      <c r="G125" s="13">
        <v>0</v>
      </c>
      <c r="H125" s="13">
        <v>0</v>
      </c>
      <c r="I125" s="13">
        <v>0</v>
      </c>
      <c r="J125" s="13">
        <v>0</v>
      </c>
      <c r="K125" s="13">
        <v>0</v>
      </c>
      <c r="L125" s="13">
        <v>0</v>
      </c>
      <c r="M125" s="13">
        <v>0</v>
      </c>
      <c r="N125" s="13">
        <v>0</v>
      </c>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v>0</v>
      </c>
      <c r="L126" s="13">
        <v>0</v>
      </c>
      <c r="M126" s="13">
        <v>0</v>
      </c>
      <c r="N126" s="13">
        <v>0</v>
      </c>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v>4136.5</v>
      </c>
      <c r="L127" s="13">
        <v>0</v>
      </c>
      <c r="M127" s="13">
        <v>0</v>
      </c>
      <c r="N127" s="13">
        <v>0</v>
      </c>
      <c r="O127" s="13">
        <v>0</v>
      </c>
      <c r="P127" s="13">
        <v>0</v>
      </c>
      <c r="Q127" s="13">
        <v>0</v>
      </c>
      <c r="R127" s="13">
        <v>0</v>
      </c>
      <c r="S127" s="99">
        <f t="shared" si="30"/>
        <v>4136.5</v>
      </c>
      <c r="T127" s="8">
        <v>124</v>
      </c>
    </row>
    <row r="128" spans="1:20" ht="15" x14ac:dyDescent="0.25">
      <c r="D128" s="8">
        <v>2004</v>
      </c>
      <c r="E128" s="8" t="s">
        <v>399</v>
      </c>
      <c r="F128" s="13">
        <v>0</v>
      </c>
      <c r="G128" s="13">
        <v>0</v>
      </c>
      <c r="H128" s="13">
        <v>0</v>
      </c>
      <c r="I128" s="13">
        <v>0</v>
      </c>
      <c r="J128" s="13">
        <v>0</v>
      </c>
      <c r="K128" s="13">
        <v>0</v>
      </c>
      <c r="L128" s="13">
        <v>0</v>
      </c>
      <c r="M128" s="13">
        <v>0</v>
      </c>
      <c r="N128" s="13">
        <v>0</v>
      </c>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v>0</v>
      </c>
      <c r="L129" s="13">
        <v>0</v>
      </c>
      <c r="M129" s="13">
        <v>0</v>
      </c>
      <c r="N129" s="13">
        <v>0</v>
      </c>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v>2100</v>
      </c>
      <c r="L130" s="13">
        <v>0</v>
      </c>
      <c r="M130" s="13">
        <v>0</v>
      </c>
      <c r="N130" s="13">
        <v>0</v>
      </c>
      <c r="O130" s="13">
        <v>0</v>
      </c>
      <c r="P130" s="13">
        <v>0</v>
      </c>
      <c r="Q130" s="13">
        <v>0</v>
      </c>
      <c r="R130" s="13">
        <v>0</v>
      </c>
      <c r="S130" s="99">
        <f t="shared" si="30"/>
        <v>3900</v>
      </c>
      <c r="T130" s="8">
        <v>127</v>
      </c>
    </row>
    <row r="131" spans="3:20"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v>0</v>
      </c>
      <c r="L134" s="13">
        <v>0</v>
      </c>
      <c r="M134" s="13">
        <v>0</v>
      </c>
      <c r="N134" s="13">
        <v>0</v>
      </c>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v>0</v>
      </c>
      <c r="L138" s="13">
        <v>0</v>
      </c>
      <c r="M138" s="13">
        <v>0</v>
      </c>
      <c r="N138" s="13">
        <v>0</v>
      </c>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318590.05</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620487.09</v>
      </c>
      <c r="T143" s="8">
        <v>140</v>
      </c>
    </row>
    <row r="144" spans="3:20" ht="15" x14ac:dyDescent="0.25">
      <c r="D144" s="8">
        <v>2040</v>
      </c>
      <c r="E144" s="8" t="s">
        <v>61</v>
      </c>
      <c r="F144" s="13">
        <v>31737.1</v>
      </c>
      <c r="G144" s="13">
        <v>0</v>
      </c>
      <c r="H144" s="13">
        <v>0</v>
      </c>
      <c r="I144" s="13">
        <v>0</v>
      </c>
      <c r="J144" s="13">
        <v>502.4</v>
      </c>
      <c r="K144" s="13">
        <v>8604.25</v>
      </c>
      <c r="L144" s="13">
        <v>0</v>
      </c>
      <c r="M144" s="13">
        <v>0</v>
      </c>
      <c r="N144" s="13">
        <v>0</v>
      </c>
      <c r="O144" s="13">
        <v>0</v>
      </c>
      <c r="P144" s="13">
        <v>0</v>
      </c>
      <c r="Q144" s="13">
        <v>0</v>
      </c>
      <c r="R144" s="13">
        <v>0</v>
      </c>
      <c r="S144" s="99">
        <f t="shared" si="36"/>
        <v>40843.75</v>
      </c>
      <c r="T144" s="8">
        <v>141</v>
      </c>
    </row>
    <row r="145" spans="3:20" ht="15" x14ac:dyDescent="0.25">
      <c r="D145" s="8">
        <v>2041</v>
      </c>
      <c r="E145" s="8" t="s">
        <v>276</v>
      </c>
      <c r="F145" s="13">
        <v>46456.95</v>
      </c>
      <c r="G145" s="13">
        <v>0</v>
      </c>
      <c r="H145" s="13">
        <v>1200</v>
      </c>
      <c r="I145" s="13">
        <v>0</v>
      </c>
      <c r="J145" s="13">
        <v>13554</v>
      </c>
      <c r="K145" s="13">
        <v>0</v>
      </c>
      <c r="L145" s="13">
        <v>0</v>
      </c>
      <c r="M145" s="13">
        <v>0</v>
      </c>
      <c r="N145" s="13">
        <v>0</v>
      </c>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v>160000</v>
      </c>
      <c r="L146" s="13">
        <v>0</v>
      </c>
      <c r="M146" s="13">
        <v>0</v>
      </c>
      <c r="N146" s="13">
        <v>0</v>
      </c>
      <c r="O146" s="13">
        <v>0</v>
      </c>
      <c r="P146" s="13">
        <v>0</v>
      </c>
      <c r="Q146" s="13">
        <v>0</v>
      </c>
      <c r="R146" s="13">
        <v>0</v>
      </c>
      <c r="S146" s="99">
        <f t="shared" si="36"/>
        <v>165455</v>
      </c>
      <c r="T146" s="8">
        <v>143</v>
      </c>
    </row>
    <row r="147" spans="3:20"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v>0</v>
      </c>
      <c r="L148" s="13">
        <v>21601.5</v>
      </c>
      <c r="M148" s="13">
        <v>49156.74</v>
      </c>
      <c r="N148" s="13">
        <v>0</v>
      </c>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v>0</v>
      </c>
      <c r="L149" s="13">
        <v>0</v>
      </c>
      <c r="M149" s="13">
        <v>0</v>
      </c>
      <c r="N149" s="13">
        <v>0</v>
      </c>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v>149985.79999999999</v>
      </c>
      <c r="L151" s="13">
        <v>0</v>
      </c>
      <c r="M151" s="13">
        <v>0</v>
      </c>
      <c r="N151" s="13">
        <v>0</v>
      </c>
      <c r="O151" s="13">
        <v>0</v>
      </c>
      <c r="P151" s="13">
        <v>15945.6</v>
      </c>
      <c r="Q151" s="13">
        <v>0</v>
      </c>
      <c r="R151" s="13">
        <v>0</v>
      </c>
      <c r="S151" s="99">
        <f t="shared" si="36"/>
        <v>165945.5</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v>0</v>
      </c>
      <c r="L159" s="13">
        <v>0</v>
      </c>
      <c r="M159" s="13">
        <v>0</v>
      </c>
      <c r="N159" s="13">
        <v>0</v>
      </c>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3233025</v>
      </c>
      <c r="L165" s="128">
        <f t="shared" si="39"/>
        <v>130500</v>
      </c>
      <c r="M165" s="128">
        <f t="shared" si="39"/>
        <v>0</v>
      </c>
      <c r="N165" s="128">
        <f t="shared" si="39"/>
        <v>14100</v>
      </c>
      <c r="O165" s="128">
        <f t="shared" si="39"/>
        <v>0</v>
      </c>
      <c r="P165" s="128">
        <f t="shared" si="39"/>
        <v>0</v>
      </c>
      <c r="Q165" s="128">
        <f t="shared" si="39"/>
        <v>425740</v>
      </c>
      <c r="R165" s="128">
        <f t="shared" si="39"/>
        <v>0</v>
      </c>
      <c r="S165" s="128">
        <f t="shared" ref="S165:S171" si="40">SUM(F165:R165)</f>
        <v>7492922.5999999996</v>
      </c>
      <c r="T165" s="8">
        <v>162</v>
      </c>
    </row>
    <row r="166" spans="3:20" ht="15" x14ac:dyDescent="0.25">
      <c r="D166" s="8">
        <v>2060</v>
      </c>
      <c r="E166" s="8" t="s">
        <v>422</v>
      </c>
      <c r="F166" s="13">
        <v>2892000</v>
      </c>
      <c r="G166" s="13">
        <v>171732</v>
      </c>
      <c r="H166" s="13">
        <v>0</v>
      </c>
      <c r="I166" s="13">
        <v>0</v>
      </c>
      <c r="J166" s="13">
        <v>0</v>
      </c>
      <c r="K166" s="13">
        <v>3233025</v>
      </c>
      <c r="L166" s="13">
        <v>0</v>
      </c>
      <c r="M166" s="13">
        <v>0</v>
      </c>
      <c r="N166" s="13">
        <v>0</v>
      </c>
      <c r="O166" s="13">
        <v>0</v>
      </c>
      <c r="P166" s="13">
        <v>0</v>
      </c>
      <c r="Q166" s="13">
        <v>0</v>
      </c>
      <c r="R166" s="13">
        <v>0</v>
      </c>
      <c r="S166" s="99">
        <f t="shared" si="40"/>
        <v>6296757</v>
      </c>
      <c r="T166" s="8">
        <v>163</v>
      </c>
    </row>
    <row r="167" spans="3:20"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v>0</v>
      </c>
      <c r="L168" s="13">
        <v>130500</v>
      </c>
      <c r="M168" s="13">
        <v>0</v>
      </c>
      <c r="N168" s="13">
        <v>0</v>
      </c>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v>0</v>
      </c>
      <c r="L169" s="13">
        <v>0</v>
      </c>
      <c r="M169" s="13">
        <v>0</v>
      </c>
      <c r="N169" s="13">
        <v>10100</v>
      </c>
      <c r="O169" s="13">
        <v>0</v>
      </c>
      <c r="P169" s="13">
        <v>0</v>
      </c>
      <c r="Q169" s="13">
        <v>0</v>
      </c>
      <c r="R169" s="13">
        <v>0</v>
      </c>
      <c r="S169" s="99">
        <f t="shared" si="40"/>
        <v>10100</v>
      </c>
      <c r="T169" s="8">
        <v>166</v>
      </c>
    </row>
    <row r="170" spans="3:20"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v>0</v>
      </c>
      <c r="L171" s="13">
        <v>0</v>
      </c>
      <c r="M171" s="13">
        <v>0</v>
      </c>
      <c r="N171" s="13">
        <v>4000</v>
      </c>
      <c r="O171" s="13">
        <v>0</v>
      </c>
      <c r="P171" s="13">
        <v>0</v>
      </c>
      <c r="Q171" s="13">
        <v>0</v>
      </c>
      <c r="R171" s="13">
        <v>0</v>
      </c>
      <c r="S171" s="99">
        <f t="shared" si="40"/>
        <v>12425.6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530000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554845.69999999995</v>
      </c>
      <c r="T173" s="8">
        <v>170</v>
      </c>
    </row>
    <row r="174" spans="3:20"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v>530000</v>
      </c>
      <c r="L178" s="13">
        <v>0</v>
      </c>
      <c r="M178" s="13">
        <v>0</v>
      </c>
      <c r="N178" s="13">
        <v>0</v>
      </c>
      <c r="O178" s="13">
        <v>0</v>
      </c>
      <c r="P178" s="13">
        <v>0</v>
      </c>
      <c r="Q178" s="13">
        <v>0</v>
      </c>
      <c r="R178" s="13">
        <v>0</v>
      </c>
      <c r="S178" s="99">
        <f t="shared" si="42"/>
        <v>554845.69999999995</v>
      </c>
      <c r="T178" s="8">
        <v>175</v>
      </c>
    </row>
    <row r="179" spans="2:20"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v>0</v>
      </c>
      <c r="L182" s="13">
        <v>0</v>
      </c>
      <c r="M182" s="13">
        <v>0</v>
      </c>
      <c r="N182" s="13">
        <v>0</v>
      </c>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v>0</v>
      </c>
      <c r="L185" s="13">
        <v>0</v>
      </c>
      <c r="M185" s="13">
        <v>0</v>
      </c>
      <c r="N185" s="13">
        <v>0</v>
      </c>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v>0</v>
      </c>
      <c r="L186" s="13">
        <v>0</v>
      </c>
      <c r="M186" s="13">
        <v>0</v>
      </c>
      <c r="N186" s="13">
        <v>0</v>
      </c>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30211976.550000001</v>
      </c>
      <c r="L190" s="126">
        <f t="shared" si="44"/>
        <v>978772.22</v>
      </c>
      <c r="M190" s="126">
        <f t="shared" si="44"/>
        <v>1739782.5</v>
      </c>
      <c r="N190" s="126">
        <f t="shared" si="44"/>
        <v>92428.17</v>
      </c>
      <c r="O190" s="126">
        <f t="shared" si="44"/>
        <v>576444.63</v>
      </c>
      <c r="P190" s="126">
        <f t="shared" si="44"/>
        <v>2625383.16</v>
      </c>
      <c r="Q190" s="126">
        <f t="shared" si="44"/>
        <v>1460387.53</v>
      </c>
      <c r="R190" s="126">
        <f t="shared" si="44"/>
        <v>2493897.5700000003</v>
      </c>
      <c r="S190" s="126">
        <f t="shared" si="44"/>
        <v>52315986.239999995</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3049410.18</v>
      </c>
      <c r="L191" s="128">
        <f t="shared" si="45"/>
        <v>54798.85</v>
      </c>
      <c r="M191" s="128">
        <f t="shared" si="45"/>
        <v>391331.26</v>
      </c>
      <c r="N191" s="128">
        <f t="shared" si="45"/>
        <v>19967.12</v>
      </c>
      <c r="O191" s="128">
        <f t="shared" si="45"/>
        <v>108631.13</v>
      </c>
      <c r="P191" s="128">
        <f t="shared" si="45"/>
        <v>84038.7</v>
      </c>
      <c r="Q191" s="128">
        <f t="shared" si="45"/>
        <v>168164.92</v>
      </c>
      <c r="R191" s="128">
        <f t="shared" si="45"/>
        <v>376649.03</v>
      </c>
      <c r="S191" s="128">
        <f>SUM(F191:R191)</f>
        <v>5071123.1800000006</v>
      </c>
      <c r="T191" s="8">
        <v>188</v>
      </c>
    </row>
    <row r="192" spans="2:20" ht="15" x14ac:dyDescent="0.25">
      <c r="D192" s="8">
        <v>2900</v>
      </c>
      <c r="E192" s="8" t="s">
        <v>260</v>
      </c>
      <c r="F192" s="13">
        <v>338123.14</v>
      </c>
      <c r="G192" s="13">
        <v>36537.629999999997</v>
      </c>
      <c r="H192" s="13">
        <v>34698.19</v>
      </c>
      <c r="I192" s="13">
        <v>13267.1</v>
      </c>
      <c r="J192" s="13">
        <v>395505.93</v>
      </c>
      <c r="K192" s="13">
        <v>3049410.18</v>
      </c>
      <c r="L192" s="13">
        <v>54798.85</v>
      </c>
      <c r="M192" s="13">
        <v>391331.26</v>
      </c>
      <c r="N192" s="13">
        <v>19967.12</v>
      </c>
      <c r="O192" s="13">
        <v>108631.13</v>
      </c>
      <c r="P192" s="13">
        <v>84038.7</v>
      </c>
      <c r="Q192" s="13">
        <v>168164.92</v>
      </c>
      <c r="R192" s="13">
        <v>376649.03</v>
      </c>
      <c r="S192" s="99">
        <f>SUM(F192:R192)</f>
        <v>5071123.1800000006</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v>0</v>
      </c>
      <c r="L202" s="13">
        <v>0</v>
      </c>
      <c r="M202" s="13">
        <v>0</v>
      </c>
      <c r="N202" s="13">
        <v>0</v>
      </c>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10000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174837.24</v>
      </c>
      <c r="T204" s="8">
        <v>201</v>
      </c>
    </row>
    <row r="205" spans="3:20" ht="15" x14ac:dyDescent="0.25">
      <c r="D205" s="8">
        <v>2940</v>
      </c>
      <c r="E205" s="8" t="s">
        <v>264</v>
      </c>
      <c r="F205" s="13">
        <v>0</v>
      </c>
      <c r="G205" s="13">
        <v>0</v>
      </c>
      <c r="H205" s="13">
        <v>0</v>
      </c>
      <c r="I205" s="13">
        <v>0</v>
      </c>
      <c r="J205" s="13">
        <v>0</v>
      </c>
      <c r="K205" s="13">
        <v>10000</v>
      </c>
      <c r="L205" s="13">
        <v>0</v>
      </c>
      <c r="M205" s="13">
        <v>0</v>
      </c>
      <c r="N205" s="13">
        <v>0</v>
      </c>
      <c r="O205" s="13">
        <v>60181.84</v>
      </c>
      <c r="P205" s="13">
        <v>104655.4</v>
      </c>
      <c r="Q205" s="13">
        <v>0</v>
      </c>
      <c r="R205" s="13">
        <v>0</v>
      </c>
      <c r="S205" s="99">
        <f>SUM(F205:R205)</f>
        <v>174837.24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23553589</v>
      </c>
      <c r="L207" s="128">
        <f t="shared" si="50"/>
        <v>0</v>
      </c>
      <c r="M207" s="128">
        <f t="shared" si="50"/>
        <v>0</v>
      </c>
      <c r="N207" s="128">
        <f t="shared" si="50"/>
        <v>0</v>
      </c>
      <c r="O207" s="128">
        <f t="shared" si="50"/>
        <v>0</v>
      </c>
      <c r="P207" s="128">
        <f t="shared" si="50"/>
        <v>9000</v>
      </c>
      <c r="Q207" s="128">
        <f t="shared" si="50"/>
        <v>0</v>
      </c>
      <c r="R207" s="128">
        <f t="shared" si="50"/>
        <v>0</v>
      </c>
      <c r="S207" s="128">
        <f>SUM(F207:R207)</f>
        <v>23562589</v>
      </c>
      <c r="T207" s="8">
        <v>204</v>
      </c>
    </row>
    <row r="208" spans="3:20" ht="15" x14ac:dyDescent="0.25">
      <c r="D208" s="8">
        <v>2950</v>
      </c>
      <c r="E208" s="8" t="s">
        <v>265</v>
      </c>
      <c r="F208" s="13">
        <v>0</v>
      </c>
      <c r="G208" s="13">
        <v>0</v>
      </c>
      <c r="H208" s="13">
        <v>0</v>
      </c>
      <c r="I208" s="13">
        <v>0</v>
      </c>
      <c r="J208" s="13">
        <v>0</v>
      </c>
      <c r="K208" s="13">
        <v>23553589</v>
      </c>
      <c r="L208" s="13">
        <v>0</v>
      </c>
      <c r="M208" s="13">
        <v>0</v>
      </c>
      <c r="N208" s="13">
        <v>0</v>
      </c>
      <c r="O208" s="13">
        <v>0</v>
      </c>
      <c r="P208" s="13">
        <v>9000</v>
      </c>
      <c r="Q208" s="13">
        <v>0</v>
      </c>
      <c r="R208" s="13">
        <v>0</v>
      </c>
      <c r="S208" s="99">
        <f>SUM(F208:R208)</f>
        <v>23562589</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3598977.37</v>
      </c>
      <c r="L216" s="128">
        <f t="shared" si="53"/>
        <v>923973.37</v>
      </c>
      <c r="M216" s="128">
        <f t="shared" si="53"/>
        <v>1348451.24</v>
      </c>
      <c r="N216" s="128">
        <f t="shared" si="53"/>
        <v>72461.05</v>
      </c>
      <c r="O216" s="128">
        <f t="shared" si="53"/>
        <v>407631.66</v>
      </c>
      <c r="P216" s="128">
        <f t="shared" si="53"/>
        <v>2427689.06</v>
      </c>
      <c r="Q216" s="128">
        <f t="shared" si="53"/>
        <v>1292222.6100000001</v>
      </c>
      <c r="R216" s="128">
        <f t="shared" si="53"/>
        <v>2113748.54</v>
      </c>
      <c r="S216" s="128">
        <f>SUM(F216:R216)</f>
        <v>23503936.819999997</v>
      </c>
      <c r="T216" s="8">
        <v>213</v>
      </c>
    </row>
    <row r="217" spans="3:20" ht="15" x14ac:dyDescent="0.25">
      <c r="D217" s="8">
        <v>2990</v>
      </c>
      <c r="E217" s="8" t="s">
        <v>441</v>
      </c>
      <c r="F217" s="13">
        <v>89792</v>
      </c>
      <c r="G217" s="13">
        <v>-15370.52</v>
      </c>
      <c r="H217" s="13">
        <v>18763.12</v>
      </c>
      <c r="I217" s="13">
        <v>13233</v>
      </c>
      <c r="J217" s="13">
        <v>13585.31</v>
      </c>
      <c r="K217" s="13">
        <v>14703.52</v>
      </c>
      <c r="L217" s="13">
        <v>18069.509999999998</v>
      </c>
      <c r="M217" s="13">
        <v>5815.81</v>
      </c>
      <c r="N217" s="13">
        <v>-1701.3</v>
      </c>
      <c r="O217" s="13">
        <v>-7888.14</v>
      </c>
      <c r="P217" s="13">
        <v>343.19</v>
      </c>
      <c r="Q217" s="13">
        <v>-1406.69</v>
      </c>
      <c r="R217" s="13">
        <v>59355.03</v>
      </c>
      <c r="S217" s="99">
        <f>SUM(F217:R217)</f>
        <v>207293.84</v>
      </c>
      <c r="T217" s="8">
        <v>214</v>
      </c>
    </row>
    <row r="218" spans="3:20" ht="15" x14ac:dyDescent="0.25">
      <c r="D218" s="8">
        <v>2999</v>
      </c>
      <c r="E218" s="8" t="s">
        <v>842</v>
      </c>
      <c r="F218" s="13">
        <v>7182809.1100000003</v>
      </c>
      <c r="G218" s="13">
        <v>660092.11</v>
      </c>
      <c r="H218" s="13">
        <v>719097.16</v>
      </c>
      <c r="I218" s="13">
        <v>848192.94</v>
      </c>
      <c r="J218" s="13">
        <v>1788587.69</v>
      </c>
      <c r="K218" s="13">
        <v>3584273.85</v>
      </c>
      <c r="L218" s="13">
        <v>905903.86</v>
      </c>
      <c r="M218" s="13">
        <v>1342635.43</v>
      </c>
      <c r="N218" s="13">
        <v>74162.350000000006</v>
      </c>
      <c r="O218" s="13">
        <v>415519.8</v>
      </c>
      <c r="P218" s="13">
        <v>2427345.87</v>
      </c>
      <c r="Q218" s="13">
        <v>1293629.3</v>
      </c>
      <c r="R218" s="13">
        <v>2054393.51</v>
      </c>
      <c r="S218" s="99">
        <f>SUM(F218:R218)</f>
        <v>23296642.980000004</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1575.55</v>
      </c>
      <c r="O221" s="13">
        <f>'Bourgeoisies Comptes 2022'!N156</f>
        <v>0</v>
      </c>
      <c r="P221" s="13">
        <f>'Bourgeoisies Comptes 2022'!O156</f>
        <v>0</v>
      </c>
      <c r="Q221" s="13">
        <f>'Bourgeoisies Comptes 2022'!P156</f>
        <v>0</v>
      </c>
      <c r="R221" s="13">
        <f>'Bourgeoisies Comptes 2022'!Q156</f>
        <v>0</v>
      </c>
      <c r="S221" s="13">
        <f>'Bourgeoisies Comptes 2022'!R156</f>
        <v>1575.55</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14703.52</v>
      </c>
      <c r="L222" s="13">
        <f t="shared" si="54"/>
        <v>18069.509999999998</v>
      </c>
      <c r="M222" s="13">
        <f t="shared" si="54"/>
        <v>5815.81</v>
      </c>
      <c r="N222" s="13">
        <f t="shared" si="54"/>
        <v>-1701.3</v>
      </c>
      <c r="O222" s="13">
        <f t="shared" si="54"/>
        <v>-7888.14</v>
      </c>
      <c r="P222" s="13">
        <f t="shared" si="54"/>
        <v>343.19</v>
      </c>
      <c r="Q222" s="13">
        <f t="shared" si="54"/>
        <v>-1406.69</v>
      </c>
      <c r="R222" s="13">
        <f t="shared" si="54"/>
        <v>59355.03</v>
      </c>
      <c r="S222" s="13">
        <f t="shared" si="54"/>
        <v>207293.84</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14703.52</v>
      </c>
      <c r="L224" s="88">
        <f t="shared" si="55"/>
        <v>18069.509999999998</v>
      </c>
      <c r="M224" s="88">
        <f t="shared" si="55"/>
        <v>5815.81</v>
      </c>
      <c r="N224" s="88">
        <f t="shared" si="55"/>
        <v>-125.75</v>
      </c>
      <c r="O224" s="88">
        <f t="shared" si="55"/>
        <v>-7888.14</v>
      </c>
      <c r="P224" s="88">
        <f t="shared" si="55"/>
        <v>343.19</v>
      </c>
      <c r="Q224" s="88">
        <f t="shared" si="55"/>
        <v>-1406.69</v>
      </c>
      <c r="R224" s="88">
        <f t="shared" si="55"/>
        <v>59355.03</v>
      </c>
      <c r="S224" s="88">
        <f t="shared" si="55"/>
        <v>208869.38999999998</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c r="E4" s="90" t="s">
        <v>743</v>
      </c>
    </row>
    <row r="5" spans="1:6" ht="15.75" thickBot="1" x14ac:dyDescent="0.3">
      <c r="A5" s="8" t="s">
        <v>734</v>
      </c>
      <c r="E5" s="96" t="s">
        <v>28</v>
      </c>
    </row>
    <row r="8" spans="1:6" ht="20.25" x14ac:dyDescent="0.3">
      <c r="A8" s="118">
        <v>1</v>
      </c>
      <c r="B8" s="118"/>
      <c r="C8" s="118"/>
      <c r="D8" s="118"/>
      <c r="E8" s="118" t="s">
        <v>238</v>
      </c>
      <c r="F8" s="132">
        <f>HLOOKUP($E$5,'Bourgeoisie bilan'!$F$4:$S$229,2,0)</f>
        <v>34492484.75</v>
      </c>
    </row>
    <row r="9" spans="1:6" ht="15" x14ac:dyDescent="0.25">
      <c r="A9" s="16"/>
      <c r="B9" s="120">
        <v>10</v>
      </c>
      <c r="C9" s="120"/>
      <c r="D9" s="120"/>
      <c r="E9" s="120" t="s">
        <v>239</v>
      </c>
      <c r="F9" s="121">
        <f>HLOOKUP($E$5,'Bourgeoisie bilan'!$F$4:$S$229,2,0)</f>
        <v>34492484.75</v>
      </c>
    </row>
    <row r="10" spans="1:6" ht="15" x14ac:dyDescent="0.25">
      <c r="A10" s="17"/>
      <c r="B10" s="17"/>
      <c r="C10" s="89">
        <v>100</v>
      </c>
      <c r="D10" s="89"/>
      <c r="E10" s="89" t="s">
        <v>240</v>
      </c>
      <c r="F10" s="111">
        <f>HLOOKUP($E$5,'Bourgeoisie bilan'!$F$4:$S$229,2,0)</f>
        <v>34492484.75</v>
      </c>
    </row>
    <row r="11" spans="1:6" x14ac:dyDescent="0.2">
      <c r="D11" s="8">
        <v>1000</v>
      </c>
      <c r="E11" s="8" t="s">
        <v>310</v>
      </c>
      <c r="F11" s="13">
        <f>HLOOKUP($E$5,'Bourgeoisie bilan'!$F$4:$S$229,5,0)</f>
        <v>1594.4</v>
      </c>
    </row>
    <row r="12" spans="1:6" x14ac:dyDescent="0.2">
      <c r="D12" s="8">
        <v>1001</v>
      </c>
      <c r="E12" s="8" t="s">
        <v>311</v>
      </c>
      <c r="F12" s="13">
        <f>HLOOKUP($E$5,'Bourgeoisie bilan'!$F$4:$S$229,6,0)</f>
        <v>10969.99</v>
      </c>
    </row>
    <row r="13" spans="1:6" x14ac:dyDescent="0.2">
      <c r="D13" s="8">
        <v>1002</v>
      </c>
      <c r="E13" s="8" t="s">
        <v>319</v>
      </c>
      <c r="F13" s="13">
        <f>HLOOKUP($E$5,'Bourgeoisie bilan'!$F$4:$S$229,7,0)</f>
        <v>1007544.66</v>
      </c>
    </row>
    <row r="14" spans="1:6" x14ac:dyDescent="0.2">
      <c r="D14" s="8">
        <v>1003</v>
      </c>
      <c r="E14" s="8" t="s">
        <v>312</v>
      </c>
      <c r="F14" s="13">
        <f>HLOOKUP($E$5,'Bourgeoisie bilan'!$F$4:$S$229,8,0)</f>
        <v>0</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4187583.85</v>
      </c>
    </row>
    <row r="19" spans="1:6" x14ac:dyDescent="0.2">
      <c r="D19" s="8">
        <v>1010</v>
      </c>
      <c r="E19" s="8" t="s">
        <v>315</v>
      </c>
      <c r="F19" s="13">
        <f>HLOOKUP($E$5,'Bourgeoisie bilan'!$F$4:$S$229,13,0)</f>
        <v>-10699.15</v>
      </c>
    </row>
    <row r="20" spans="1:6" x14ac:dyDescent="0.2">
      <c r="D20" s="8">
        <v>1011</v>
      </c>
      <c r="E20" s="8" t="s">
        <v>396</v>
      </c>
      <c r="F20" s="13">
        <f>HLOOKUP($E$5,'Bourgeoisie bilan'!$F$4:$S$229,14,0)</f>
        <v>4198283</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86907.65</v>
      </c>
    </row>
    <row r="35" spans="3:6" x14ac:dyDescent="0.2">
      <c r="D35" s="8">
        <v>1040</v>
      </c>
      <c r="E35" s="8" t="s">
        <v>61</v>
      </c>
      <c r="F35" s="13">
        <f>HLOOKUP($E$5,'Bourgeoisie bilan'!$F$4:$S$229,29,0)</f>
        <v>0</v>
      </c>
    </row>
    <row r="36" spans="3:6" x14ac:dyDescent="0.2">
      <c r="D36" s="8">
        <v>1041</v>
      </c>
      <c r="E36" s="8" t="s">
        <v>327</v>
      </c>
      <c r="F36" s="13">
        <f>HLOOKUP($E$5,'Bourgeoisie bilan'!$F$4:$S$229,30,0)</f>
        <v>44710.95</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42196.7</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5450</v>
      </c>
    </row>
    <row r="52" spans="3:6" x14ac:dyDescent="0.2">
      <c r="D52" s="8">
        <v>1070</v>
      </c>
      <c r="E52" s="8" t="s">
        <v>339</v>
      </c>
      <c r="F52" s="13">
        <f>HLOOKUP($E$5,'Bourgeoisie bilan'!$F$4:$S$229,46,0)</f>
        <v>5450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26926350</v>
      </c>
    </row>
    <row r="58" spans="3:6" x14ac:dyDescent="0.2">
      <c r="D58" s="8">
        <v>1080</v>
      </c>
      <c r="E58" s="8" t="s">
        <v>344</v>
      </c>
      <c r="F58" s="13">
        <f>HLOOKUP($E$5,'Bourgeoisie bilan'!$F$4:$S$229,52,0)</f>
        <v>21626550</v>
      </c>
    </row>
    <row r="59" spans="3:6" x14ac:dyDescent="0.2">
      <c r="D59" s="8">
        <v>1084</v>
      </c>
      <c r="E59" s="8" t="s">
        <v>345</v>
      </c>
      <c r="F59" s="13">
        <f>HLOOKUP($E$5,'Bourgeoisie bilan'!$F$4:$S$229,53,0)</f>
        <v>5299800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2266084.2000000002</v>
      </c>
    </row>
    <row r="72" spans="2:6" ht="15" x14ac:dyDescent="0.25">
      <c r="C72" s="89">
        <v>140</v>
      </c>
      <c r="D72" s="89"/>
      <c r="E72" s="89" t="s">
        <v>248</v>
      </c>
      <c r="F72" s="111">
        <f>HLOOKUP($E$5,'Bourgeoisie bilan'!$F$4:$S$229,66,0)</f>
        <v>2202081.2000000002</v>
      </c>
    </row>
    <row r="73" spans="2:6" x14ac:dyDescent="0.2">
      <c r="D73" s="8">
        <v>1400</v>
      </c>
      <c r="E73" s="8" t="s">
        <v>354</v>
      </c>
      <c r="F73" s="13">
        <f>HLOOKUP($E$5,'Bourgeoisie bilan'!$F$4:$S$229,67,0)</f>
        <v>764001</v>
      </c>
    </row>
    <row r="74" spans="2:6" x14ac:dyDescent="0.2">
      <c r="D74" s="8">
        <v>1401</v>
      </c>
      <c r="E74" s="8" t="s">
        <v>355</v>
      </c>
      <c r="F74" s="13">
        <f>HLOOKUP($E$5,'Bourgeoisie bilan'!$F$4:$S$229,68,0)</f>
        <v>1</v>
      </c>
    </row>
    <row r="75" spans="2:6" x14ac:dyDescent="0.2">
      <c r="D75" s="8">
        <v>1402</v>
      </c>
      <c r="E75" s="8" t="s">
        <v>356</v>
      </c>
      <c r="F75" s="13">
        <f>HLOOKUP($E$5,'Bourgeoisie bilan'!$F$4:$S$229,69,0)</f>
        <v>0</v>
      </c>
    </row>
    <row r="76" spans="2:6" x14ac:dyDescent="0.2">
      <c r="D76" s="8">
        <v>1403</v>
      </c>
      <c r="E76" s="8" t="s">
        <v>357</v>
      </c>
      <c r="F76" s="13">
        <f>HLOOKUP($E$5,'Bourgeoisie bilan'!$F$4:$S$229,70,0)</f>
        <v>0</v>
      </c>
    </row>
    <row r="77" spans="2:6" x14ac:dyDescent="0.2">
      <c r="D77" s="8">
        <v>1404</v>
      </c>
      <c r="E77" s="8" t="s">
        <v>358</v>
      </c>
      <c r="F77" s="13">
        <f>HLOOKUP($E$5,'Bourgeoisie bilan'!$F$4:$S$229,71,0)</f>
        <v>130569.2</v>
      </c>
    </row>
    <row r="78" spans="2:6" x14ac:dyDescent="0.2">
      <c r="D78" s="8">
        <v>1405</v>
      </c>
      <c r="E78" s="8" t="s">
        <v>359</v>
      </c>
      <c r="F78" s="13">
        <f>HLOOKUP($E$5,'Bourgeoisie bilan'!$F$4:$S$229,72,0)</f>
        <v>1307510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64003</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64003</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34492484.75</v>
      </c>
    </row>
    <row r="125" spans="1:6" ht="15" x14ac:dyDescent="0.25">
      <c r="A125" s="7"/>
      <c r="B125" s="125">
        <v>20</v>
      </c>
      <c r="C125" s="125"/>
      <c r="D125" s="125"/>
      <c r="E125" s="125" t="s">
        <v>251</v>
      </c>
      <c r="F125" s="126">
        <f>HLOOKUP($E$5,'Bourgeoisie bilan'!$F$4:$S$229,119,0)</f>
        <v>4280508.2</v>
      </c>
    </row>
    <row r="126" spans="1:6" ht="15" x14ac:dyDescent="0.25">
      <c r="C126" s="127">
        <v>200</v>
      </c>
      <c r="D126" s="127"/>
      <c r="E126" s="127" t="s">
        <v>252</v>
      </c>
      <c r="F126" s="128">
        <f>HLOOKUP($E$5,'Bourgeoisie bilan'!$F$4:$S$229,120,0)</f>
        <v>198893.15</v>
      </c>
    </row>
    <row r="127" spans="1:6" x14ac:dyDescent="0.2">
      <c r="D127" s="8">
        <v>2000</v>
      </c>
      <c r="E127" s="8" t="s">
        <v>395</v>
      </c>
      <c r="F127" s="13">
        <f>HLOOKUP($E$5,'Bourgeoisie bilan'!$F$4:$S$229,121,0)</f>
        <v>192656.65</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4136.5</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2100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318590.05</v>
      </c>
    </row>
    <row r="147" spans="3:6" x14ac:dyDescent="0.2">
      <c r="D147" s="8">
        <v>2040</v>
      </c>
      <c r="E147" s="8" t="s">
        <v>61</v>
      </c>
      <c r="F147" s="13">
        <f>HLOOKUP($E$5,'Bourgeoisie bilan'!$F$4:$S$229,141,0)</f>
        <v>8604.25</v>
      </c>
    </row>
    <row r="148" spans="3:6" x14ac:dyDescent="0.2">
      <c r="D148" s="8">
        <v>2041</v>
      </c>
      <c r="E148" s="8" t="s">
        <v>276</v>
      </c>
      <c r="F148" s="13">
        <f>HLOOKUP($E$5,'Bourgeoisie bilan'!$F$4:$S$229,142,0)</f>
        <v>0</v>
      </c>
    </row>
    <row r="149" spans="3:6" x14ac:dyDescent="0.2">
      <c r="D149" s="8">
        <v>2042</v>
      </c>
      <c r="E149" s="8" t="s">
        <v>328</v>
      </c>
      <c r="F149" s="13">
        <f>HLOOKUP($E$5,'Bourgeoisie bilan'!$F$4:$S$229,143,0)</f>
        <v>160000</v>
      </c>
    </row>
    <row r="150" spans="3:6" x14ac:dyDescent="0.2">
      <c r="D150" s="8">
        <v>2043</v>
      </c>
      <c r="E150" s="8" t="s">
        <v>329</v>
      </c>
      <c r="F150" s="13">
        <f>HLOOKUP($E$5,'Bourgeoisie bilan'!$F$4:$S$229,144,0)</f>
        <v>0</v>
      </c>
    </row>
    <row r="151" spans="3:6" x14ac:dyDescent="0.2">
      <c r="D151" s="8">
        <v>2044</v>
      </c>
      <c r="E151" s="8" t="s">
        <v>409</v>
      </c>
      <c r="F151" s="13">
        <f>HLOOKUP($E$5,'Bourgeoisie bilan'!$F$4:$S$229,145,0)</f>
        <v>0</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149985.79999999999</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3233025</v>
      </c>
    </row>
    <row r="169" spans="3:6" x14ac:dyDescent="0.2">
      <c r="D169" s="8">
        <v>2060</v>
      </c>
      <c r="E169" s="8" t="s">
        <v>422</v>
      </c>
      <c r="F169" s="13">
        <f>HLOOKUP($E$5,'Bourgeoisie bilan'!$F$4:$S$229,163,0)</f>
        <v>3233025</v>
      </c>
    </row>
    <row r="170" spans="3:6" x14ac:dyDescent="0.2">
      <c r="D170" s="8">
        <v>2062</v>
      </c>
      <c r="E170" s="8" t="s">
        <v>423</v>
      </c>
      <c r="F170" s="13">
        <f>HLOOKUP($E$5,'Bourgeoisie bilan'!$F$4:$S$229,164,0)</f>
        <v>0</v>
      </c>
    </row>
    <row r="171" spans="3:6" x14ac:dyDescent="0.2">
      <c r="D171" s="8">
        <v>2063</v>
      </c>
      <c r="E171" s="8" t="s">
        <v>424</v>
      </c>
      <c r="F171" s="13">
        <f>HLOOKUP($E$5,'Bourgeoisie bilan'!$F$4:$S$229,165,0)</f>
        <v>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530000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530000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0</v>
      </c>
    </row>
    <row r="188" spans="3:6" x14ac:dyDescent="0.2">
      <c r="D188" s="8">
        <v>2090</v>
      </c>
      <c r="E188" s="8" t="s">
        <v>258</v>
      </c>
      <c r="F188" s="13">
        <f>HLOOKUP($E$5,'Bourgeoisie bilan'!$F$4:$S$229,182,0)</f>
        <v>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30211976.550000001</v>
      </c>
    </row>
    <row r="194" spans="2:6" ht="15" x14ac:dyDescent="0.25">
      <c r="C194" s="127">
        <v>290</v>
      </c>
      <c r="D194" s="127"/>
      <c r="E194" s="127" t="s">
        <v>260</v>
      </c>
      <c r="F194" s="128">
        <f>HLOOKUP($E$5,'Bourgeoisie bilan'!$F$4:$S$229,188,0)</f>
        <v>3049410.18</v>
      </c>
    </row>
    <row r="195" spans="2:6" x14ac:dyDescent="0.2">
      <c r="D195" s="8">
        <v>2900</v>
      </c>
      <c r="E195" s="8" t="s">
        <v>260</v>
      </c>
      <c r="F195" s="13">
        <f>HLOOKUP($E$5,'Bourgeoisie bilan'!$F$4:$S$229,189,0)</f>
        <v>3049410.18</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10000</v>
      </c>
    </row>
    <row r="208" spans="2:6" x14ac:dyDescent="0.2">
      <c r="D208" s="8">
        <v>2940</v>
      </c>
      <c r="E208" s="8" t="s">
        <v>264</v>
      </c>
      <c r="F208" s="13">
        <f>HLOOKUP($E$5,'Bourgeoisie bilan'!$F$4:$S$229,202,0)</f>
        <v>10000</v>
      </c>
    </row>
    <row r="209" spans="3:6" x14ac:dyDescent="0.2">
      <c r="F209" s="13"/>
    </row>
    <row r="210" spans="3:6" ht="15" x14ac:dyDescent="0.25">
      <c r="C210" s="127">
        <v>295</v>
      </c>
      <c r="D210" s="127"/>
      <c r="E210" s="127" t="s">
        <v>265</v>
      </c>
      <c r="F210" s="128">
        <f>HLOOKUP($E$5,'Bourgeoisie bilan'!$F$4:$S$229,204,0)</f>
        <v>23553589</v>
      </c>
    </row>
    <row r="211" spans="3:6" x14ac:dyDescent="0.2">
      <c r="D211" s="8">
        <v>2950</v>
      </c>
      <c r="E211" s="8" t="s">
        <v>265</v>
      </c>
      <c r="F211" s="13">
        <f>HLOOKUP($E$5,'Bourgeoisie bilan'!$F$4:$S$229,205,0)</f>
        <v>23553589</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3598977.37</v>
      </c>
    </row>
    <row r="220" spans="3:6" x14ac:dyDescent="0.2">
      <c r="D220" s="8">
        <v>2990</v>
      </c>
      <c r="E220" s="8" t="s">
        <v>441</v>
      </c>
      <c r="F220" s="13">
        <f>HLOOKUP($E$5,'Bourgeoisie bilan'!$F$4:$S$229,214,0)</f>
        <v>14703.52</v>
      </c>
    </row>
    <row r="221" spans="3:6" x14ac:dyDescent="0.2">
      <c r="D221" s="8">
        <v>2999</v>
      </c>
      <c r="E221" s="8" t="s">
        <v>842</v>
      </c>
      <c r="F221" s="13">
        <f>HLOOKUP($E$5,'Bourgeoisie bilan'!$F$4:$S$229,215,0)</f>
        <v>3584273.85</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14703.52</v>
      </c>
    </row>
    <row r="226" spans="4:6" x14ac:dyDescent="0.2">
      <c r="F226" s="13"/>
    </row>
    <row r="227" spans="4:6" ht="15" x14ac:dyDescent="0.25">
      <c r="E227" s="7" t="s">
        <v>582</v>
      </c>
      <c r="F227" s="13">
        <f>HLOOKUP($E$5,'Bourgeoisie bilan'!$F$4:$S$229,221,0)</f>
        <v>14703.52</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pane xSplit="2" ySplit="7" topLeftCell="J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32226400.550000001</v>
      </c>
      <c r="I8" s="19">
        <f>'Bourgeoisie bilan'!L6</f>
        <v>481303.72000000003</v>
      </c>
      <c r="J8" s="19">
        <f>'Bourgeoisie bilan'!M6</f>
        <v>1788939.24</v>
      </c>
      <c r="K8" s="19">
        <f>'Bourgeoisie bilan'!N6</f>
        <v>87115.17</v>
      </c>
      <c r="L8" s="19">
        <f>'Bourgeoisie bilan'!O6</f>
        <v>306734.63</v>
      </c>
      <c r="M8" s="19">
        <f>'Bourgeoisie bilan'!P6</f>
        <v>1400029.81</v>
      </c>
      <c r="N8" s="19">
        <f>'Bourgeoisie bilan'!Q6</f>
        <v>899639.31</v>
      </c>
      <c r="O8" s="19">
        <f>'Bourgeoisie bilan'!R6</f>
        <v>1013324.9199999999</v>
      </c>
      <c r="P8" s="19">
        <f>SUM(C8:O8)</f>
        <v>48772491.610000014</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4280508.2</v>
      </c>
      <c r="I10" s="19">
        <f>'Bourgeoisie bilan'!L122</f>
        <v>152101.5</v>
      </c>
      <c r="J10" s="19">
        <f>'Bourgeoisie bilan'!M122</f>
        <v>49156.74</v>
      </c>
      <c r="K10" s="19">
        <f>'Bourgeoisie bilan'!N122</f>
        <v>14100</v>
      </c>
      <c r="L10" s="19">
        <f>'Bourgeoisie bilan'!O122</f>
        <v>0</v>
      </c>
      <c r="M10" s="19">
        <f>'Bourgeoisie bilan'!P122</f>
        <v>33530.800000000003</v>
      </c>
      <c r="N10" s="19">
        <f>'Bourgeoisie bilan'!Q122</f>
        <v>462811.83</v>
      </c>
      <c r="O10" s="19">
        <f>'Bourgeoisie bilan'!R122</f>
        <v>42233.35</v>
      </c>
      <c r="P10" s="19">
        <f>SUM(C10:O10)</f>
        <v>9171475.5200000014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198893.15</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348514.93</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3233025</v>
      </c>
      <c r="I16" s="19">
        <f>'Bourgeoisie bilan'!L165</f>
        <v>130500</v>
      </c>
      <c r="J16" s="19">
        <f>'Bourgeoisie bilan'!M165</f>
        <v>0</v>
      </c>
      <c r="K16" s="19">
        <f>'Bourgeoisie bilan'!N165</f>
        <v>14100</v>
      </c>
      <c r="L16" s="19">
        <f>'Bourgeoisie bilan'!O165</f>
        <v>0</v>
      </c>
      <c r="M16" s="19">
        <f>'Bourgeoisie bilan'!P165</f>
        <v>0</v>
      </c>
      <c r="N16" s="19">
        <f>'Bourgeoisie bilan'!Q165</f>
        <v>425740</v>
      </c>
      <c r="O16" s="19">
        <f>'Bourgeoisie bilan'!R165</f>
        <v>0</v>
      </c>
      <c r="P16" s="19">
        <f>SUM(C16:O16)</f>
        <v>7492922.5999999996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3431918.15</v>
      </c>
      <c r="I21" s="141">
        <f t="shared" si="0"/>
        <v>130500</v>
      </c>
      <c r="J21" s="141">
        <f t="shared" si="0"/>
        <v>0</v>
      </c>
      <c r="K21" s="141">
        <f t="shared" si="0"/>
        <v>14100</v>
      </c>
      <c r="L21" s="141">
        <f t="shared" si="0"/>
        <v>0</v>
      </c>
      <c r="M21" s="141">
        <f t="shared" si="0"/>
        <v>0</v>
      </c>
      <c r="N21" s="141">
        <f t="shared" si="0"/>
        <v>425717.33</v>
      </c>
      <c r="O21" s="141">
        <f t="shared" si="0"/>
        <v>33000</v>
      </c>
      <c r="P21" s="141">
        <f>SUM(C21:O21)</f>
        <v>7874437.5300000003</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-27945892.350000001</v>
      </c>
      <c r="I23" s="141">
        <f t="shared" si="1"/>
        <v>-329202.22000000003</v>
      </c>
      <c r="J23" s="141">
        <f t="shared" si="1"/>
        <v>-1739782.5</v>
      </c>
      <c r="K23" s="141">
        <f t="shared" si="1"/>
        <v>-73015.17</v>
      </c>
      <c r="L23" s="141">
        <f t="shared" si="1"/>
        <v>-306734.63</v>
      </c>
      <c r="M23" s="141">
        <f t="shared" si="1"/>
        <v>-1366499.01</v>
      </c>
      <c r="N23" s="141">
        <f t="shared" si="1"/>
        <v>-436827.48000000004</v>
      </c>
      <c r="O23" s="141">
        <f t="shared" si="1"/>
        <v>-971091.57</v>
      </c>
      <c r="P23" s="141">
        <f>SUM(C23:O23)</f>
        <v>-39601016.089999996</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I17"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90" t="s">
        <v>743</v>
      </c>
    </row>
    <row r="5" spans="1:3" ht="15" customHeight="1" thickBot="1" x14ac:dyDescent="0.45">
      <c r="A5" s="6"/>
      <c r="B5" s="143" t="s">
        <v>28</v>
      </c>
    </row>
    <row r="6" spans="1:3" ht="15" customHeight="1" x14ac:dyDescent="0.25">
      <c r="C6" s="33"/>
    </row>
    <row r="7" spans="1:3" ht="15" customHeight="1" x14ac:dyDescent="0.25">
      <c r="C7" s="144" t="s">
        <v>201</v>
      </c>
    </row>
    <row r="8" spans="1:3" x14ac:dyDescent="0.2">
      <c r="A8" s="8">
        <v>10</v>
      </c>
      <c r="B8" s="8" t="s">
        <v>239</v>
      </c>
      <c r="C8" s="13">
        <f>HLOOKUP($B$5,'Bourgeoisie endettement'!$C$7:$P$23,2,0)</f>
        <v>32226400.550000001</v>
      </c>
    </row>
    <row r="9" spans="1:3" x14ac:dyDescent="0.2">
      <c r="C9" s="13"/>
    </row>
    <row r="10" spans="1:3" x14ac:dyDescent="0.2">
      <c r="A10" s="8">
        <v>20</v>
      </c>
      <c r="B10" s="8" t="s">
        <v>251</v>
      </c>
      <c r="C10" s="13">
        <f>HLOOKUP($B$5,'Bourgeoisie endettement'!$C$7:$P$23,4,0)</f>
        <v>4280508.2</v>
      </c>
    </row>
    <row r="11" spans="1:3" x14ac:dyDescent="0.2">
      <c r="C11" s="13"/>
    </row>
    <row r="12" spans="1:3" x14ac:dyDescent="0.2">
      <c r="A12" s="8">
        <v>200</v>
      </c>
      <c r="B12" s="8" t="s">
        <v>448</v>
      </c>
      <c r="C12" s="13">
        <f>HLOOKUP($B$5,'Bourgeoisie endettement'!$C$7:$P$23,6,0)</f>
        <v>198893.15</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3233025</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3431918.15</v>
      </c>
    </row>
    <row r="22" spans="1:3" ht="15" x14ac:dyDescent="0.25">
      <c r="B22" s="7"/>
      <c r="C22" s="88"/>
    </row>
    <row r="23" spans="1:3" ht="15" x14ac:dyDescent="0.25">
      <c r="B23" s="140" t="s">
        <v>495</v>
      </c>
      <c r="C23" s="142">
        <f>HLOOKUP($B$5,'Bourgeoisie endettement'!$C$7:$P$23,17,0)</f>
        <v>-27945892.350000001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J17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101840</v>
      </c>
      <c r="K5" s="142">
        <f t="shared" si="0"/>
        <v>0</v>
      </c>
      <c r="L5" s="142">
        <f t="shared" si="0"/>
        <v>0</v>
      </c>
      <c r="M5" s="142">
        <f t="shared" si="0"/>
        <v>0</v>
      </c>
      <c r="N5" s="142">
        <f t="shared" si="0"/>
        <v>0</v>
      </c>
      <c r="O5" s="142">
        <f t="shared" si="0"/>
        <v>0</v>
      </c>
      <c r="P5" s="142">
        <f t="shared" si="0"/>
        <v>0</v>
      </c>
      <c r="Q5" s="142">
        <f t="shared" si="0"/>
        <v>0</v>
      </c>
      <c r="R5" s="142">
        <f t="shared" si="0"/>
        <v>304148.75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101840</v>
      </c>
      <c r="K6" s="111">
        <f t="shared" si="1"/>
        <v>0</v>
      </c>
      <c r="L6" s="111">
        <f t="shared" si="1"/>
        <v>0</v>
      </c>
      <c r="M6" s="111">
        <f t="shared" si="1"/>
        <v>0</v>
      </c>
      <c r="N6" s="111">
        <f t="shared" si="1"/>
        <v>0</v>
      </c>
      <c r="O6" s="111">
        <f t="shared" si="1"/>
        <v>0</v>
      </c>
      <c r="P6" s="111">
        <f t="shared" si="1"/>
        <v>0</v>
      </c>
      <c r="Q6" s="111">
        <f t="shared" si="1"/>
        <v>0</v>
      </c>
      <c r="R6" s="111">
        <f t="shared" si="1"/>
        <v>304148.75</v>
      </c>
    </row>
    <row r="7" spans="1:19" x14ac:dyDescent="0.2">
      <c r="C7" s="8">
        <v>500</v>
      </c>
      <c r="D7" s="8" t="s">
        <v>453</v>
      </c>
      <c r="E7" s="13">
        <v>0</v>
      </c>
      <c r="F7" s="13">
        <v>0</v>
      </c>
      <c r="G7" s="13">
        <v>0</v>
      </c>
      <c r="H7" s="13">
        <v>0</v>
      </c>
      <c r="I7" s="13">
        <v>0</v>
      </c>
      <c r="J7" s="13">
        <v>0</v>
      </c>
      <c r="K7" s="13">
        <v>0</v>
      </c>
      <c r="L7" s="13">
        <v>0</v>
      </c>
      <c r="M7" s="13">
        <v>0</v>
      </c>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v>0</v>
      </c>
      <c r="K8" s="13">
        <v>0</v>
      </c>
      <c r="L8" s="13">
        <v>0</v>
      </c>
      <c r="M8" s="13">
        <v>0</v>
      </c>
      <c r="N8" s="13">
        <v>0</v>
      </c>
      <c r="O8" s="13">
        <v>0</v>
      </c>
      <c r="P8" s="13">
        <v>0</v>
      </c>
      <c r="Q8" s="13">
        <v>0</v>
      </c>
      <c r="R8" s="13">
        <f t="shared" si="2"/>
        <v>0</v>
      </c>
      <c r="S8" s="8">
        <v>5</v>
      </c>
    </row>
    <row r="9" spans="1:19" x14ac:dyDescent="0.2">
      <c r="C9" s="8">
        <v>502</v>
      </c>
      <c r="D9" s="8" t="s">
        <v>455</v>
      </c>
      <c r="E9" s="13">
        <v>0</v>
      </c>
      <c r="F9" s="13">
        <v>0</v>
      </c>
      <c r="G9" s="13">
        <v>0</v>
      </c>
      <c r="H9" s="13">
        <v>0</v>
      </c>
      <c r="I9" s="13">
        <v>0</v>
      </c>
      <c r="J9" s="13">
        <v>0</v>
      </c>
      <c r="K9" s="13">
        <v>0</v>
      </c>
      <c r="L9" s="13">
        <v>0</v>
      </c>
      <c r="M9" s="13">
        <v>0</v>
      </c>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v>0</v>
      </c>
      <c r="K10" s="13">
        <v>0</v>
      </c>
      <c r="L10" s="13">
        <v>0</v>
      </c>
      <c r="M10" s="13">
        <v>0</v>
      </c>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v>101840</v>
      </c>
      <c r="K11" s="13">
        <v>0</v>
      </c>
      <c r="L11" s="13">
        <v>0</v>
      </c>
      <c r="M11" s="13">
        <v>0</v>
      </c>
      <c r="N11" s="13">
        <v>0</v>
      </c>
      <c r="O11" s="13">
        <v>0</v>
      </c>
      <c r="P11" s="13">
        <v>0</v>
      </c>
      <c r="Q11" s="13">
        <v>0</v>
      </c>
      <c r="R11" s="13">
        <f t="shared" si="2"/>
        <v>101840</v>
      </c>
      <c r="S11" s="8">
        <v>8</v>
      </c>
    </row>
    <row r="12" spans="1:19" x14ac:dyDescent="0.2">
      <c r="C12" s="8">
        <v>505</v>
      </c>
      <c r="D12" s="8" t="s">
        <v>458</v>
      </c>
      <c r="E12" s="13">
        <v>26534.799999999999</v>
      </c>
      <c r="F12" s="13">
        <v>0</v>
      </c>
      <c r="G12" s="13">
        <v>0</v>
      </c>
      <c r="H12" s="13">
        <v>0</v>
      </c>
      <c r="I12" s="13">
        <v>0</v>
      </c>
      <c r="J12" s="13">
        <v>0</v>
      </c>
      <c r="K12" s="13">
        <v>0</v>
      </c>
      <c r="L12" s="13">
        <v>0</v>
      </c>
      <c r="M12" s="13">
        <v>0</v>
      </c>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v>0</v>
      </c>
      <c r="K13" s="13">
        <v>0</v>
      </c>
      <c r="L13" s="13">
        <v>0</v>
      </c>
      <c r="M13" s="13">
        <v>0</v>
      </c>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v>0</v>
      </c>
      <c r="K14" s="13">
        <v>0</v>
      </c>
      <c r="L14" s="13">
        <v>0</v>
      </c>
      <c r="M14" s="13">
        <v>0</v>
      </c>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v>0</v>
      </c>
      <c r="K17" s="13">
        <v>0</v>
      </c>
      <c r="L17" s="13">
        <v>0</v>
      </c>
      <c r="M17" s="13">
        <v>0</v>
      </c>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v>0</v>
      </c>
      <c r="K18" s="13">
        <v>0</v>
      </c>
      <c r="L18" s="13">
        <v>0</v>
      </c>
      <c r="M18" s="13">
        <v>0</v>
      </c>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v>0</v>
      </c>
      <c r="K19" s="13">
        <v>0</v>
      </c>
      <c r="L19" s="13">
        <v>0</v>
      </c>
      <c r="M19" s="13">
        <v>0</v>
      </c>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v>0</v>
      </c>
      <c r="K20" s="13">
        <v>0</v>
      </c>
      <c r="L20" s="13">
        <v>0</v>
      </c>
      <c r="M20" s="13">
        <v>0</v>
      </c>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v>0</v>
      </c>
      <c r="K21" s="13">
        <v>0</v>
      </c>
      <c r="L21" s="13">
        <v>0</v>
      </c>
      <c r="M21" s="13">
        <v>0</v>
      </c>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v>0</v>
      </c>
      <c r="K22" s="13">
        <v>0</v>
      </c>
      <c r="L22" s="13">
        <v>0</v>
      </c>
      <c r="M22" s="13">
        <v>0</v>
      </c>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v>0</v>
      </c>
      <c r="K23" s="13">
        <v>0</v>
      </c>
      <c r="L23" s="13">
        <v>0</v>
      </c>
      <c r="M23" s="13">
        <v>0</v>
      </c>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v>0</v>
      </c>
      <c r="K24" s="13">
        <v>0</v>
      </c>
      <c r="L24" s="13">
        <v>0</v>
      </c>
      <c r="M24" s="13">
        <v>0</v>
      </c>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v>0</v>
      </c>
      <c r="K27" s="13">
        <v>0</v>
      </c>
      <c r="L27" s="13">
        <v>0</v>
      </c>
      <c r="M27" s="13">
        <v>0</v>
      </c>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v>0</v>
      </c>
      <c r="K28" s="13">
        <v>0</v>
      </c>
      <c r="L28" s="13">
        <v>0</v>
      </c>
      <c r="M28" s="13">
        <v>0</v>
      </c>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v>0</v>
      </c>
      <c r="K29" s="13">
        <v>0</v>
      </c>
      <c r="L29" s="13">
        <v>0</v>
      </c>
      <c r="M29" s="13">
        <v>0</v>
      </c>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v>0</v>
      </c>
      <c r="K32" s="13">
        <v>0</v>
      </c>
      <c r="L32" s="13">
        <v>0</v>
      </c>
      <c r="M32" s="13">
        <v>0</v>
      </c>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v>0</v>
      </c>
      <c r="K33" s="13">
        <v>0</v>
      </c>
      <c r="L33" s="13">
        <v>0</v>
      </c>
      <c r="M33" s="13">
        <v>0</v>
      </c>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v>0</v>
      </c>
      <c r="K34" s="13">
        <v>0</v>
      </c>
      <c r="L34" s="13">
        <v>0</v>
      </c>
      <c r="M34" s="13">
        <v>0</v>
      </c>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v>0</v>
      </c>
      <c r="K35" s="13">
        <v>0</v>
      </c>
      <c r="L35" s="13">
        <v>0</v>
      </c>
      <c r="M35" s="13">
        <v>0</v>
      </c>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v>0</v>
      </c>
      <c r="K36" s="13">
        <v>0</v>
      </c>
      <c r="L36" s="13">
        <v>0</v>
      </c>
      <c r="M36" s="13">
        <v>0</v>
      </c>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v>0</v>
      </c>
      <c r="K37" s="13">
        <v>0</v>
      </c>
      <c r="L37" s="13">
        <v>0</v>
      </c>
      <c r="M37" s="13">
        <v>0</v>
      </c>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v>0</v>
      </c>
      <c r="K38" s="13">
        <v>0</v>
      </c>
      <c r="L38" s="13">
        <v>0</v>
      </c>
      <c r="M38" s="13">
        <v>0</v>
      </c>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v>0</v>
      </c>
      <c r="K39" s="13">
        <v>0</v>
      </c>
      <c r="L39" s="13">
        <v>0</v>
      </c>
      <c r="M39" s="13">
        <v>0</v>
      </c>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v>0</v>
      </c>
      <c r="K40" s="13">
        <v>0</v>
      </c>
      <c r="L40" s="13">
        <v>0</v>
      </c>
      <c r="M40" s="13">
        <v>0</v>
      </c>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v>0</v>
      </c>
      <c r="K43" s="13">
        <v>0</v>
      </c>
      <c r="L43" s="13">
        <v>0</v>
      </c>
      <c r="M43" s="13">
        <v>0</v>
      </c>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v>0</v>
      </c>
      <c r="K44" s="13">
        <v>0</v>
      </c>
      <c r="L44" s="13">
        <v>0</v>
      </c>
      <c r="M44" s="13">
        <v>0</v>
      </c>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v>0</v>
      </c>
      <c r="K45" s="13">
        <v>0</v>
      </c>
      <c r="L45" s="13">
        <v>0</v>
      </c>
      <c r="M45" s="13">
        <v>0</v>
      </c>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v>0</v>
      </c>
      <c r="K46" s="13">
        <v>0</v>
      </c>
      <c r="L46" s="13">
        <v>0</v>
      </c>
      <c r="M46" s="13">
        <v>0</v>
      </c>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v>0</v>
      </c>
      <c r="K47" s="13">
        <v>0</v>
      </c>
      <c r="L47" s="13">
        <v>0</v>
      </c>
      <c r="M47" s="13">
        <v>0</v>
      </c>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v>0</v>
      </c>
      <c r="K48" s="13">
        <v>0</v>
      </c>
      <c r="L48" s="13">
        <v>0</v>
      </c>
      <c r="M48" s="13">
        <v>0</v>
      </c>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v>0</v>
      </c>
      <c r="K49" s="13">
        <v>0</v>
      </c>
      <c r="L49" s="13">
        <v>0</v>
      </c>
      <c r="M49" s="13">
        <v>0</v>
      </c>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v>0</v>
      </c>
      <c r="K50" s="13">
        <v>0</v>
      </c>
      <c r="L50" s="13">
        <v>0</v>
      </c>
      <c r="M50" s="13">
        <v>0</v>
      </c>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v>0</v>
      </c>
      <c r="K51" s="13">
        <v>0</v>
      </c>
      <c r="L51" s="13">
        <v>0</v>
      </c>
      <c r="M51" s="13">
        <v>0</v>
      </c>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v>0</v>
      </c>
      <c r="K54" s="13">
        <v>0</v>
      </c>
      <c r="L54" s="13">
        <v>0</v>
      </c>
      <c r="M54" s="13">
        <v>0</v>
      </c>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v>0</v>
      </c>
      <c r="K55" s="13">
        <v>0</v>
      </c>
      <c r="L55" s="13">
        <v>0</v>
      </c>
      <c r="M55" s="13">
        <v>0</v>
      </c>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v>0</v>
      </c>
      <c r="K56" s="13">
        <v>0</v>
      </c>
      <c r="L56" s="13">
        <v>0</v>
      </c>
      <c r="M56" s="13">
        <v>0</v>
      </c>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v>0</v>
      </c>
      <c r="K57" s="13">
        <v>0</v>
      </c>
      <c r="L57" s="13">
        <v>0</v>
      </c>
      <c r="M57" s="13">
        <v>0</v>
      </c>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v>0</v>
      </c>
      <c r="K58" s="13">
        <v>0</v>
      </c>
      <c r="L58" s="13">
        <v>0</v>
      </c>
      <c r="M58" s="13">
        <v>0</v>
      </c>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v>0</v>
      </c>
      <c r="K59" s="13">
        <v>0</v>
      </c>
      <c r="L59" s="13">
        <v>0</v>
      </c>
      <c r="M59" s="13">
        <v>0</v>
      </c>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v>0</v>
      </c>
      <c r="K60" s="13">
        <v>0</v>
      </c>
      <c r="L60" s="13">
        <v>0</v>
      </c>
      <c r="M60" s="13">
        <v>0</v>
      </c>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v>0</v>
      </c>
      <c r="K61" s="13">
        <v>0</v>
      </c>
      <c r="L61" s="13">
        <v>0</v>
      </c>
      <c r="M61" s="13">
        <v>0</v>
      </c>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v>0</v>
      </c>
      <c r="K62" s="13">
        <v>0</v>
      </c>
      <c r="L62" s="13">
        <v>0</v>
      </c>
      <c r="M62" s="13">
        <v>0</v>
      </c>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v>0</v>
      </c>
      <c r="K65" s="13">
        <v>0</v>
      </c>
      <c r="L65" s="13">
        <v>0</v>
      </c>
      <c r="M65" s="13">
        <v>0</v>
      </c>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v>0</v>
      </c>
      <c r="K66" s="13">
        <v>0</v>
      </c>
      <c r="L66" s="13">
        <v>0</v>
      </c>
      <c r="M66" s="13">
        <v>0</v>
      </c>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v>0</v>
      </c>
      <c r="K67" s="13">
        <v>0</v>
      </c>
      <c r="L67" s="13">
        <v>0</v>
      </c>
      <c r="M67" s="13">
        <v>0</v>
      </c>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v>0</v>
      </c>
      <c r="K68" s="13">
        <v>0</v>
      </c>
      <c r="L68" s="13">
        <v>0</v>
      </c>
      <c r="M68" s="13">
        <v>0</v>
      </c>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v>0</v>
      </c>
      <c r="K69" s="13">
        <v>0</v>
      </c>
      <c r="L69" s="13">
        <v>0</v>
      </c>
      <c r="M69" s="13">
        <v>0</v>
      </c>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v>0</v>
      </c>
      <c r="K70" s="13">
        <v>0</v>
      </c>
      <c r="L70" s="13">
        <v>0</v>
      </c>
      <c r="M70" s="13">
        <v>0</v>
      </c>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v>0</v>
      </c>
      <c r="K71" s="13">
        <v>0</v>
      </c>
      <c r="L71" s="13">
        <v>0</v>
      </c>
      <c r="M71" s="13">
        <v>0</v>
      </c>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v>0</v>
      </c>
      <c r="K72" s="13">
        <v>0</v>
      </c>
      <c r="L72" s="13">
        <v>0</v>
      </c>
      <c r="M72" s="13">
        <v>0</v>
      </c>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v>0</v>
      </c>
      <c r="K73" s="13">
        <v>0</v>
      </c>
      <c r="L73" s="13">
        <v>0</v>
      </c>
      <c r="M73" s="13">
        <v>0</v>
      </c>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v>0</v>
      </c>
      <c r="K76" s="13">
        <v>0</v>
      </c>
      <c r="L76" s="13">
        <v>0</v>
      </c>
      <c r="M76" s="13">
        <v>0</v>
      </c>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v>0</v>
      </c>
      <c r="K77" s="13">
        <v>0</v>
      </c>
      <c r="L77" s="13">
        <v>0</v>
      </c>
      <c r="M77" s="13">
        <v>0</v>
      </c>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v>0</v>
      </c>
      <c r="K78" s="13">
        <v>0</v>
      </c>
      <c r="L78" s="13">
        <v>0</v>
      </c>
      <c r="M78" s="13">
        <v>0</v>
      </c>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v>0</v>
      </c>
      <c r="K79" s="13">
        <v>0</v>
      </c>
      <c r="L79" s="13">
        <v>0</v>
      </c>
      <c r="M79" s="13">
        <v>0</v>
      </c>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v>0</v>
      </c>
      <c r="K80" s="13">
        <v>0</v>
      </c>
      <c r="L80" s="13">
        <v>0</v>
      </c>
      <c r="M80" s="13">
        <v>0</v>
      </c>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v>0</v>
      </c>
      <c r="K81" s="13">
        <v>0</v>
      </c>
      <c r="L81" s="13">
        <v>0</v>
      </c>
      <c r="M81" s="13">
        <v>0</v>
      </c>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56532.35</v>
      </c>
      <c r="K83" s="111">
        <f t="shared" si="16"/>
        <v>0</v>
      </c>
      <c r="L83" s="111">
        <f t="shared" si="16"/>
        <v>0</v>
      </c>
      <c r="M83" s="111">
        <f t="shared" si="16"/>
        <v>0</v>
      </c>
      <c r="N83" s="111">
        <f t="shared" si="16"/>
        <v>0</v>
      </c>
      <c r="O83" s="111">
        <f t="shared" si="16"/>
        <v>0</v>
      </c>
      <c r="P83" s="111">
        <f t="shared" si="16"/>
        <v>0</v>
      </c>
      <c r="Q83" s="111">
        <f t="shared" si="16"/>
        <v>0</v>
      </c>
      <c r="R83" s="111">
        <f t="shared" si="16"/>
        <v>124042.20000000001</v>
      </c>
      <c r="S83" s="8">
        <v>80</v>
      </c>
    </row>
    <row r="84" spans="1:19" x14ac:dyDescent="0.2">
      <c r="C84" s="8">
        <v>590</v>
      </c>
      <c r="D84" s="8" t="s">
        <v>477</v>
      </c>
      <c r="E84" s="13">
        <v>0</v>
      </c>
      <c r="F84" s="13">
        <v>0</v>
      </c>
      <c r="G84" s="13">
        <v>0</v>
      </c>
      <c r="H84" s="13">
        <v>0</v>
      </c>
      <c r="I84" s="13">
        <v>67509.850000000006</v>
      </c>
      <c r="J84" s="13">
        <v>56532.35</v>
      </c>
      <c r="K84" s="13">
        <v>0</v>
      </c>
      <c r="L84" s="13">
        <v>0</v>
      </c>
      <c r="M84" s="13">
        <v>0</v>
      </c>
      <c r="N84" s="13">
        <v>0</v>
      </c>
      <c r="O84" s="13">
        <v>0</v>
      </c>
      <c r="P84" s="13">
        <v>0</v>
      </c>
      <c r="Q84" s="13">
        <v>0</v>
      </c>
      <c r="R84" s="13">
        <f>SUM(E84:Q84)</f>
        <v>124042.20000000001</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56532.35</v>
      </c>
      <c r="K88" s="80">
        <f t="shared" si="17"/>
        <v>0</v>
      </c>
      <c r="L88" s="80">
        <f t="shared" si="17"/>
        <v>0</v>
      </c>
      <c r="M88" s="80">
        <f t="shared" si="17"/>
        <v>0</v>
      </c>
      <c r="N88" s="80">
        <f t="shared" si="17"/>
        <v>0</v>
      </c>
      <c r="O88" s="80">
        <f t="shared" si="17"/>
        <v>0</v>
      </c>
      <c r="P88" s="80">
        <f t="shared" si="17"/>
        <v>0</v>
      </c>
      <c r="Q88" s="80">
        <f t="shared" si="17"/>
        <v>0</v>
      </c>
      <c r="R88" s="80">
        <f t="shared" si="17"/>
        <v>124042.20000000001</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56532.35</v>
      </c>
      <c r="K89" s="148">
        <f t="shared" si="18"/>
        <v>0</v>
      </c>
      <c r="L89" s="148">
        <f t="shared" si="18"/>
        <v>0</v>
      </c>
      <c r="M89" s="148">
        <f t="shared" si="18"/>
        <v>0</v>
      </c>
      <c r="N89" s="148">
        <f t="shared" si="18"/>
        <v>0</v>
      </c>
      <c r="O89" s="148">
        <f t="shared" si="18"/>
        <v>0</v>
      </c>
      <c r="P89" s="148">
        <f t="shared" si="18"/>
        <v>0</v>
      </c>
      <c r="Q89" s="148">
        <f t="shared" si="18"/>
        <v>0</v>
      </c>
      <c r="R89" s="148">
        <f t="shared" si="18"/>
        <v>56532.35</v>
      </c>
      <c r="S89" s="8">
        <v>86</v>
      </c>
    </row>
    <row r="90" spans="1:19" x14ac:dyDescent="0.2">
      <c r="C90" s="8">
        <v>600</v>
      </c>
      <c r="D90" s="8" t="s">
        <v>453</v>
      </c>
      <c r="E90" s="13">
        <v>0</v>
      </c>
      <c r="F90" s="13">
        <v>0</v>
      </c>
      <c r="G90" s="13">
        <v>0</v>
      </c>
      <c r="H90" s="13">
        <v>0</v>
      </c>
      <c r="I90" s="13">
        <v>0</v>
      </c>
      <c r="J90" s="13">
        <v>0</v>
      </c>
      <c r="K90" s="13">
        <v>0</v>
      </c>
      <c r="L90" s="13">
        <v>0</v>
      </c>
      <c r="M90" s="13">
        <v>0</v>
      </c>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v>0</v>
      </c>
      <c r="K91" s="13">
        <v>0</v>
      </c>
      <c r="L91" s="13">
        <v>0</v>
      </c>
      <c r="M91" s="13">
        <v>0</v>
      </c>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v>0</v>
      </c>
      <c r="K92" s="13">
        <v>0</v>
      </c>
      <c r="L92" s="13">
        <v>0</v>
      </c>
      <c r="M92" s="13">
        <v>0</v>
      </c>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v>0</v>
      </c>
      <c r="K93" s="13">
        <v>0</v>
      </c>
      <c r="L93" s="13">
        <v>0</v>
      </c>
      <c r="M93" s="13">
        <v>0</v>
      </c>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v>56532.35</v>
      </c>
      <c r="K94" s="13">
        <v>0</v>
      </c>
      <c r="L94" s="13">
        <v>0</v>
      </c>
      <c r="M94" s="13">
        <v>0</v>
      </c>
      <c r="N94" s="13">
        <v>0</v>
      </c>
      <c r="O94" s="13">
        <v>0</v>
      </c>
      <c r="P94" s="13">
        <v>0</v>
      </c>
      <c r="Q94" s="13">
        <v>0</v>
      </c>
      <c r="R94" s="13">
        <f t="shared" si="19"/>
        <v>56532.35</v>
      </c>
      <c r="S94" s="69">
        <v>91</v>
      </c>
    </row>
    <row r="95" spans="1:19" x14ac:dyDescent="0.2">
      <c r="C95" s="8">
        <v>605</v>
      </c>
      <c r="D95" s="8" t="s">
        <v>458</v>
      </c>
      <c r="E95" s="13">
        <v>0</v>
      </c>
      <c r="F95" s="13">
        <v>0</v>
      </c>
      <c r="G95" s="13">
        <v>0</v>
      </c>
      <c r="H95" s="13">
        <v>0</v>
      </c>
      <c r="I95" s="13">
        <v>0</v>
      </c>
      <c r="J95" s="13">
        <v>0</v>
      </c>
      <c r="K95" s="13">
        <v>0</v>
      </c>
      <c r="L95" s="13">
        <v>0</v>
      </c>
      <c r="M95" s="13">
        <v>0</v>
      </c>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v>0</v>
      </c>
      <c r="K96" s="13">
        <v>0</v>
      </c>
      <c r="L96" s="13">
        <v>0</v>
      </c>
      <c r="M96" s="13">
        <v>0</v>
      </c>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v>0</v>
      </c>
      <c r="K97" s="13">
        <v>0</v>
      </c>
      <c r="L97" s="13">
        <v>0</v>
      </c>
      <c r="M97" s="13">
        <v>0</v>
      </c>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v>0</v>
      </c>
      <c r="K100" s="13">
        <v>0</v>
      </c>
      <c r="L100" s="13">
        <v>0</v>
      </c>
      <c r="M100" s="13">
        <v>0</v>
      </c>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v>0</v>
      </c>
      <c r="K101" s="13">
        <v>0</v>
      </c>
      <c r="L101" s="13">
        <v>0</v>
      </c>
      <c r="M101" s="13">
        <v>0</v>
      </c>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v>0</v>
      </c>
      <c r="K102" s="13">
        <v>0</v>
      </c>
      <c r="L102" s="13">
        <v>0</v>
      </c>
      <c r="M102" s="13">
        <v>0</v>
      </c>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v>0</v>
      </c>
      <c r="K103" s="13">
        <v>0</v>
      </c>
      <c r="L103" s="13">
        <v>0</v>
      </c>
      <c r="M103" s="13">
        <v>0</v>
      </c>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v>0</v>
      </c>
      <c r="K104" s="13">
        <v>0</v>
      </c>
      <c r="L104" s="13">
        <v>0</v>
      </c>
      <c r="M104" s="13">
        <v>0</v>
      </c>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v>0</v>
      </c>
      <c r="K105" s="13">
        <v>0</v>
      </c>
      <c r="L105" s="13">
        <v>0</v>
      </c>
      <c r="M105" s="13">
        <v>0</v>
      </c>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v>0</v>
      </c>
      <c r="K106" s="13">
        <v>0</v>
      </c>
      <c r="L106" s="13">
        <v>0</v>
      </c>
      <c r="M106" s="13">
        <v>0</v>
      </c>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v>0</v>
      </c>
      <c r="K107" s="13">
        <v>0</v>
      </c>
      <c r="L107" s="13">
        <v>0</v>
      </c>
      <c r="M107" s="13">
        <v>0</v>
      </c>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v>0</v>
      </c>
      <c r="K110" s="13">
        <v>0</v>
      </c>
      <c r="L110" s="13">
        <v>0</v>
      </c>
      <c r="M110" s="13">
        <v>0</v>
      </c>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v>0</v>
      </c>
      <c r="K111" s="13">
        <v>0</v>
      </c>
      <c r="L111" s="13">
        <v>0</v>
      </c>
      <c r="M111" s="13">
        <v>0</v>
      </c>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v>0</v>
      </c>
      <c r="K112" s="13">
        <v>0</v>
      </c>
      <c r="L112" s="13">
        <v>0</v>
      </c>
      <c r="M112" s="13">
        <v>0</v>
      </c>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v>0</v>
      </c>
      <c r="K115" s="13">
        <v>0</v>
      </c>
      <c r="L115" s="13">
        <v>0</v>
      </c>
      <c r="M115" s="13">
        <v>0</v>
      </c>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v>0</v>
      </c>
      <c r="K116" s="13">
        <v>0</v>
      </c>
      <c r="L116" s="13">
        <v>0</v>
      </c>
      <c r="M116" s="13">
        <v>0</v>
      </c>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v>0</v>
      </c>
      <c r="K117" s="13">
        <v>0</v>
      </c>
      <c r="L117" s="13">
        <v>0</v>
      </c>
      <c r="M117" s="13">
        <v>0</v>
      </c>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v>0</v>
      </c>
      <c r="K118" s="13">
        <v>0</v>
      </c>
      <c r="L118" s="13">
        <v>0</v>
      </c>
      <c r="M118" s="13">
        <v>0</v>
      </c>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v>0</v>
      </c>
      <c r="K119" s="13">
        <v>0</v>
      </c>
      <c r="L119" s="13">
        <v>0</v>
      </c>
      <c r="M119" s="13">
        <v>0</v>
      </c>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v>0</v>
      </c>
      <c r="K120" s="13">
        <v>0</v>
      </c>
      <c r="L120" s="13">
        <v>0</v>
      </c>
      <c r="M120" s="13">
        <v>0</v>
      </c>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v>0</v>
      </c>
      <c r="K121" s="13">
        <v>0</v>
      </c>
      <c r="L121" s="13">
        <v>0</v>
      </c>
      <c r="M121" s="13">
        <v>0</v>
      </c>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v>0</v>
      </c>
      <c r="K122" s="13">
        <v>0</v>
      </c>
      <c r="L122" s="13">
        <v>0</v>
      </c>
      <c r="M122" s="13">
        <v>0</v>
      </c>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v>0</v>
      </c>
      <c r="K123" s="13">
        <v>0</v>
      </c>
      <c r="L123" s="13">
        <v>0</v>
      </c>
      <c r="M123" s="13">
        <v>0</v>
      </c>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v>0</v>
      </c>
      <c r="K126" s="13">
        <v>0</v>
      </c>
      <c r="L126" s="13">
        <v>0</v>
      </c>
      <c r="M126" s="13">
        <v>0</v>
      </c>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v>0</v>
      </c>
      <c r="K127" s="13">
        <v>0</v>
      </c>
      <c r="L127" s="13">
        <v>0</v>
      </c>
      <c r="M127" s="13">
        <v>0</v>
      </c>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v>0</v>
      </c>
      <c r="K128" s="13">
        <v>0</v>
      </c>
      <c r="L128" s="13">
        <v>0</v>
      </c>
      <c r="M128" s="13">
        <v>0</v>
      </c>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v>0</v>
      </c>
      <c r="K129" s="13">
        <v>0</v>
      </c>
      <c r="L129" s="13">
        <v>0</v>
      </c>
      <c r="M129" s="13">
        <v>0</v>
      </c>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v>0</v>
      </c>
      <c r="K130" s="13">
        <v>0</v>
      </c>
      <c r="L130" s="13">
        <v>0</v>
      </c>
      <c r="M130" s="13">
        <v>0</v>
      </c>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v>0</v>
      </c>
      <c r="K131" s="13">
        <v>0</v>
      </c>
      <c r="L131" s="13">
        <v>0</v>
      </c>
      <c r="M131" s="13">
        <v>0</v>
      </c>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v>0</v>
      </c>
      <c r="K132" s="13">
        <v>0</v>
      </c>
      <c r="L132" s="13">
        <v>0</v>
      </c>
      <c r="M132" s="13">
        <v>0</v>
      </c>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v>0</v>
      </c>
      <c r="K133" s="13">
        <v>0</v>
      </c>
      <c r="L133" s="13">
        <v>0</v>
      </c>
      <c r="M133" s="13">
        <v>0</v>
      </c>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v>0</v>
      </c>
      <c r="K134" s="13">
        <v>0</v>
      </c>
      <c r="L134" s="13">
        <v>0</v>
      </c>
      <c r="M134" s="13">
        <v>0</v>
      </c>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v>0</v>
      </c>
      <c r="K137" s="13">
        <v>0</v>
      </c>
      <c r="L137" s="13">
        <v>0</v>
      </c>
      <c r="M137" s="13">
        <v>0</v>
      </c>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v>0</v>
      </c>
      <c r="K138" s="13">
        <v>0</v>
      </c>
      <c r="L138" s="13">
        <v>0</v>
      </c>
      <c r="M138" s="13">
        <v>0</v>
      </c>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v>0</v>
      </c>
      <c r="K139" s="13">
        <v>0</v>
      </c>
      <c r="L139" s="13">
        <v>0</v>
      </c>
      <c r="M139" s="13">
        <v>0</v>
      </c>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v>0</v>
      </c>
      <c r="K140" s="13">
        <v>0</v>
      </c>
      <c r="L140" s="13">
        <v>0</v>
      </c>
      <c r="M140" s="13">
        <v>0</v>
      </c>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v>0</v>
      </c>
      <c r="K141" s="13">
        <v>0</v>
      </c>
      <c r="L141" s="13">
        <v>0</v>
      </c>
      <c r="M141" s="13">
        <v>0</v>
      </c>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v>0</v>
      </c>
      <c r="K142" s="13">
        <v>0</v>
      </c>
      <c r="L142" s="13">
        <v>0</v>
      </c>
      <c r="M142" s="13">
        <v>0</v>
      </c>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v>0</v>
      </c>
      <c r="K143" s="13">
        <v>0</v>
      </c>
      <c r="L143" s="13">
        <v>0</v>
      </c>
      <c r="M143" s="13">
        <v>0</v>
      </c>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v>0</v>
      </c>
      <c r="K144" s="13">
        <v>0</v>
      </c>
      <c r="L144" s="13">
        <v>0</v>
      </c>
      <c r="M144" s="13">
        <v>0</v>
      </c>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v>0</v>
      </c>
      <c r="K145" s="13">
        <v>0</v>
      </c>
      <c r="L145" s="13">
        <v>0</v>
      </c>
      <c r="M145" s="13">
        <v>0</v>
      </c>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v>0</v>
      </c>
      <c r="K148" s="13">
        <v>0</v>
      </c>
      <c r="L148" s="13">
        <v>0</v>
      </c>
      <c r="M148" s="13">
        <v>0</v>
      </c>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v>0</v>
      </c>
      <c r="K149" s="13">
        <v>0</v>
      </c>
      <c r="L149" s="13">
        <v>0</v>
      </c>
      <c r="M149" s="13">
        <v>0</v>
      </c>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v>0</v>
      </c>
      <c r="K150" s="13">
        <v>0</v>
      </c>
      <c r="L150" s="13">
        <v>0</v>
      </c>
      <c r="M150" s="13">
        <v>0</v>
      </c>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v>0</v>
      </c>
      <c r="K151" s="13">
        <v>0</v>
      </c>
      <c r="L151" s="13">
        <v>0</v>
      </c>
      <c r="M151" s="13">
        <v>0</v>
      </c>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v>0</v>
      </c>
      <c r="K152" s="13">
        <v>0</v>
      </c>
      <c r="L152" s="13">
        <v>0</v>
      </c>
      <c r="M152" s="13">
        <v>0</v>
      </c>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v>0</v>
      </c>
      <c r="K153" s="13">
        <v>0</v>
      </c>
      <c r="L153" s="13">
        <v>0</v>
      </c>
      <c r="M153" s="13">
        <v>0</v>
      </c>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v>0</v>
      </c>
      <c r="K154" s="13">
        <v>0</v>
      </c>
      <c r="L154" s="13">
        <v>0</v>
      </c>
      <c r="M154" s="13">
        <v>0</v>
      </c>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v>0</v>
      </c>
      <c r="K155" s="13">
        <v>0</v>
      </c>
      <c r="L155" s="13">
        <v>0</v>
      </c>
      <c r="M155" s="13">
        <v>0</v>
      </c>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v>0</v>
      </c>
      <c r="K156" s="13">
        <v>0</v>
      </c>
      <c r="L156" s="13">
        <v>0</v>
      </c>
      <c r="M156" s="13">
        <v>0</v>
      </c>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v>0</v>
      </c>
      <c r="K159" s="13">
        <v>0</v>
      </c>
      <c r="L159" s="13">
        <v>0</v>
      </c>
      <c r="M159" s="13">
        <v>0</v>
      </c>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v>0</v>
      </c>
      <c r="K160" s="13">
        <v>0</v>
      </c>
      <c r="L160" s="13">
        <v>0</v>
      </c>
      <c r="M160" s="13">
        <v>0</v>
      </c>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v>0</v>
      </c>
      <c r="K161" s="13">
        <v>0</v>
      </c>
      <c r="L161" s="13">
        <v>0</v>
      </c>
      <c r="M161" s="13">
        <v>0</v>
      </c>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v>0</v>
      </c>
      <c r="K162" s="13">
        <v>0</v>
      </c>
      <c r="L162" s="13">
        <v>0</v>
      </c>
      <c r="M162" s="13">
        <v>0</v>
      </c>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v>0</v>
      </c>
      <c r="K163" s="13">
        <v>0</v>
      </c>
      <c r="L163" s="13">
        <v>0</v>
      </c>
      <c r="M163" s="13">
        <v>0</v>
      </c>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v>0</v>
      </c>
      <c r="K164" s="13">
        <v>0</v>
      </c>
      <c r="L164" s="13">
        <v>0</v>
      </c>
      <c r="M164" s="13">
        <v>0</v>
      </c>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v>0</v>
      </c>
      <c r="K165" s="13">
        <v>0</v>
      </c>
      <c r="L165" s="13">
        <v>0</v>
      </c>
      <c r="M165" s="13">
        <v>0</v>
      </c>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v>0</v>
      </c>
      <c r="K166" s="13">
        <v>0</v>
      </c>
      <c r="L166" s="13">
        <v>0</v>
      </c>
      <c r="M166" s="13">
        <v>0</v>
      </c>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v>0</v>
      </c>
      <c r="K167" s="13">
        <v>0</v>
      </c>
      <c r="L167" s="13">
        <v>0</v>
      </c>
      <c r="M167" s="13">
        <v>0</v>
      </c>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v>0</v>
      </c>
      <c r="K170" s="13">
        <v>0</v>
      </c>
      <c r="L170" s="13">
        <v>0</v>
      </c>
      <c r="M170" s="13">
        <v>0</v>
      </c>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v>0</v>
      </c>
      <c r="K171" s="13">
        <v>0</v>
      </c>
      <c r="L171" s="13">
        <v>0</v>
      </c>
      <c r="M171" s="13">
        <v>0</v>
      </c>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v>0</v>
      </c>
      <c r="K172" s="13">
        <v>0</v>
      </c>
      <c r="L172" s="13">
        <v>0</v>
      </c>
      <c r="M172" s="13">
        <v>0</v>
      </c>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v>0</v>
      </c>
      <c r="K173" s="13">
        <v>0</v>
      </c>
      <c r="L173" s="13">
        <v>0</v>
      </c>
      <c r="M173" s="13">
        <v>0</v>
      </c>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v>0</v>
      </c>
      <c r="K174" s="13">
        <v>0</v>
      </c>
      <c r="L174" s="13">
        <v>0</v>
      </c>
      <c r="M174" s="13">
        <v>0</v>
      </c>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v>0</v>
      </c>
      <c r="K175" s="13">
        <v>0</v>
      </c>
      <c r="L175" s="13">
        <v>0</v>
      </c>
      <c r="M175" s="13">
        <v>0</v>
      </c>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v>0</v>
      </c>
      <c r="K176" s="13">
        <v>0</v>
      </c>
      <c r="L176" s="13">
        <v>0</v>
      </c>
      <c r="M176" s="13">
        <v>0</v>
      </c>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101840</v>
      </c>
      <c r="K178" s="148">
        <f t="shared" si="35"/>
        <v>0</v>
      </c>
      <c r="L178" s="148">
        <f t="shared" si="35"/>
        <v>0</v>
      </c>
      <c r="M178" s="148">
        <f t="shared" si="35"/>
        <v>0</v>
      </c>
      <c r="N178" s="148">
        <f t="shared" si="35"/>
        <v>0</v>
      </c>
      <c r="O178" s="148">
        <f t="shared" si="35"/>
        <v>0</v>
      </c>
      <c r="P178" s="148">
        <f t="shared" si="35"/>
        <v>0</v>
      </c>
      <c r="Q178" s="148">
        <f t="shared" si="35"/>
        <v>0</v>
      </c>
      <c r="R178" s="148">
        <f t="shared" si="35"/>
        <v>304148.75</v>
      </c>
      <c r="S178" s="69">
        <v>175</v>
      </c>
    </row>
    <row r="179" spans="2:19" x14ac:dyDescent="0.2">
      <c r="C179" s="8">
        <v>690</v>
      </c>
      <c r="D179" s="8" t="s">
        <v>490</v>
      </c>
      <c r="E179" s="13">
        <v>61049.1</v>
      </c>
      <c r="F179" s="13">
        <v>0</v>
      </c>
      <c r="G179" s="13">
        <v>0</v>
      </c>
      <c r="H179" s="13">
        <v>0</v>
      </c>
      <c r="I179" s="13">
        <v>141259.65</v>
      </c>
      <c r="J179" s="13">
        <v>101840</v>
      </c>
      <c r="K179" s="13">
        <v>0</v>
      </c>
      <c r="L179" s="13">
        <v>0</v>
      </c>
      <c r="M179" s="13">
        <v>0</v>
      </c>
      <c r="N179" s="13">
        <v>0</v>
      </c>
      <c r="O179" s="13">
        <v>0</v>
      </c>
      <c r="P179" s="13">
        <v>0</v>
      </c>
      <c r="Q179" s="13">
        <v>0</v>
      </c>
      <c r="R179" s="13">
        <f>SUM(E179:Q179)</f>
        <v>304148.75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45307.65</v>
      </c>
      <c r="K183" s="149">
        <f t="shared" si="36"/>
        <v>0</v>
      </c>
      <c r="L183" s="149">
        <f t="shared" si="36"/>
        <v>0</v>
      </c>
      <c r="M183" s="149">
        <f t="shared" si="36"/>
        <v>0</v>
      </c>
      <c r="N183" s="149">
        <f t="shared" si="36"/>
        <v>0</v>
      </c>
      <c r="O183" s="149">
        <f t="shared" si="36"/>
        <v>0</v>
      </c>
      <c r="P183" s="149">
        <f t="shared" si="36"/>
        <v>0</v>
      </c>
      <c r="Q183" s="149">
        <f t="shared" si="36"/>
        <v>0</v>
      </c>
      <c r="R183" s="149">
        <f t="shared" si="36"/>
        <v>180106.55</v>
      </c>
      <c r="S183" s="8">
        <v>180</v>
      </c>
    </row>
    <row r="185" spans="2:19" x14ac:dyDescent="0.2">
      <c r="L185" s="13"/>
    </row>
  </sheetData>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c r="D4" s="90" t="s">
        <v>743</v>
      </c>
    </row>
    <row r="5" spans="1:5" ht="15.75" thickBot="1" x14ac:dyDescent="0.3">
      <c r="A5" s="8" t="s">
        <v>734</v>
      </c>
      <c r="D5" s="96" t="s">
        <v>28</v>
      </c>
    </row>
    <row r="8" spans="1:5" ht="20.25" x14ac:dyDescent="0.3">
      <c r="A8" s="145">
        <v>5</v>
      </c>
      <c r="B8" s="145"/>
      <c r="C8" s="145"/>
      <c r="D8" s="145" t="s">
        <v>192</v>
      </c>
      <c r="E8" s="150">
        <f>HLOOKUP($D$5,'Bourgeoisie investissement'!$E$4:$R$185,2,0)</f>
        <v>101840</v>
      </c>
    </row>
    <row r="9" spans="1:5" ht="15" x14ac:dyDescent="0.25">
      <c r="A9" s="16"/>
      <c r="B9" s="89">
        <v>50</v>
      </c>
      <c r="C9" s="89"/>
      <c r="D9" s="89" t="s">
        <v>451</v>
      </c>
      <c r="E9" s="111">
        <f>HLOOKUP($D$5,'Bourgeoisie investissement'!$E$4:$R$185,3,0)</f>
        <v>101840</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0</v>
      </c>
    </row>
    <row r="14" spans="1:5" x14ac:dyDescent="0.2">
      <c r="C14" s="8">
        <v>504</v>
      </c>
      <c r="D14" s="8" t="s">
        <v>457</v>
      </c>
      <c r="E14" s="18">
        <f>HLOOKUP($D$5,'Bourgeoisie investissement'!$E$4:$R$185,8,0)</f>
        <v>101840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56532.35</v>
      </c>
    </row>
    <row r="87" spans="1:5" x14ac:dyDescent="0.2">
      <c r="C87" s="8">
        <v>590</v>
      </c>
      <c r="D87" s="8" t="s">
        <v>477</v>
      </c>
      <c r="E87" s="18">
        <f>HLOOKUP($D$5,'Bourgeoisie investissement'!$E$4:$R$185,81,0)</f>
        <v>56532.35</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56532.35</v>
      </c>
    </row>
    <row r="92" spans="1:5" ht="15" x14ac:dyDescent="0.25">
      <c r="A92" s="7"/>
      <c r="B92" s="147">
        <v>60</v>
      </c>
      <c r="C92" s="147"/>
      <c r="D92" s="147" t="s">
        <v>479</v>
      </c>
      <c r="E92" s="148">
        <f>HLOOKUP($D$5,'Bourgeoisie investissement'!$E$4:$R$185,86,0)</f>
        <v>56532.35</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56532.35</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0</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0</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101840</v>
      </c>
    </row>
    <row r="182" spans="2:5" x14ac:dyDescent="0.2">
      <c r="C182" s="8">
        <v>690</v>
      </c>
      <c r="D182" s="8" t="s">
        <v>490</v>
      </c>
      <c r="E182" s="18">
        <f>HLOOKUP($D$5,'Bourgeoisie investissement'!$E$4:$R$185,176,0)</f>
        <v>101840</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45307.65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I13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108366.75</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668980.67000000004</v>
      </c>
      <c r="U5" s="12">
        <f t="shared" si="0"/>
        <v>170136.76</v>
      </c>
      <c r="V5" s="12">
        <f t="shared" si="0"/>
        <v>645199.47</v>
      </c>
      <c r="W5" s="12">
        <f t="shared" si="0"/>
        <v>45959.4</v>
      </c>
      <c r="X5" s="12">
        <f t="shared" si="0"/>
        <v>822608.46</v>
      </c>
      <c r="Y5" s="12">
        <f t="shared" si="0"/>
        <v>5532844.9700000007</v>
      </c>
      <c r="Z5" s="12">
        <f t="shared" si="0"/>
        <v>352383.79</v>
      </c>
      <c r="AA5" s="12">
        <f t="shared" si="0"/>
        <v>1691547.51</v>
      </c>
      <c r="AB5" s="12">
        <f t="shared" si="0"/>
        <v>224938.55</v>
      </c>
      <c r="AC5" s="12">
        <f t="shared" si="0"/>
        <v>124877.23000000001</v>
      </c>
      <c r="AD5" s="12">
        <f t="shared" si="0"/>
        <v>3284618.4799999995</v>
      </c>
      <c r="AE5" s="12">
        <f t="shared" si="0"/>
        <v>223465.34999999998</v>
      </c>
      <c r="AF5" s="12">
        <f t="shared" si="0"/>
        <v>35484135.729999997</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553.6</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69002.87</v>
      </c>
      <c r="U6" s="80">
        <f t="shared" si="1"/>
        <v>14873.5</v>
      </c>
      <c r="V6" s="80">
        <f t="shared" si="1"/>
        <v>104543.80000000002</v>
      </c>
      <c r="W6" s="80">
        <f t="shared" si="1"/>
        <v>45777.4</v>
      </c>
      <c r="X6" s="80">
        <f t="shared" si="1"/>
        <v>90746.2</v>
      </c>
      <c r="Y6" s="80">
        <f t="shared" si="1"/>
        <v>1185665.52</v>
      </c>
      <c r="Z6" s="80">
        <f t="shared" si="1"/>
        <v>45065.950000000004</v>
      </c>
      <c r="AA6" s="80">
        <f t="shared" si="1"/>
        <v>381344.05</v>
      </c>
      <c r="AB6" s="80">
        <f t="shared" si="1"/>
        <v>42142.65</v>
      </c>
      <c r="AC6" s="80">
        <f t="shared" si="1"/>
        <v>16412.05</v>
      </c>
      <c r="AD6" s="80">
        <f t="shared" si="1"/>
        <v>666546.39999999991</v>
      </c>
      <c r="AE6" s="80">
        <f t="shared" si="1"/>
        <v>30465.95</v>
      </c>
      <c r="AF6" s="80">
        <f t="shared" si="1"/>
        <v>5574596.3400000008</v>
      </c>
      <c r="AG6" s="8">
        <v>3</v>
      </c>
    </row>
    <row r="7" spans="1:33" x14ac:dyDescent="0.2">
      <c r="C7" s="8">
        <v>300</v>
      </c>
      <c r="D7" s="8" t="s">
        <v>80</v>
      </c>
      <c r="E7" s="13">
        <v>10160</v>
      </c>
      <c r="F7" s="13">
        <v>19200</v>
      </c>
      <c r="G7" s="13">
        <v>1250</v>
      </c>
      <c r="H7" s="13">
        <v>32910.5</v>
      </c>
      <c r="I7" s="13">
        <v>0</v>
      </c>
      <c r="J7" s="13">
        <v>5172</v>
      </c>
      <c r="K7" s="13">
        <v>10200</v>
      </c>
      <c r="L7" s="13">
        <v>15222.9</v>
      </c>
      <c r="M7" s="13">
        <v>5625</v>
      </c>
      <c r="N7" s="13">
        <v>10947.2</v>
      </c>
      <c r="O7" s="13">
        <v>6400</v>
      </c>
      <c r="P7" s="13">
        <v>1570</v>
      </c>
      <c r="Q7" s="13">
        <v>250</v>
      </c>
      <c r="R7" s="13">
        <v>510</v>
      </c>
      <c r="S7" s="13"/>
      <c r="T7" s="13">
        <v>8895</v>
      </c>
      <c r="U7" s="13">
        <v>12695</v>
      </c>
      <c r="V7" s="13">
        <v>2170</v>
      </c>
      <c r="W7" s="13">
        <v>4150</v>
      </c>
      <c r="X7" s="13">
        <v>24561.599999999999</v>
      </c>
      <c r="Y7" s="13">
        <v>49020</v>
      </c>
      <c r="Z7" s="13">
        <v>9259</v>
      </c>
      <c r="AA7" s="13">
        <v>21724.1</v>
      </c>
      <c r="AB7" s="13">
        <v>9211.75</v>
      </c>
      <c r="AC7" s="13">
        <v>5951</v>
      </c>
      <c r="AD7" s="13">
        <v>4866.6000000000004</v>
      </c>
      <c r="AE7" s="13">
        <v>1995</v>
      </c>
      <c r="AF7" s="13">
        <f t="shared" ref="AF7:AF14" si="2">SUM(E7:AE7)</f>
        <v>273916.64999999997</v>
      </c>
      <c r="AG7" s="8">
        <v>4</v>
      </c>
    </row>
    <row r="8" spans="1:33" x14ac:dyDescent="0.2">
      <c r="C8" s="8">
        <v>301</v>
      </c>
      <c r="D8" s="8" t="s">
        <v>81</v>
      </c>
      <c r="E8" s="13">
        <v>159766.79999999999</v>
      </c>
      <c r="F8" s="13">
        <v>446234.4</v>
      </c>
      <c r="G8" s="13">
        <v>12700</v>
      </c>
      <c r="H8" s="13">
        <v>337658.15</v>
      </c>
      <c r="I8" s="13">
        <v>0</v>
      </c>
      <c r="J8" s="13">
        <v>158381.95000000001</v>
      </c>
      <c r="K8" s="13">
        <v>431178.2</v>
      </c>
      <c r="L8" s="13">
        <v>105721.2</v>
      </c>
      <c r="M8" s="13">
        <v>46330.8</v>
      </c>
      <c r="N8" s="13">
        <v>0</v>
      </c>
      <c r="O8" s="13">
        <v>439223.4</v>
      </c>
      <c r="P8" s="13">
        <v>0</v>
      </c>
      <c r="Q8" s="13">
        <v>1935</v>
      </c>
      <c r="R8" s="13">
        <v>21522</v>
      </c>
      <c r="S8" s="13"/>
      <c r="T8" s="13">
        <v>48687.199999999997</v>
      </c>
      <c r="U8" s="13">
        <v>0</v>
      </c>
      <c r="V8" s="13">
        <v>82141.850000000006</v>
      </c>
      <c r="W8" s="13">
        <v>33582.870000000003</v>
      </c>
      <c r="X8" s="13">
        <v>59900.6</v>
      </c>
      <c r="Y8" s="13">
        <v>928775.9</v>
      </c>
      <c r="Z8" s="13">
        <v>31900.400000000001</v>
      </c>
      <c r="AA8" s="13">
        <v>298856.65000000002</v>
      </c>
      <c r="AB8" s="13">
        <v>27953.5</v>
      </c>
      <c r="AC8" s="13">
        <v>8754.5499999999993</v>
      </c>
      <c r="AD8" s="13">
        <v>525242.44999999995</v>
      </c>
      <c r="AE8" s="13">
        <v>23135</v>
      </c>
      <c r="AF8" s="13">
        <f t="shared" si="2"/>
        <v>4229582.87</v>
      </c>
      <c r="AG8" s="8">
        <v>5</v>
      </c>
    </row>
    <row r="9" spans="1:33"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c r="T9" s="13">
        <v>0</v>
      </c>
      <c r="U9" s="13">
        <v>0</v>
      </c>
      <c r="V9" s="13">
        <v>0</v>
      </c>
      <c r="W9" s="13">
        <v>0</v>
      </c>
      <c r="X9" s="13">
        <v>0</v>
      </c>
      <c r="Y9" s="13">
        <v>0</v>
      </c>
      <c r="Z9" s="13">
        <v>0</v>
      </c>
      <c r="AA9" s="13">
        <v>0</v>
      </c>
      <c r="AB9" s="13">
        <v>0</v>
      </c>
      <c r="AC9" s="13">
        <v>0</v>
      </c>
      <c r="AD9" s="13">
        <v>0</v>
      </c>
      <c r="AE9" s="13">
        <v>0</v>
      </c>
      <c r="AF9" s="13">
        <f t="shared" si="2"/>
        <v>0</v>
      </c>
      <c r="AG9" s="8">
        <v>6</v>
      </c>
    </row>
    <row r="10" spans="1:33" x14ac:dyDescent="0.2">
      <c r="C10" s="8">
        <v>303</v>
      </c>
      <c r="D10" s="8" t="s">
        <v>83</v>
      </c>
      <c r="E10" s="13">
        <v>0</v>
      </c>
      <c r="F10" s="13">
        <v>0</v>
      </c>
      <c r="G10" s="13">
        <v>0</v>
      </c>
      <c r="H10" s="13">
        <v>54593.65</v>
      </c>
      <c r="I10" s="13">
        <v>0</v>
      </c>
      <c r="J10" s="13">
        <v>0</v>
      </c>
      <c r="K10" s="13">
        <v>0</v>
      </c>
      <c r="L10" s="13">
        <v>0</v>
      </c>
      <c r="M10" s="13">
        <v>0</v>
      </c>
      <c r="N10" s="13">
        <v>0</v>
      </c>
      <c r="O10" s="13">
        <v>0</v>
      </c>
      <c r="P10" s="13">
        <v>0</v>
      </c>
      <c r="Q10" s="13">
        <v>0</v>
      </c>
      <c r="R10" s="13">
        <v>0</v>
      </c>
      <c r="S10" s="13"/>
      <c r="T10" s="13">
        <v>0</v>
      </c>
      <c r="U10" s="13">
        <v>0</v>
      </c>
      <c r="V10" s="13">
        <v>0</v>
      </c>
      <c r="W10" s="13">
        <v>0</v>
      </c>
      <c r="X10" s="13">
        <v>0</v>
      </c>
      <c r="Y10" s="13">
        <v>0</v>
      </c>
      <c r="Z10" s="13">
        <v>0</v>
      </c>
      <c r="AA10" s="13">
        <v>0</v>
      </c>
      <c r="AB10" s="13">
        <v>0</v>
      </c>
      <c r="AC10" s="13">
        <v>0</v>
      </c>
      <c r="AD10" s="13">
        <v>0</v>
      </c>
      <c r="AE10" s="13">
        <v>0</v>
      </c>
      <c r="AF10" s="13">
        <f t="shared" si="2"/>
        <v>54593.65</v>
      </c>
      <c r="AG10" s="8">
        <v>7</v>
      </c>
    </row>
    <row r="11" spans="1:33" x14ac:dyDescent="0.2">
      <c r="C11" s="8">
        <v>304</v>
      </c>
      <c r="D11" s="8" t="s">
        <v>578</v>
      </c>
      <c r="E11" s="13">
        <v>0</v>
      </c>
      <c r="F11" s="13">
        <v>0</v>
      </c>
      <c r="G11" s="13">
        <v>0</v>
      </c>
      <c r="H11" s="13">
        <v>0</v>
      </c>
      <c r="I11" s="13">
        <v>0</v>
      </c>
      <c r="J11" s="13">
        <v>0</v>
      </c>
      <c r="K11" s="13">
        <v>0</v>
      </c>
      <c r="L11" s="13">
        <v>0</v>
      </c>
      <c r="M11" s="13">
        <v>0</v>
      </c>
      <c r="N11" s="13">
        <v>0</v>
      </c>
      <c r="O11" s="13">
        <v>9850</v>
      </c>
      <c r="P11" s="13">
        <v>0</v>
      </c>
      <c r="Q11" s="13">
        <v>0</v>
      </c>
      <c r="R11" s="13">
        <v>0</v>
      </c>
      <c r="S11" s="13"/>
      <c r="T11" s="13">
        <v>0</v>
      </c>
      <c r="U11" s="13">
        <v>0</v>
      </c>
      <c r="V11" s="13">
        <v>0</v>
      </c>
      <c r="W11" s="13">
        <v>0</v>
      </c>
      <c r="X11" s="13">
        <v>0</v>
      </c>
      <c r="Y11" s="13">
        <v>0</v>
      </c>
      <c r="Z11" s="13">
        <v>0</v>
      </c>
      <c r="AA11" s="13">
        <v>0</v>
      </c>
      <c r="AB11" s="13">
        <v>0</v>
      </c>
      <c r="AC11" s="13">
        <v>0</v>
      </c>
      <c r="AD11" s="13">
        <v>0</v>
      </c>
      <c r="AE11" s="13">
        <v>0</v>
      </c>
      <c r="AF11" s="13">
        <f t="shared" si="2"/>
        <v>9850</v>
      </c>
      <c r="AG11" s="8">
        <v>8</v>
      </c>
    </row>
    <row r="12" spans="1:33" x14ac:dyDescent="0.2">
      <c r="C12" s="8">
        <v>305</v>
      </c>
      <c r="D12" s="8" t="s">
        <v>84</v>
      </c>
      <c r="E12" s="13">
        <v>31681.1</v>
      </c>
      <c r="F12" s="13">
        <v>133698.54999999999</v>
      </c>
      <c r="G12" s="13">
        <v>374.6</v>
      </c>
      <c r="H12" s="13">
        <v>97139.15</v>
      </c>
      <c r="I12" s="13">
        <v>0</v>
      </c>
      <c r="J12" s="13">
        <v>22406.1</v>
      </c>
      <c r="K12" s="13">
        <v>79127.850000000006</v>
      </c>
      <c r="L12" s="13">
        <v>22990.85</v>
      </c>
      <c r="M12" s="13">
        <v>6571.7</v>
      </c>
      <c r="N12" s="13">
        <v>464.45</v>
      </c>
      <c r="O12" s="13">
        <v>92341.05</v>
      </c>
      <c r="P12" s="13">
        <v>0</v>
      </c>
      <c r="Q12" s="13">
        <v>0</v>
      </c>
      <c r="R12" s="13">
        <v>2691.35</v>
      </c>
      <c r="S12" s="13"/>
      <c r="T12" s="13">
        <v>10946.97</v>
      </c>
      <c r="U12" s="13">
        <v>823.8</v>
      </c>
      <c r="V12" s="13">
        <v>19408.849999999999</v>
      </c>
      <c r="W12" s="13">
        <v>6085.18</v>
      </c>
      <c r="X12" s="13">
        <v>6284</v>
      </c>
      <c r="Y12" s="13">
        <v>186849.22</v>
      </c>
      <c r="Z12" s="13">
        <v>2720.65</v>
      </c>
      <c r="AA12" s="13">
        <v>60583.3</v>
      </c>
      <c r="AB12" s="13">
        <v>4584.3999999999996</v>
      </c>
      <c r="AC12" s="13">
        <v>894</v>
      </c>
      <c r="AD12" s="13">
        <v>116000.35</v>
      </c>
      <c r="AE12" s="13">
        <v>3310.55</v>
      </c>
      <c r="AF12" s="13">
        <f t="shared" si="2"/>
        <v>907978.02</v>
      </c>
      <c r="AG12" s="8">
        <v>9</v>
      </c>
    </row>
    <row r="13" spans="1:33" x14ac:dyDescent="0.2">
      <c r="C13" s="8">
        <v>306</v>
      </c>
      <c r="D13" s="8" t="s">
        <v>85</v>
      </c>
      <c r="E13" s="13">
        <v>0</v>
      </c>
      <c r="F13" s="13">
        <v>0</v>
      </c>
      <c r="G13" s="13">
        <v>0</v>
      </c>
      <c r="H13" s="13">
        <v>0</v>
      </c>
      <c r="I13" s="13">
        <v>0</v>
      </c>
      <c r="J13" s="13">
        <v>2368.85</v>
      </c>
      <c r="K13" s="13">
        <v>0</v>
      </c>
      <c r="L13" s="13">
        <v>0</v>
      </c>
      <c r="M13" s="13">
        <v>0</v>
      </c>
      <c r="N13" s="13">
        <v>0</v>
      </c>
      <c r="O13" s="13">
        <v>0</v>
      </c>
      <c r="P13" s="13">
        <v>0</v>
      </c>
      <c r="Q13" s="13">
        <v>0</v>
      </c>
      <c r="R13" s="13">
        <v>0</v>
      </c>
      <c r="S13" s="13"/>
      <c r="T13" s="13">
        <v>473.7</v>
      </c>
      <c r="U13" s="13">
        <v>0</v>
      </c>
      <c r="V13" s="13">
        <v>0</v>
      </c>
      <c r="W13" s="13">
        <v>0</v>
      </c>
      <c r="X13" s="13">
        <v>0</v>
      </c>
      <c r="Y13" s="13">
        <v>5490</v>
      </c>
      <c r="Z13" s="13">
        <v>0</v>
      </c>
      <c r="AA13" s="13">
        <v>0</v>
      </c>
      <c r="AB13" s="13">
        <v>0</v>
      </c>
      <c r="AC13" s="13">
        <v>0</v>
      </c>
      <c r="AD13" s="13">
        <v>0</v>
      </c>
      <c r="AE13" s="13">
        <v>0</v>
      </c>
      <c r="AF13" s="13">
        <f t="shared" si="2"/>
        <v>8332.5499999999993</v>
      </c>
      <c r="AG13" s="8">
        <v>10</v>
      </c>
    </row>
    <row r="14" spans="1:33" x14ac:dyDescent="0.2">
      <c r="C14" s="8">
        <v>309</v>
      </c>
      <c r="D14" s="8" t="s">
        <v>86</v>
      </c>
      <c r="E14" s="13">
        <v>6865.15</v>
      </c>
      <c r="F14" s="13">
        <v>17945.900000000001</v>
      </c>
      <c r="G14" s="13">
        <v>453.15</v>
      </c>
      <c r="H14" s="13">
        <v>11179.75</v>
      </c>
      <c r="I14" s="13">
        <v>553.6</v>
      </c>
      <c r="J14" s="13">
        <v>0</v>
      </c>
      <c r="K14" s="13">
        <v>0</v>
      </c>
      <c r="L14" s="13">
        <v>1561.15</v>
      </c>
      <c r="M14" s="13">
        <v>3951.55</v>
      </c>
      <c r="N14" s="13">
        <v>671</v>
      </c>
      <c r="O14" s="13">
        <v>2460</v>
      </c>
      <c r="P14" s="13">
        <v>0</v>
      </c>
      <c r="Q14" s="13">
        <v>0</v>
      </c>
      <c r="R14" s="13">
        <v>0</v>
      </c>
      <c r="S14" s="13"/>
      <c r="T14" s="13">
        <v>0</v>
      </c>
      <c r="U14" s="13">
        <v>1354.7</v>
      </c>
      <c r="V14" s="13">
        <v>823.1</v>
      </c>
      <c r="W14" s="13">
        <v>1959.35</v>
      </c>
      <c r="X14" s="13">
        <v>0</v>
      </c>
      <c r="Y14" s="13">
        <v>15530.4</v>
      </c>
      <c r="Z14" s="13">
        <v>1185.9000000000001</v>
      </c>
      <c r="AA14" s="13">
        <v>180</v>
      </c>
      <c r="AB14" s="13">
        <v>393</v>
      </c>
      <c r="AC14" s="13">
        <v>812.5</v>
      </c>
      <c r="AD14" s="13">
        <v>20437</v>
      </c>
      <c r="AE14" s="13">
        <v>2025.4</v>
      </c>
      <c r="AF14" s="13">
        <f t="shared" si="2"/>
        <v>90342.599999999991</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46293.15</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40832.65</v>
      </c>
      <c r="U16" s="80">
        <f t="shared" si="3"/>
        <v>46566.89</v>
      </c>
      <c r="V16" s="80">
        <f t="shared" si="3"/>
        <v>262216.98</v>
      </c>
      <c r="W16" s="80">
        <f t="shared" si="3"/>
        <v>182</v>
      </c>
      <c r="X16" s="80">
        <f t="shared" si="3"/>
        <v>353294.57</v>
      </c>
      <c r="Y16" s="80">
        <f t="shared" si="3"/>
        <v>3036959.2700000009</v>
      </c>
      <c r="Z16" s="80">
        <f t="shared" si="3"/>
        <v>181448.64</v>
      </c>
      <c r="AA16" s="80">
        <f t="shared" si="3"/>
        <v>550749.17000000004</v>
      </c>
      <c r="AB16" s="80">
        <f t="shared" si="3"/>
        <v>172265.9</v>
      </c>
      <c r="AC16" s="80">
        <f t="shared" si="3"/>
        <v>12063.550000000001</v>
      </c>
      <c r="AD16" s="80">
        <f t="shared" si="3"/>
        <v>2185189.2399999998</v>
      </c>
      <c r="AE16" s="80">
        <f t="shared" si="3"/>
        <v>94775.599999999991</v>
      </c>
      <c r="AF16" s="80">
        <f t="shared" si="3"/>
        <v>16136431.019999998</v>
      </c>
      <c r="AG16" s="8">
        <v>13</v>
      </c>
    </row>
    <row r="17" spans="2:33" x14ac:dyDescent="0.2">
      <c r="C17" s="8">
        <v>310</v>
      </c>
      <c r="D17" s="8" t="s">
        <v>88</v>
      </c>
      <c r="E17" s="13">
        <v>132603.70000000001</v>
      </c>
      <c r="F17" s="13">
        <v>321247</v>
      </c>
      <c r="G17" s="13">
        <v>233.95</v>
      </c>
      <c r="H17" s="13">
        <v>65434.05</v>
      </c>
      <c r="I17" s="13">
        <v>0</v>
      </c>
      <c r="J17" s="13">
        <v>139944.59</v>
      </c>
      <c r="K17" s="13">
        <v>332435.09999999998</v>
      </c>
      <c r="L17" s="13">
        <v>5893</v>
      </c>
      <c r="M17" s="13">
        <v>81149.14</v>
      </c>
      <c r="N17" s="13">
        <v>93</v>
      </c>
      <c r="O17" s="13">
        <v>102583.95</v>
      </c>
      <c r="P17" s="13">
        <v>0</v>
      </c>
      <c r="Q17" s="13">
        <v>544.96</v>
      </c>
      <c r="R17" s="13">
        <v>2566.98</v>
      </c>
      <c r="S17" s="13"/>
      <c r="T17" s="13">
        <v>4288</v>
      </c>
      <c r="U17" s="13">
        <v>7653.6</v>
      </c>
      <c r="V17" s="13">
        <v>55353.59</v>
      </c>
      <c r="W17" s="13">
        <v>0</v>
      </c>
      <c r="X17" s="13">
        <v>100043.97</v>
      </c>
      <c r="Y17" s="13">
        <v>270412.67</v>
      </c>
      <c r="Z17" s="13">
        <v>3071.34</v>
      </c>
      <c r="AA17" s="13">
        <v>150272.75</v>
      </c>
      <c r="AB17" s="13">
        <v>1766.6</v>
      </c>
      <c r="AC17" s="13">
        <v>192.35</v>
      </c>
      <c r="AD17" s="13">
        <v>316757.40999999997</v>
      </c>
      <c r="AE17" s="13">
        <v>5270.1</v>
      </c>
      <c r="AF17" s="13">
        <f t="shared" ref="AF17:AF26" si="4">SUM(E17:AE17)</f>
        <v>2099811.8000000003</v>
      </c>
      <c r="AG17" s="8">
        <v>14</v>
      </c>
    </row>
    <row r="18" spans="2:33" x14ac:dyDescent="0.2">
      <c r="C18" s="8">
        <v>311</v>
      </c>
      <c r="D18" s="8" t="s">
        <v>449</v>
      </c>
      <c r="E18" s="13">
        <v>27491.95</v>
      </c>
      <c r="F18" s="13">
        <v>9736.6299999999992</v>
      </c>
      <c r="G18" s="13">
        <v>0</v>
      </c>
      <c r="H18" s="13">
        <v>10991.55</v>
      </c>
      <c r="I18" s="13">
        <v>0</v>
      </c>
      <c r="J18" s="13">
        <v>48751.6</v>
      </c>
      <c r="K18" s="13">
        <v>35000.449999999997</v>
      </c>
      <c r="L18" s="13">
        <v>22928.15</v>
      </c>
      <c r="M18" s="13">
        <v>9177.9</v>
      </c>
      <c r="N18" s="13">
        <v>0</v>
      </c>
      <c r="O18" s="13">
        <v>7424.85</v>
      </c>
      <c r="P18" s="13">
        <v>0</v>
      </c>
      <c r="Q18" s="13">
        <v>0</v>
      </c>
      <c r="R18" s="13">
        <v>0</v>
      </c>
      <c r="S18" s="13"/>
      <c r="T18" s="13">
        <v>1292.3</v>
      </c>
      <c r="U18" s="13">
        <v>0</v>
      </c>
      <c r="V18" s="13">
        <v>12113</v>
      </c>
      <c r="W18" s="13">
        <v>0</v>
      </c>
      <c r="X18" s="13">
        <v>0</v>
      </c>
      <c r="Y18" s="13">
        <v>20829.150000000001</v>
      </c>
      <c r="Z18" s="13">
        <v>461.35</v>
      </c>
      <c r="AA18" s="13">
        <v>21026.52</v>
      </c>
      <c r="AB18" s="13">
        <v>51654</v>
      </c>
      <c r="AC18" s="13">
        <v>0</v>
      </c>
      <c r="AD18" s="13">
        <v>36446.92</v>
      </c>
      <c r="AE18" s="13">
        <v>1580</v>
      </c>
      <c r="AF18" s="13">
        <f t="shared" si="4"/>
        <v>316906.31999999995</v>
      </c>
      <c r="AG18" s="8">
        <v>15</v>
      </c>
    </row>
    <row r="19" spans="2:33" x14ac:dyDescent="0.2">
      <c r="C19" s="8">
        <v>312</v>
      </c>
      <c r="D19" s="8" t="s">
        <v>90</v>
      </c>
      <c r="E19" s="13">
        <v>35386</v>
      </c>
      <c r="F19" s="13">
        <v>158378.09</v>
      </c>
      <c r="G19" s="13">
        <v>0</v>
      </c>
      <c r="H19" s="13">
        <v>4108.1000000000004</v>
      </c>
      <c r="I19" s="13">
        <v>0</v>
      </c>
      <c r="J19" s="13">
        <v>87642.95</v>
      </c>
      <c r="K19" s="13">
        <v>119347.55</v>
      </c>
      <c r="L19" s="13">
        <v>27474.6</v>
      </c>
      <c r="M19" s="13">
        <v>0</v>
      </c>
      <c r="N19" s="13">
        <v>0</v>
      </c>
      <c r="O19" s="13">
        <v>911351.58</v>
      </c>
      <c r="P19" s="13">
        <v>0</v>
      </c>
      <c r="Q19" s="13">
        <v>576.54999999999995</v>
      </c>
      <c r="R19" s="13">
        <v>2234</v>
      </c>
      <c r="S19" s="13"/>
      <c r="T19" s="13">
        <v>4719.1000000000004</v>
      </c>
      <c r="U19" s="13">
        <v>0</v>
      </c>
      <c r="V19" s="13">
        <v>52675.5</v>
      </c>
      <c r="W19" s="13">
        <v>0</v>
      </c>
      <c r="X19" s="13">
        <v>165530.1</v>
      </c>
      <c r="Y19" s="13">
        <v>708565.8</v>
      </c>
      <c r="Z19" s="13">
        <v>34655.800000000003</v>
      </c>
      <c r="AA19" s="13">
        <v>108837.67</v>
      </c>
      <c r="AB19" s="13">
        <v>23859.200000000001</v>
      </c>
      <c r="AC19" s="13">
        <v>7262.8</v>
      </c>
      <c r="AD19" s="13">
        <v>189967.85</v>
      </c>
      <c r="AE19" s="13">
        <v>18957.599999999999</v>
      </c>
      <c r="AF19" s="13">
        <f t="shared" si="4"/>
        <v>2661530.84</v>
      </c>
      <c r="AG19" s="8">
        <v>16</v>
      </c>
    </row>
    <row r="20" spans="2:33" x14ac:dyDescent="0.2">
      <c r="C20" s="8">
        <v>313</v>
      </c>
      <c r="D20" s="8" t="s">
        <v>91</v>
      </c>
      <c r="E20" s="13">
        <v>36443.25</v>
      </c>
      <c r="F20" s="13">
        <v>395909.58</v>
      </c>
      <c r="G20" s="13">
        <v>9593.5</v>
      </c>
      <c r="H20" s="13">
        <v>3252023.27</v>
      </c>
      <c r="I20" s="13">
        <v>46293.15</v>
      </c>
      <c r="J20" s="13">
        <v>43034.8</v>
      </c>
      <c r="K20" s="13">
        <v>181268.61</v>
      </c>
      <c r="L20" s="13">
        <v>87593.73</v>
      </c>
      <c r="M20" s="13">
        <v>96764.85</v>
      </c>
      <c r="N20" s="13">
        <v>250658.98</v>
      </c>
      <c r="O20" s="13">
        <v>73051.31</v>
      </c>
      <c r="P20" s="13">
        <v>11550.85</v>
      </c>
      <c r="Q20" s="13">
        <v>1380</v>
      </c>
      <c r="R20" s="13">
        <v>8842.1</v>
      </c>
      <c r="S20" s="13"/>
      <c r="T20" s="13">
        <v>18046.099999999999</v>
      </c>
      <c r="U20" s="13">
        <v>36477.24</v>
      </c>
      <c r="V20" s="13">
        <v>20891.95</v>
      </c>
      <c r="W20" s="13">
        <v>182</v>
      </c>
      <c r="X20" s="13">
        <v>74711.5</v>
      </c>
      <c r="Y20" s="13">
        <v>1720030.31</v>
      </c>
      <c r="Z20" s="13">
        <v>56735.85</v>
      </c>
      <c r="AA20" s="13">
        <v>139002.75</v>
      </c>
      <c r="AB20" s="13">
        <v>34929.199999999997</v>
      </c>
      <c r="AC20" s="13">
        <v>3793.4</v>
      </c>
      <c r="AD20" s="13">
        <v>642327.76</v>
      </c>
      <c r="AE20" s="13">
        <v>56548.35</v>
      </c>
      <c r="AF20" s="13">
        <f t="shared" si="4"/>
        <v>7298084.3899999978</v>
      </c>
      <c r="AG20" s="8">
        <v>17</v>
      </c>
    </row>
    <row r="21" spans="2:33" x14ac:dyDescent="0.2">
      <c r="C21" s="8">
        <v>314</v>
      </c>
      <c r="D21" s="8" t="s">
        <v>841</v>
      </c>
      <c r="E21" s="13">
        <v>57237.47</v>
      </c>
      <c r="F21" s="13">
        <v>102182.1</v>
      </c>
      <c r="G21" s="13">
        <v>5392.95</v>
      </c>
      <c r="H21" s="13">
        <v>582291.9</v>
      </c>
      <c r="I21" s="13">
        <v>0</v>
      </c>
      <c r="J21" s="13">
        <v>64482</v>
      </c>
      <c r="K21" s="13">
        <v>93470.05</v>
      </c>
      <c r="L21" s="13">
        <v>49661.760000000002</v>
      </c>
      <c r="M21" s="13">
        <v>0</v>
      </c>
      <c r="N21" s="13">
        <v>0</v>
      </c>
      <c r="O21" s="13">
        <v>142441.75</v>
      </c>
      <c r="P21" s="13">
        <v>0</v>
      </c>
      <c r="Q21" s="13">
        <v>118.15</v>
      </c>
      <c r="R21" s="13">
        <v>13641.1</v>
      </c>
      <c r="S21" s="13"/>
      <c r="T21" s="13">
        <v>9804.25</v>
      </c>
      <c r="U21" s="13">
        <v>0</v>
      </c>
      <c r="V21" s="13">
        <v>51652.14</v>
      </c>
      <c r="W21" s="13">
        <v>0</v>
      </c>
      <c r="X21" s="13">
        <v>4392.3999999999996</v>
      </c>
      <c r="Y21" s="13">
        <v>139137.85</v>
      </c>
      <c r="Z21" s="13">
        <v>81798.55</v>
      </c>
      <c r="AA21" s="13">
        <v>77154.23</v>
      </c>
      <c r="AB21" s="13">
        <v>60056.9</v>
      </c>
      <c r="AC21" s="13">
        <v>0</v>
      </c>
      <c r="AD21" s="13">
        <v>87147.14</v>
      </c>
      <c r="AE21" s="13">
        <v>7170.25</v>
      </c>
      <c r="AF21" s="13">
        <f t="shared" si="4"/>
        <v>1629232.9399999997</v>
      </c>
      <c r="AG21" s="8">
        <v>18</v>
      </c>
    </row>
    <row r="22" spans="2:33" x14ac:dyDescent="0.2">
      <c r="C22" s="8">
        <v>315</v>
      </c>
      <c r="D22" s="8" t="s">
        <v>92</v>
      </c>
      <c r="E22" s="13">
        <v>2908.3</v>
      </c>
      <c r="F22" s="13">
        <v>5067.22</v>
      </c>
      <c r="G22" s="13">
        <v>0</v>
      </c>
      <c r="H22" s="13">
        <v>26800.7</v>
      </c>
      <c r="I22" s="13">
        <v>0</v>
      </c>
      <c r="J22" s="13">
        <v>16957.07</v>
      </c>
      <c r="K22" s="13">
        <v>7245.55</v>
      </c>
      <c r="L22" s="13">
        <v>116.05</v>
      </c>
      <c r="M22" s="13">
        <v>4836.05</v>
      </c>
      <c r="N22" s="13">
        <v>0</v>
      </c>
      <c r="O22" s="13">
        <v>20635.900000000001</v>
      </c>
      <c r="P22" s="13">
        <v>0</v>
      </c>
      <c r="Q22" s="13">
        <v>0</v>
      </c>
      <c r="R22" s="13">
        <v>0</v>
      </c>
      <c r="S22" s="13"/>
      <c r="T22" s="13">
        <v>0</v>
      </c>
      <c r="U22" s="13">
        <v>0</v>
      </c>
      <c r="V22" s="13">
        <v>3321.5</v>
      </c>
      <c r="W22" s="13">
        <v>0</v>
      </c>
      <c r="X22" s="13">
        <v>-22855.4</v>
      </c>
      <c r="Y22" s="13">
        <v>103078.95</v>
      </c>
      <c r="Z22" s="13">
        <v>890</v>
      </c>
      <c r="AA22" s="13">
        <v>51786.83</v>
      </c>
      <c r="AB22" s="13">
        <v>0</v>
      </c>
      <c r="AC22" s="13">
        <v>538.5</v>
      </c>
      <c r="AD22" s="13">
        <v>40061.15</v>
      </c>
      <c r="AE22" s="13">
        <v>5249.3</v>
      </c>
      <c r="AF22" s="13">
        <f t="shared" si="4"/>
        <v>266637.67000000004</v>
      </c>
      <c r="AG22" s="8">
        <v>19</v>
      </c>
    </row>
    <row r="23" spans="2:33" x14ac:dyDescent="0.2">
      <c r="C23" s="8">
        <v>316</v>
      </c>
      <c r="D23" s="8" t="s">
        <v>93</v>
      </c>
      <c r="E23" s="13">
        <v>45365.95</v>
      </c>
      <c r="F23" s="13">
        <v>0</v>
      </c>
      <c r="G23" s="13">
        <v>0</v>
      </c>
      <c r="H23" s="13">
        <v>7303</v>
      </c>
      <c r="I23" s="13">
        <v>0</v>
      </c>
      <c r="J23" s="13">
        <v>17738.400000000001</v>
      </c>
      <c r="K23" s="13">
        <v>207761.6</v>
      </c>
      <c r="L23" s="13">
        <v>0</v>
      </c>
      <c r="M23" s="13">
        <v>12368.2</v>
      </c>
      <c r="N23" s="13">
        <v>0</v>
      </c>
      <c r="O23" s="13">
        <v>0</v>
      </c>
      <c r="P23" s="13">
        <v>0</v>
      </c>
      <c r="Q23" s="13">
        <v>0</v>
      </c>
      <c r="R23" s="13">
        <v>0</v>
      </c>
      <c r="S23" s="13"/>
      <c r="T23" s="13">
        <v>0</v>
      </c>
      <c r="U23" s="13">
        <v>600</v>
      </c>
      <c r="V23" s="13">
        <v>41200</v>
      </c>
      <c r="W23" s="13">
        <v>0</v>
      </c>
      <c r="X23" s="13">
        <v>0</v>
      </c>
      <c r="Y23" s="13">
        <v>49930.7</v>
      </c>
      <c r="Z23" s="13">
        <v>3835.75</v>
      </c>
      <c r="AA23" s="13">
        <v>0</v>
      </c>
      <c r="AB23" s="13">
        <v>0</v>
      </c>
      <c r="AC23" s="13">
        <v>0</v>
      </c>
      <c r="AD23" s="13">
        <v>418569.24</v>
      </c>
      <c r="AE23" s="13">
        <v>0</v>
      </c>
      <c r="AF23" s="13">
        <f t="shared" si="4"/>
        <v>804672.84000000008</v>
      </c>
      <c r="AG23" s="8">
        <v>20</v>
      </c>
    </row>
    <row r="24" spans="2:33" x14ac:dyDescent="0.2">
      <c r="C24" s="8">
        <v>317</v>
      </c>
      <c r="D24" s="8" t="s">
        <v>94</v>
      </c>
      <c r="E24" s="13">
        <v>107117.75</v>
      </c>
      <c r="F24" s="13">
        <v>0</v>
      </c>
      <c r="G24" s="13">
        <v>0</v>
      </c>
      <c r="H24" s="13">
        <v>7762.15</v>
      </c>
      <c r="I24" s="13">
        <v>0</v>
      </c>
      <c r="J24" s="13">
        <v>94317.2</v>
      </c>
      <c r="K24" s="13">
        <v>182280.05</v>
      </c>
      <c r="L24" s="13">
        <v>459.6</v>
      </c>
      <c r="M24" s="13">
        <v>63236.15</v>
      </c>
      <c r="N24" s="13">
        <v>0</v>
      </c>
      <c r="O24" s="13">
        <v>10344</v>
      </c>
      <c r="P24" s="13">
        <v>0</v>
      </c>
      <c r="Q24" s="13">
        <v>0</v>
      </c>
      <c r="R24" s="13">
        <v>0</v>
      </c>
      <c r="S24" s="13"/>
      <c r="T24" s="13">
        <v>2682.9</v>
      </c>
      <c r="U24" s="13">
        <v>0</v>
      </c>
      <c r="V24" s="13">
        <v>25009.3</v>
      </c>
      <c r="W24" s="13">
        <v>0</v>
      </c>
      <c r="X24" s="13">
        <v>0</v>
      </c>
      <c r="Y24" s="13">
        <v>23610.95</v>
      </c>
      <c r="Z24" s="13">
        <v>0</v>
      </c>
      <c r="AA24" s="13">
        <v>2619.79</v>
      </c>
      <c r="AB24" s="13">
        <v>0</v>
      </c>
      <c r="AC24" s="13">
        <v>276.5</v>
      </c>
      <c r="AD24" s="13">
        <v>453911.77</v>
      </c>
      <c r="AE24" s="13">
        <v>0</v>
      </c>
      <c r="AF24" s="13">
        <f t="shared" si="4"/>
        <v>973628.11</v>
      </c>
      <c r="AG24" s="8">
        <v>21</v>
      </c>
    </row>
    <row r="25" spans="2:33" x14ac:dyDescent="0.2">
      <c r="C25" s="8">
        <v>318</v>
      </c>
      <c r="D25" s="8" t="s">
        <v>95</v>
      </c>
      <c r="E25" s="13">
        <v>0</v>
      </c>
      <c r="F25" s="13">
        <v>0</v>
      </c>
      <c r="G25" s="13">
        <v>0</v>
      </c>
      <c r="H25" s="13">
        <v>1332.6</v>
      </c>
      <c r="I25" s="13">
        <v>0</v>
      </c>
      <c r="J25" s="13">
        <v>0</v>
      </c>
      <c r="K25" s="13">
        <v>0</v>
      </c>
      <c r="L25" s="13">
        <v>0</v>
      </c>
      <c r="M25" s="13">
        <v>0</v>
      </c>
      <c r="N25" s="13">
        <v>0</v>
      </c>
      <c r="O25" s="13">
        <v>0</v>
      </c>
      <c r="P25" s="13">
        <v>0</v>
      </c>
      <c r="Q25" s="13">
        <v>0</v>
      </c>
      <c r="R25" s="13">
        <v>0</v>
      </c>
      <c r="S25" s="13"/>
      <c r="T25" s="13">
        <v>0</v>
      </c>
      <c r="U25" s="13">
        <v>1836.05</v>
      </c>
      <c r="V25" s="13">
        <v>0</v>
      </c>
      <c r="W25" s="13">
        <v>0</v>
      </c>
      <c r="X25" s="13">
        <v>0</v>
      </c>
      <c r="Y25" s="13">
        <v>1362.89</v>
      </c>
      <c r="Z25" s="13">
        <v>0</v>
      </c>
      <c r="AA25" s="13">
        <v>-216.9</v>
      </c>
      <c r="AB25" s="13">
        <v>0</v>
      </c>
      <c r="AC25" s="13">
        <v>0</v>
      </c>
      <c r="AD25" s="13">
        <v>0</v>
      </c>
      <c r="AE25" s="13">
        <v>0</v>
      </c>
      <c r="AF25" s="13">
        <f t="shared" si="4"/>
        <v>4314.6400000000003</v>
      </c>
      <c r="AG25" s="8">
        <v>22</v>
      </c>
    </row>
    <row r="26" spans="2:33" x14ac:dyDescent="0.2">
      <c r="C26" s="8">
        <v>319</v>
      </c>
      <c r="D26" s="8" t="s">
        <v>96</v>
      </c>
      <c r="E26" s="13">
        <v>3097.94</v>
      </c>
      <c r="F26" s="13">
        <v>0</v>
      </c>
      <c r="G26" s="13">
        <v>0</v>
      </c>
      <c r="H26" s="13">
        <v>0</v>
      </c>
      <c r="I26" s="13">
        <v>0</v>
      </c>
      <c r="J26" s="13">
        <v>216</v>
      </c>
      <c r="K26" s="13">
        <v>0</v>
      </c>
      <c r="L26" s="13">
        <v>0</v>
      </c>
      <c r="M26" s="13">
        <v>0</v>
      </c>
      <c r="N26" s="13">
        <v>0</v>
      </c>
      <c r="O26" s="13">
        <v>46560</v>
      </c>
      <c r="P26" s="13">
        <v>0</v>
      </c>
      <c r="Q26" s="13">
        <v>0</v>
      </c>
      <c r="R26" s="13">
        <v>0</v>
      </c>
      <c r="S26" s="13"/>
      <c r="T26" s="13">
        <v>0</v>
      </c>
      <c r="U26" s="13">
        <v>0</v>
      </c>
      <c r="V26" s="13">
        <v>0</v>
      </c>
      <c r="W26" s="13">
        <v>0</v>
      </c>
      <c r="X26" s="13">
        <v>31472</v>
      </c>
      <c r="Y26" s="13">
        <v>0</v>
      </c>
      <c r="Z26" s="13">
        <v>0</v>
      </c>
      <c r="AA26" s="13">
        <v>265.52999999999997</v>
      </c>
      <c r="AB26" s="13">
        <v>0</v>
      </c>
      <c r="AC26" s="13">
        <v>0</v>
      </c>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61520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5700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6070272.6399999997</v>
      </c>
      <c r="AG28" s="8">
        <v>25</v>
      </c>
    </row>
    <row r="29" spans="2:33" x14ac:dyDescent="0.2">
      <c r="C29" s="8">
        <v>330</v>
      </c>
      <c r="D29" s="8" t="s">
        <v>99</v>
      </c>
      <c r="E29" s="13">
        <v>66900</v>
      </c>
      <c r="F29" s="13">
        <v>3112537.13</v>
      </c>
      <c r="G29" s="13">
        <v>20300</v>
      </c>
      <c r="H29" s="13">
        <v>280400</v>
      </c>
      <c r="I29" s="13">
        <v>61520</v>
      </c>
      <c r="J29" s="13">
        <v>390487.49</v>
      </c>
      <c r="K29" s="13">
        <v>502884.6</v>
      </c>
      <c r="L29" s="13">
        <v>184129.25</v>
      </c>
      <c r="M29" s="13">
        <v>0</v>
      </c>
      <c r="N29" s="13">
        <v>0</v>
      </c>
      <c r="O29" s="13">
        <v>1602.9</v>
      </c>
      <c r="P29" s="13">
        <v>0</v>
      </c>
      <c r="Q29" s="13">
        <v>2800</v>
      </c>
      <c r="R29" s="13">
        <v>0</v>
      </c>
      <c r="S29" s="13"/>
      <c r="T29" s="13">
        <v>5700</v>
      </c>
      <c r="U29" s="13">
        <v>0</v>
      </c>
      <c r="V29" s="13">
        <v>63285</v>
      </c>
      <c r="W29" s="13">
        <v>0</v>
      </c>
      <c r="X29" s="13">
        <v>96104.7</v>
      </c>
      <c r="Y29" s="13">
        <v>650232.67000000004</v>
      </c>
      <c r="Z29" s="13">
        <v>95000</v>
      </c>
      <c r="AA29" s="13">
        <v>153387.85</v>
      </c>
      <c r="AB29" s="13">
        <v>0</v>
      </c>
      <c r="AC29" s="13">
        <v>0</v>
      </c>
      <c r="AD29" s="13">
        <v>361171.4</v>
      </c>
      <c r="AE29" s="13">
        <v>647.79999999999995</v>
      </c>
      <c r="AF29" s="13">
        <f>SUM(E29:AE29)</f>
        <v>6049090.79</v>
      </c>
      <c r="AG29" s="8">
        <v>26</v>
      </c>
    </row>
    <row r="30" spans="2:33" x14ac:dyDescent="0.2">
      <c r="C30" s="8">
        <v>332</v>
      </c>
      <c r="D30" s="8" t="s">
        <v>98</v>
      </c>
      <c r="E30" s="13">
        <v>0</v>
      </c>
      <c r="F30" s="13">
        <v>17131.849999999999</v>
      </c>
      <c r="G30" s="13">
        <v>0</v>
      </c>
      <c r="H30" s="13">
        <v>0</v>
      </c>
      <c r="I30" s="13">
        <v>0</v>
      </c>
      <c r="J30" s="13">
        <v>0</v>
      </c>
      <c r="K30" s="13">
        <v>0</v>
      </c>
      <c r="L30" s="13">
        <v>0</v>
      </c>
      <c r="M30" s="13">
        <v>0</v>
      </c>
      <c r="N30" s="13">
        <v>0</v>
      </c>
      <c r="O30" s="13">
        <v>4050</v>
      </c>
      <c r="P30" s="13">
        <v>0</v>
      </c>
      <c r="Q30" s="13">
        <v>0</v>
      </c>
      <c r="R30" s="13">
        <v>0</v>
      </c>
      <c r="S30" s="13"/>
      <c r="T30" s="13">
        <v>0</v>
      </c>
      <c r="U30" s="13">
        <v>0</v>
      </c>
      <c r="V30" s="13">
        <v>0</v>
      </c>
      <c r="W30" s="13">
        <v>0</v>
      </c>
      <c r="X30" s="13">
        <v>0</v>
      </c>
      <c r="Y30" s="13">
        <v>0</v>
      </c>
      <c r="Z30" s="13">
        <v>0</v>
      </c>
      <c r="AA30" s="13">
        <v>0</v>
      </c>
      <c r="AB30" s="13">
        <v>0</v>
      </c>
      <c r="AC30" s="13">
        <v>0</v>
      </c>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767.7</v>
      </c>
      <c r="U32" s="80">
        <f t="shared" si="6"/>
        <v>106346.37000000001</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687799.49</v>
      </c>
      <c r="AG32" s="8">
        <v>29</v>
      </c>
    </row>
    <row r="33" spans="2:33" x14ac:dyDescent="0.2">
      <c r="C33" s="8">
        <v>340</v>
      </c>
      <c r="D33" s="8" t="s">
        <v>101</v>
      </c>
      <c r="E33" s="13">
        <v>11667.39</v>
      </c>
      <c r="F33" s="13">
        <v>181.77</v>
      </c>
      <c r="G33" s="13">
        <v>0</v>
      </c>
      <c r="H33" s="13">
        <v>0</v>
      </c>
      <c r="I33" s="13">
        <v>0</v>
      </c>
      <c r="J33" s="13">
        <v>29075.35</v>
      </c>
      <c r="K33" s="13">
        <v>103711</v>
      </c>
      <c r="L33" s="13">
        <v>52770.05</v>
      </c>
      <c r="M33" s="13">
        <v>245.2</v>
      </c>
      <c r="N33" s="13">
        <v>0</v>
      </c>
      <c r="O33" s="13">
        <v>0</v>
      </c>
      <c r="P33" s="13">
        <v>0</v>
      </c>
      <c r="Q33" s="13">
        <v>110.7</v>
      </c>
      <c r="R33" s="13">
        <v>0</v>
      </c>
      <c r="S33" s="13"/>
      <c r="T33" s="13">
        <v>252</v>
      </c>
      <c r="U33" s="13">
        <v>16114.27</v>
      </c>
      <c r="V33" s="13">
        <v>11936.05</v>
      </c>
      <c r="W33" s="13">
        <v>0</v>
      </c>
      <c r="X33" s="13">
        <v>5462.99</v>
      </c>
      <c r="Y33" s="13">
        <v>243522.14</v>
      </c>
      <c r="Z33" s="13">
        <v>15434.6</v>
      </c>
      <c r="AA33" s="13">
        <v>24306.44</v>
      </c>
      <c r="AB33" s="13">
        <v>0</v>
      </c>
      <c r="AC33" s="13">
        <v>0</v>
      </c>
      <c r="AD33" s="13">
        <v>71711.44</v>
      </c>
      <c r="AE33" s="13">
        <v>0</v>
      </c>
      <c r="AF33" s="13">
        <f t="shared" ref="AF33:AF38" si="7">SUM(E33:AE33)</f>
        <v>586501.39</v>
      </c>
      <c r="AG33" s="8">
        <v>30</v>
      </c>
    </row>
    <row r="34" spans="2:33"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0</v>
      </c>
      <c r="S34" s="13"/>
      <c r="T34" s="13">
        <v>515.70000000000005</v>
      </c>
      <c r="U34" s="13">
        <v>0</v>
      </c>
      <c r="V34" s="13">
        <v>0</v>
      </c>
      <c r="W34" s="13">
        <v>0</v>
      </c>
      <c r="X34" s="13">
        <v>0</v>
      </c>
      <c r="Y34" s="13">
        <v>0</v>
      </c>
      <c r="Z34" s="13">
        <v>0</v>
      </c>
      <c r="AA34" s="13">
        <v>0</v>
      </c>
      <c r="AB34" s="13">
        <v>0</v>
      </c>
      <c r="AC34" s="13">
        <v>0</v>
      </c>
      <c r="AD34" s="13">
        <v>0</v>
      </c>
      <c r="AE34" s="13">
        <v>0</v>
      </c>
      <c r="AF34" s="13">
        <f t="shared" si="7"/>
        <v>515.70000000000005</v>
      </c>
      <c r="AG34" s="8">
        <v>31</v>
      </c>
    </row>
    <row r="35" spans="2:33"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c r="T35" s="13">
        <v>0</v>
      </c>
      <c r="U35" s="13">
        <v>0</v>
      </c>
      <c r="V35" s="13">
        <v>0</v>
      </c>
      <c r="W35" s="13">
        <v>0</v>
      </c>
      <c r="X35" s="13">
        <v>0</v>
      </c>
      <c r="Y35" s="13">
        <v>0</v>
      </c>
      <c r="Z35" s="13">
        <v>0</v>
      </c>
      <c r="AA35" s="13">
        <v>0</v>
      </c>
      <c r="AB35" s="13">
        <v>0</v>
      </c>
      <c r="AC35" s="13">
        <v>0</v>
      </c>
      <c r="AD35" s="13">
        <v>0</v>
      </c>
      <c r="AE35" s="13">
        <v>0</v>
      </c>
      <c r="AF35" s="13">
        <f t="shared" si="7"/>
        <v>0</v>
      </c>
      <c r="AG35" s="8">
        <v>32</v>
      </c>
    </row>
    <row r="36" spans="2:33" x14ac:dyDescent="0.2">
      <c r="C36" s="8">
        <v>343</v>
      </c>
      <c r="D36" s="8" t="s">
        <v>104</v>
      </c>
      <c r="E36" s="13">
        <v>0</v>
      </c>
      <c r="F36" s="13">
        <v>0</v>
      </c>
      <c r="G36" s="13">
        <v>0</v>
      </c>
      <c r="H36" s="13">
        <v>0</v>
      </c>
      <c r="I36" s="13">
        <v>0</v>
      </c>
      <c r="J36" s="13">
        <v>0</v>
      </c>
      <c r="K36" s="13">
        <v>0</v>
      </c>
      <c r="L36" s="13">
        <v>0</v>
      </c>
      <c r="M36" s="13">
        <v>0</v>
      </c>
      <c r="N36" s="13">
        <v>0</v>
      </c>
      <c r="O36" s="13">
        <v>0</v>
      </c>
      <c r="P36" s="13">
        <v>0</v>
      </c>
      <c r="Q36" s="13">
        <v>0</v>
      </c>
      <c r="R36" s="13">
        <v>0</v>
      </c>
      <c r="S36" s="13"/>
      <c r="T36" s="13">
        <v>0</v>
      </c>
      <c r="U36" s="13">
        <v>90232.1</v>
      </c>
      <c r="V36" s="13">
        <v>0</v>
      </c>
      <c r="W36" s="13">
        <v>0</v>
      </c>
      <c r="X36" s="13">
        <v>0</v>
      </c>
      <c r="Y36" s="13">
        <v>0</v>
      </c>
      <c r="Z36" s="13">
        <v>0</v>
      </c>
      <c r="AA36" s="13">
        <v>0</v>
      </c>
      <c r="AB36" s="13">
        <v>0</v>
      </c>
      <c r="AC36" s="13">
        <v>0</v>
      </c>
      <c r="AD36" s="13">
        <v>0</v>
      </c>
      <c r="AE36" s="13">
        <v>0</v>
      </c>
      <c r="AF36" s="13">
        <f t="shared" si="7"/>
        <v>90232.1</v>
      </c>
      <c r="AG36" s="8">
        <v>33</v>
      </c>
    </row>
    <row r="37" spans="2:33" x14ac:dyDescent="0.2">
      <c r="C37" s="8">
        <v>344</v>
      </c>
      <c r="D37" s="8" t="s">
        <v>105</v>
      </c>
      <c r="E37" s="13">
        <v>0</v>
      </c>
      <c r="F37" s="13">
        <v>0</v>
      </c>
      <c r="G37" s="13">
        <v>0</v>
      </c>
      <c r="H37" s="13">
        <v>0</v>
      </c>
      <c r="I37" s="13">
        <v>0</v>
      </c>
      <c r="J37" s="13">
        <v>0</v>
      </c>
      <c r="K37" s="13">
        <v>0</v>
      </c>
      <c r="L37" s="13">
        <v>0</v>
      </c>
      <c r="M37" s="13">
        <v>0</v>
      </c>
      <c r="N37" s="13">
        <v>0</v>
      </c>
      <c r="O37" s="13">
        <v>0</v>
      </c>
      <c r="P37" s="13">
        <v>0</v>
      </c>
      <c r="Q37" s="13">
        <v>0</v>
      </c>
      <c r="R37" s="13">
        <v>0</v>
      </c>
      <c r="S37" s="13"/>
      <c r="T37" s="13">
        <v>0</v>
      </c>
      <c r="U37" s="13">
        <v>0</v>
      </c>
      <c r="V37" s="13">
        <v>0</v>
      </c>
      <c r="W37" s="13">
        <v>0</v>
      </c>
      <c r="X37" s="13">
        <v>0</v>
      </c>
      <c r="Y37" s="13">
        <v>0</v>
      </c>
      <c r="Z37" s="13">
        <v>0</v>
      </c>
      <c r="AA37" s="13">
        <v>0</v>
      </c>
      <c r="AB37" s="13">
        <v>0</v>
      </c>
      <c r="AC37" s="13">
        <v>0</v>
      </c>
      <c r="AD37" s="13">
        <v>0</v>
      </c>
      <c r="AE37" s="13">
        <v>0</v>
      </c>
      <c r="AF37" s="13">
        <f t="shared" si="7"/>
        <v>0</v>
      </c>
      <c r="AG37" s="8">
        <v>34</v>
      </c>
    </row>
    <row r="38" spans="2:33" x14ac:dyDescent="0.2">
      <c r="C38" s="8">
        <v>349</v>
      </c>
      <c r="D38" s="8" t="s">
        <v>106</v>
      </c>
      <c r="E38" s="13">
        <v>0</v>
      </c>
      <c r="F38" s="13">
        <v>-911.15</v>
      </c>
      <c r="G38" s="13">
        <v>0</v>
      </c>
      <c r="H38" s="13">
        <v>11461.45</v>
      </c>
      <c r="I38" s="13">
        <v>0</v>
      </c>
      <c r="J38" s="13">
        <v>0</v>
      </c>
      <c r="K38" s="13">
        <v>0</v>
      </c>
      <c r="L38" s="13">
        <v>0</v>
      </c>
      <c r="M38" s="13">
        <v>0</v>
      </c>
      <c r="N38" s="13">
        <v>0</v>
      </c>
      <c r="O38" s="13">
        <v>0</v>
      </c>
      <c r="P38" s="13">
        <v>0</v>
      </c>
      <c r="Q38" s="13">
        <v>0</v>
      </c>
      <c r="R38" s="13">
        <v>0</v>
      </c>
      <c r="S38" s="13"/>
      <c r="T38" s="13">
        <v>0</v>
      </c>
      <c r="U38" s="13">
        <v>0</v>
      </c>
      <c r="V38" s="13">
        <v>0</v>
      </c>
      <c r="W38" s="13">
        <v>0</v>
      </c>
      <c r="X38" s="13">
        <v>0</v>
      </c>
      <c r="Y38" s="13">
        <v>0</v>
      </c>
      <c r="Z38" s="13">
        <v>0</v>
      </c>
      <c r="AA38" s="13">
        <v>0</v>
      </c>
      <c r="AB38" s="13">
        <v>0</v>
      </c>
      <c r="AC38" s="13">
        <v>0</v>
      </c>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2000</v>
      </c>
      <c r="V40" s="80">
        <f t="shared" si="8"/>
        <v>0</v>
      </c>
      <c r="W40" s="80">
        <f t="shared" si="8"/>
        <v>0</v>
      </c>
      <c r="X40" s="80">
        <f t="shared" si="8"/>
        <v>0</v>
      </c>
      <c r="Y40" s="80">
        <f t="shared" si="8"/>
        <v>0</v>
      </c>
      <c r="Z40" s="80">
        <f t="shared" si="8"/>
        <v>0</v>
      </c>
      <c r="AA40" s="80">
        <f t="shared" si="8"/>
        <v>581760</v>
      </c>
      <c r="AB40" s="80">
        <f t="shared" si="8"/>
        <v>0</v>
      </c>
      <c r="AC40" s="80">
        <f t="shared" si="8"/>
        <v>3842.33</v>
      </c>
      <c r="AD40" s="80">
        <f t="shared" si="8"/>
        <v>0</v>
      </c>
      <c r="AE40" s="80">
        <f t="shared" si="8"/>
        <v>88000</v>
      </c>
      <c r="AF40" s="80">
        <f t="shared" si="8"/>
        <v>2095602.33</v>
      </c>
      <c r="AG40" s="8">
        <v>37</v>
      </c>
    </row>
    <row r="41" spans="2:33" x14ac:dyDescent="0.2">
      <c r="C41" s="8">
        <v>350</v>
      </c>
      <c r="D41" s="8" t="s">
        <v>108</v>
      </c>
      <c r="E41" s="13">
        <v>0</v>
      </c>
      <c r="F41" s="13">
        <v>0</v>
      </c>
      <c r="G41" s="13">
        <v>0</v>
      </c>
      <c r="H41" s="13">
        <v>200000</v>
      </c>
      <c r="I41" s="13">
        <v>0</v>
      </c>
      <c r="J41" s="13">
        <v>0</v>
      </c>
      <c r="K41" s="13">
        <v>0</v>
      </c>
      <c r="L41" s="13">
        <v>0</v>
      </c>
      <c r="M41" s="13">
        <v>0</v>
      </c>
      <c r="N41" s="13">
        <v>0</v>
      </c>
      <c r="O41" s="13">
        <v>0</v>
      </c>
      <c r="P41" s="13">
        <v>0</v>
      </c>
      <c r="Q41" s="13">
        <v>0</v>
      </c>
      <c r="R41" s="13">
        <v>0</v>
      </c>
      <c r="S41" s="13"/>
      <c r="T41" s="13">
        <v>0</v>
      </c>
      <c r="U41" s="13">
        <v>0</v>
      </c>
      <c r="V41" s="13">
        <v>0</v>
      </c>
      <c r="W41" s="13">
        <v>0</v>
      </c>
      <c r="X41" s="13">
        <v>0</v>
      </c>
      <c r="Y41" s="13">
        <v>0</v>
      </c>
      <c r="Z41" s="13">
        <v>0</v>
      </c>
      <c r="AA41" s="13">
        <v>0</v>
      </c>
      <c r="AB41" s="13">
        <v>0</v>
      </c>
      <c r="AC41" s="13">
        <v>0</v>
      </c>
      <c r="AD41" s="13">
        <v>0</v>
      </c>
      <c r="AE41" s="13">
        <v>0</v>
      </c>
      <c r="AF41" s="13">
        <f t="shared" ref="AF41:AF42" si="9">SUM(E41:AE41)</f>
        <v>200000</v>
      </c>
      <c r="AG41" s="8">
        <v>38</v>
      </c>
    </row>
    <row r="42" spans="2:33" x14ac:dyDescent="0.2">
      <c r="C42" s="8">
        <v>351</v>
      </c>
      <c r="D42" s="8" t="s">
        <v>107</v>
      </c>
      <c r="E42" s="13">
        <v>0</v>
      </c>
      <c r="F42" s="13">
        <v>750000</v>
      </c>
      <c r="G42" s="13">
        <v>0</v>
      </c>
      <c r="H42" s="13">
        <v>0</v>
      </c>
      <c r="I42" s="13">
        <v>0</v>
      </c>
      <c r="J42" s="13">
        <v>0</v>
      </c>
      <c r="K42" s="13">
        <v>0</v>
      </c>
      <c r="L42" s="13">
        <v>0</v>
      </c>
      <c r="M42" s="13">
        <v>0</v>
      </c>
      <c r="N42" s="13">
        <v>0</v>
      </c>
      <c r="O42" s="13">
        <v>470000</v>
      </c>
      <c r="P42" s="13">
        <v>0</v>
      </c>
      <c r="Q42" s="13">
        <v>0</v>
      </c>
      <c r="R42" s="13">
        <v>0</v>
      </c>
      <c r="S42" s="13"/>
      <c r="T42" s="13">
        <v>0</v>
      </c>
      <c r="U42" s="13">
        <v>2000</v>
      </c>
      <c r="V42" s="13">
        <v>0</v>
      </c>
      <c r="W42" s="13">
        <v>0</v>
      </c>
      <c r="X42" s="13">
        <v>0</v>
      </c>
      <c r="Y42" s="13">
        <v>0</v>
      </c>
      <c r="Z42" s="13">
        <v>0</v>
      </c>
      <c r="AA42" s="13">
        <v>581760</v>
      </c>
      <c r="AB42" s="13">
        <v>0</v>
      </c>
      <c r="AC42" s="13">
        <v>3842.33</v>
      </c>
      <c r="AD42" s="13">
        <v>0</v>
      </c>
      <c r="AE42" s="13">
        <v>88000</v>
      </c>
      <c r="AF42" s="13">
        <f t="shared" si="9"/>
        <v>1895602.33</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498968.05</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92559.3</v>
      </c>
      <c r="AD44" s="80">
        <f t="shared" si="10"/>
        <v>0</v>
      </c>
      <c r="AE44" s="80">
        <f t="shared" si="10"/>
        <v>9576</v>
      </c>
      <c r="AF44" s="80">
        <f t="shared" si="10"/>
        <v>2389594.2199999997</v>
      </c>
      <c r="AG44" s="8">
        <v>41</v>
      </c>
    </row>
    <row r="45" spans="2:33" x14ac:dyDescent="0.2">
      <c r="C45" s="8">
        <v>360</v>
      </c>
      <c r="D45" s="8" t="s">
        <v>110</v>
      </c>
      <c r="E45" s="13">
        <v>236</v>
      </c>
      <c r="F45" s="13">
        <v>0</v>
      </c>
      <c r="G45" s="13">
        <v>0</v>
      </c>
      <c r="H45" s="13">
        <v>390320</v>
      </c>
      <c r="I45" s="13">
        <v>0</v>
      </c>
      <c r="J45" s="13">
        <v>0</v>
      </c>
      <c r="K45" s="13">
        <v>0</v>
      </c>
      <c r="L45" s="13">
        <v>0</v>
      </c>
      <c r="M45" s="13">
        <v>0</v>
      </c>
      <c r="N45" s="13">
        <v>0</v>
      </c>
      <c r="O45" s="13">
        <v>0</v>
      </c>
      <c r="P45" s="13">
        <v>0</v>
      </c>
      <c r="Q45" s="13">
        <v>0</v>
      </c>
      <c r="R45" s="13">
        <v>0</v>
      </c>
      <c r="S45" s="13"/>
      <c r="T45" s="13">
        <v>0</v>
      </c>
      <c r="U45" s="13">
        <v>0</v>
      </c>
      <c r="V45" s="13">
        <v>0</v>
      </c>
      <c r="W45" s="13">
        <v>0</v>
      </c>
      <c r="X45" s="13">
        <v>0</v>
      </c>
      <c r="Y45" s="13">
        <v>0</v>
      </c>
      <c r="Z45" s="13">
        <v>0</v>
      </c>
      <c r="AA45" s="13">
        <v>0</v>
      </c>
      <c r="AB45" s="13">
        <v>0</v>
      </c>
      <c r="AC45" s="13">
        <v>0</v>
      </c>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v>0</v>
      </c>
      <c r="J46" s="13">
        <v>0</v>
      </c>
      <c r="K46" s="13">
        <v>0</v>
      </c>
      <c r="L46" s="13">
        <v>0</v>
      </c>
      <c r="M46" s="13">
        <v>0</v>
      </c>
      <c r="N46" s="13">
        <v>0</v>
      </c>
      <c r="O46" s="13">
        <v>0</v>
      </c>
      <c r="P46" s="13">
        <v>0</v>
      </c>
      <c r="Q46" s="13">
        <v>0</v>
      </c>
      <c r="R46" s="13">
        <v>0</v>
      </c>
      <c r="S46" s="13"/>
      <c r="T46" s="13">
        <v>493268.05</v>
      </c>
      <c r="U46" s="13">
        <v>0</v>
      </c>
      <c r="V46" s="13">
        <v>19871.95</v>
      </c>
      <c r="W46" s="13">
        <v>0</v>
      </c>
      <c r="X46" s="13">
        <v>0</v>
      </c>
      <c r="Y46" s="13">
        <v>376465.37</v>
      </c>
      <c r="Z46" s="13">
        <v>0</v>
      </c>
      <c r="AA46" s="13">
        <v>0</v>
      </c>
      <c r="AB46" s="13">
        <v>0</v>
      </c>
      <c r="AC46" s="13">
        <v>92559.3</v>
      </c>
      <c r="AD46" s="13">
        <v>0</v>
      </c>
      <c r="AE46" s="13">
        <v>0</v>
      </c>
      <c r="AF46" s="13">
        <f t="shared" si="11"/>
        <v>1591274.47</v>
      </c>
      <c r="AG46" s="8">
        <v>43</v>
      </c>
    </row>
    <row r="47" spans="2:33" x14ac:dyDescent="0.2">
      <c r="C47" s="8">
        <v>362</v>
      </c>
      <c r="D47" s="8" t="s">
        <v>112</v>
      </c>
      <c r="E47" s="13">
        <v>0</v>
      </c>
      <c r="F47" s="13">
        <v>0</v>
      </c>
      <c r="G47" s="13">
        <v>0</v>
      </c>
      <c r="H47" s="13">
        <v>155.75</v>
      </c>
      <c r="I47" s="13">
        <v>0</v>
      </c>
      <c r="J47" s="13">
        <v>0</v>
      </c>
      <c r="K47" s="13">
        <v>0</v>
      </c>
      <c r="L47" s="13">
        <v>0</v>
      </c>
      <c r="M47" s="13">
        <v>0</v>
      </c>
      <c r="N47" s="13">
        <v>0</v>
      </c>
      <c r="O47" s="13">
        <v>0</v>
      </c>
      <c r="P47" s="13">
        <v>0</v>
      </c>
      <c r="Q47" s="13">
        <v>0</v>
      </c>
      <c r="R47" s="13">
        <v>0</v>
      </c>
      <c r="S47" s="13"/>
      <c r="T47" s="13">
        <v>0</v>
      </c>
      <c r="U47" s="13">
        <v>0</v>
      </c>
      <c r="V47" s="13">
        <v>0</v>
      </c>
      <c r="W47" s="13">
        <v>0</v>
      </c>
      <c r="X47" s="13">
        <v>0</v>
      </c>
      <c r="Y47" s="13">
        <v>0</v>
      </c>
      <c r="Z47" s="13">
        <v>0</v>
      </c>
      <c r="AA47" s="13">
        <v>0</v>
      </c>
      <c r="AB47" s="13">
        <v>0</v>
      </c>
      <c r="AC47" s="13">
        <v>0</v>
      </c>
      <c r="AD47" s="13">
        <v>0</v>
      </c>
      <c r="AE47" s="13">
        <v>0</v>
      </c>
      <c r="AF47" s="13">
        <f t="shared" si="11"/>
        <v>155.75</v>
      </c>
      <c r="AG47" s="8">
        <v>44</v>
      </c>
    </row>
    <row r="48" spans="2:33" x14ac:dyDescent="0.2">
      <c r="C48" s="8">
        <v>363</v>
      </c>
      <c r="D48" s="8" t="s">
        <v>113</v>
      </c>
      <c r="E48" s="13">
        <v>0</v>
      </c>
      <c r="F48" s="13">
        <v>3250</v>
      </c>
      <c r="G48" s="13">
        <v>0</v>
      </c>
      <c r="H48" s="13">
        <v>0</v>
      </c>
      <c r="I48" s="13">
        <v>0</v>
      </c>
      <c r="J48" s="13">
        <v>0</v>
      </c>
      <c r="K48" s="13">
        <v>0</v>
      </c>
      <c r="L48" s="13">
        <v>0</v>
      </c>
      <c r="M48" s="13">
        <v>0</v>
      </c>
      <c r="N48" s="13">
        <v>8000</v>
      </c>
      <c r="O48" s="13">
        <v>0</v>
      </c>
      <c r="P48" s="13">
        <v>0</v>
      </c>
      <c r="Q48" s="13">
        <v>0</v>
      </c>
      <c r="R48" s="13">
        <v>0</v>
      </c>
      <c r="S48" s="13"/>
      <c r="T48" s="13">
        <v>5700</v>
      </c>
      <c r="U48" s="13">
        <v>0</v>
      </c>
      <c r="V48" s="13">
        <v>0</v>
      </c>
      <c r="W48" s="13">
        <v>0</v>
      </c>
      <c r="X48" s="13">
        <v>0</v>
      </c>
      <c r="Y48" s="13">
        <v>40000</v>
      </c>
      <c r="Z48" s="13">
        <v>0</v>
      </c>
      <c r="AA48" s="13">
        <v>0</v>
      </c>
      <c r="AB48" s="13">
        <v>0</v>
      </c>
      <c r="AC48" s="13">
        <v>0</v>
      </c>
      <c r="AD48" s="13">
        <v>0</v>
      </c>
      <c r="AE48" s="13">
        <v>0</v>
      </c>
      <c r="AF48" s="13">
        <f t="shared" si="11"/>
        <v>56950</v>
      </c>
      <c r="AG48" s="8">
        <v>45</v>
      </c>
    </row>
    <row r="49" spans="2:33"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c r="T49" s="13">
        <v>0</v>
      </c>
      <c r="U49" s="13">
        <v>0</v>
      </c>
      <c r="V49" s="13">
        <v>0</v>
      </c>
      <c r="W49" s="13">
        <v>0</v>
      </c>
      <c r="X49" s="13">
        <v>0</v>
      </c>
      <c r="Y49" s="13">
        <v>0</v>
      </c>
      <c r="Z49" s="13">
        <v>0</v>
      </c>
      <c r="AA49" s="13">
        <v>0</v>
      </c>
      <c r="AB49" s="13">
        <v>0</v>
      </c>
      <c r="AC49" s="13">
        <v>0</v>
      </c>
      <c r="AD49" s="13">
        <v>0</v>
      </c>
      <c r="AE49" s="13">
        <v>0</v>
      </c>
      <c r="AF49" s="13">
        <f t="shared" si="11"/>
        <v>0</v>
      </c>
      <c r="AG49" s="8">
        <v>46</v>
      </c>
    </row>
    <row r="50" spans="2:33"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c r="T50" s="13">
        <v>0</v>
      </c>
      <c r="U50" s="13">
        <v>0</v>
      </c>
      <c r="V50" s="13">
        <v>0</v>
      </c>
      <c r="W50" s="13">
        <v>0</v>
      </c>
      <c r="X50" s="13">
        <v>0</v>
      </c>
      <c r="Y50" s="13">
        <v>0</v>
      </c>
      <c r="Z50" s="13">
        <v>0</v>
      </c>
      <c r="AA50" s="13">
        <v>0</v>
      </c>
      <c r="AB50" s="13">
        <v>0</v>
      </c>
      <c r="AC50" s="13">
        <v>0</v>
      </c>
      <c r="AD50" s="13">
        <v>0</v>
      </c>
      <c r="AE50" s="13">
        <v>0</v>
      </c>
      <c r="AF50" s="13">
        <f t="shared" si="11"/>
        <v>0</v>
      </c>
      <c r="AG50" s="8">
        <v>47</v>
      </c>
    </row>
    <row r="51" spans="2:33" x14ac:dyDescent="0.2">
      <c r="C51" s="8">
        <v>366</v>
      </c>
      <c r="D51" s="8" t="s">
        <v>116</v>
      </c>
      <c r="E51" s="13">
        <v>0</v>
      </c>
      <c r="F51" s="13">
        <v>0</v>
      </c>
      <c r="G51" s="13">
        <v>0</v>
      </c>
      <c r="H51" s="13">
        <v>0</v>
      </c>
      <c r="I51" s="13">
        <v>0</v>
      </c>
      <c r="J51" s="13">
        <v>0</v>
      </c>
      <c r="K51" s="13">
        <v>0</v>
      </c>
      <c r="L51" s="13">
        <v>0</v>
      </c>
      <c r="M51" s="13">
        <v>0</v>
      </c>
      <c r="N51" s="13">
        <v>0</v>
      </c>
      <c r="O51" s="13">
        <v>0</v>
      </c>
      <c r="P51" s="13">
        <v>0</v>
      </c>
      <c r="Q51" s="13">
        <v>0</v>
      </c>
      <c r="R51" s="13">
        <v>0</v>
      </c>
      <c r="S51" s="13"/>
      <c r="T51" s="13">
        <v>0</v>
      </c>
      <c r="U51" s="13">
        <v>0</v>
      </c>
      <c r="V51" s="13">
        <v>0</v>
      </c>
      <c r="W51" s="13">
        <v>0</v>
      </c>
      <c r="X51" s="13">
        <v>0</v>
      </c>
      <c r="Y51" s="13">
        <v>0</v>
      </c>
      <c r="Z51" s="13">
        <v>0</v>
      </c>
      <c r="AA51" s="13">
        <v>0</v>
      </c>
      <c r="AB51" s="13">
        <v>0</v>
      </c>
      <c r="AC51" s="13">
        <v>0</v>
      </c>
      <c r="AD51" s="13">
        <v>0</v>
      </c>
      <c r="AE51" s="13">
        <v>0</v>
      </c>
      <c r="AF51" s="13">
        <f t="shared" si="11"/>
        <v>0</v>
      </c>
      <c r="AG51" s="8">
        <v>48</v>
      </c>
    </row>
    <row r="52" spans="2:33" x14ac:dyDescent="0.2">
      <c r="C52" s="8">
        <v>369</v>
      </c>
      <c r="D52" s="8" t="s">
        <v>117</v>
      </c>
      <c r="E52" s="13">
        <v>0</v>
      </c>
      <c r="F52" s="13">
        <v>330552</v>
      </c>
      <c r="G52" s="13">
        <v>0</v>
      </c>
      <c r="H52" s="13">
        <v>0</v>
      </c>
      <c r="I52" s="13">
        <v>0</v>
      </c>
      <c r="J52" s="13">
        <v>0</v>
      </c>
      <c r="K52" s="13">
        <v>0</v>
      </c>
      <c r="L52" s="13">
        <v>0</v>
      </c>
      <c r="M52" s="13">
        <v>0</v>
      </c>
      <c r="N52" s="13">
        <v>0</v>
      </c>
      <c r="O52" s="13">
        <v>0</v>
      </c>
      <c r="P52" s="13">
        <v>0</v>
      </c>
      <c r="Q52" s="13">
        <v>0</v>
      </c>
      <c r="R52" s="13">
        <v>0</v>
      </c>
      <c r="S52" s="13"/>
      <c r="T52" s="13">
        <v>0</v>
      </c>
      <c r="U52" s="13">
        <v>0</v>
      </c>
      <c r="V52" s="13">
        <v>0</v>
      </c>
      <c r="W52" s="13">
        <v>0</v>
      </c>
      <c r="X52" s="13">
        <v>0</v>
      </c>
      <c r="Y52" s="13">
        <v>0</v>
      </c>
      <c r="Z52" s="13">
        <v>0</v>
      </c>
      <c r="AA52" s="13">
        <v>0</v>
      </c>
      <c r="AB52" s="13">
        <v>10530</v>
      </c>
      <c r="AC52" s="13">
        <v>0</v>
      </c>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v>0</v>
      </c>
      <c r="J55" s="13">
        <v>0</v>
      </c>
      <c r="K55" s="13"/>
      <c r="L55" s="13">
        <v>0</v>
      </c>
      <c r="M55" s="13">
        <v>0</v>
      </c>
      <c r="N55" s="13">
        <v>0</v>
      </c>
      <c r="O55" s="13">
        <v>0</v>
      </c>
      <c r="P55" s="13">
        <v>0</v>
      </c>
      <c r="Q55" s="13">
        <v>0</v>
      </c>
      <c r="R55" s="13">
        <v>0</v>
      </c>
      <c r="S55" s="13"/>
      <c r="T55" s="13">
        <v>0</v>
      </c>
      <c r="U55" s="13">
        <v>0</v>
      </c>
      <c r="V55" s="13">
        <v>0</v>
      </c>
      <c r="W55" s="13">
        <v>0</v>
      </c>
      <c r="X55" s="13">
        <v>0</v>
      </c>
      <c r="Y55" s="13">
        <v>0</v>
      </c>
      <c r="Z55" s="13">
        <v>0</v>
      </c>
      <c r="AA55" s="13">
        <v>0</v>
      </c>
      <c r="AB55" s="13">
        <v>0</v>
      </c>
      <c r="AC55" s="13">
        <v>0</v>
      </c>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c r="T58" s="13">
        <v>0</v>
      </c>
      <c r="U58" s="13">
        <v>0</v>
      </c>
      <c r="V58" s="13">
        <v>0</v>
      </c>
      <c r="W58" s="13">
        <v>0</v>
      </c>
      <c r="X58" s="13">
        <v>0</v>
      </c>
      <c r="Y58" s="13">
        <v>0</v>
      </c>
      <c r="Z58" s="13">
        <v>0</v>
      </c>
      <c r="AA58" s="13">
        <v>0</v>
      </c>
      <c r="AB58" s="13">
        <v>0</v>
      </c>
      <c r="AC58" s="13">
        <v>0</v>
      </c>
      <c r="AD58" s="13">
        <v>0</v>
      </c>
      <c r="AE58" s="13">
        <v>0</v>
      </c>
      <c r="AF58" s="13">
        <f t="shared" ref="AF58:AF63" si="14">SUM(E58:AE58)</f>
        <v>0</v>
      </c>
      <c r="AG58" s="8">
        <v>55</v>
      </c>
    </row>
    <row r="59" spans="2:33" x14ac:dyDescent="0.2">
      <c r="C59" s="8">
        <v>381</v>
      </c>
      <c r="D59" s="8" t="s">
        <v>122</v>
      </c>
      <c r="E59" s="13">
        <v>0</v>
      </c>
      <c r="F59" s="13">
        <v>0</v>
      </c>
      <c r="G59" s="13">
        <v>0</v>
      </c>
      <c r="H59" s="13">
        <v>0</v>
      </c>
      <c r="I59" s="13">
        <v>0</v>
      </c>
      <c r="J59" s="13">
        <v>0</v>
      </c>
      <c r="K59" s="13">
        <v>0</v>
      </c>
      <c r="L59" s="13">
        <v>0</v>
      </c>
      <c r="M59" s="13">
        <v>0</v>
      </c>
      <c r="N59" s="13">
        <v>0</v>
      </c>
      <c r="O59" s="13">
        <v>0</v>
      </c>
      <c r="P59" s="13">
        <v>0</v>
      </c>
      <c r="Q59" s="13">
        <v>0</v>
      </c>
      <c r="R59" s="13">
        <v>0</v>
      </c>
      <c r="S59" s="13"/>
      <c r="T59" s="13">
        <v>0</v>
      </c>
      <c r="U59" s="13">
        <v>0</v>
      </c>
      <c r="V59" s="13">
        <v>0</v>
      </c>
      <c r="W59" s="13">
        <v>0</v>
      </c>
      <c r="X59" s="13">
        <v>0</v>
      </c>
      <c r="Y59" s="13">
        <v>0</v>
      </c>
      <c r="Z59" s="13">
        <v>0</v>
      </c>
      <c r="AA59" s="13">
        <v>0</v>
      </c>
      <c r="AB59" s="13">
        <v>0</v>
      </c>
      <c r="AC59" s="13">
        <v>0</v>
      </c>
      <c r="AD59" s="13">
        <v>0</v>
      </c>
      <c r="AE59" s="13">
        <v>0</v>
      </c>
      <c r="AF59" s="13">
        <f t="shared" si="14"/>
        <v>0</v>
      </c>
      <c r="AG59" s="8">
        <v>56</v>
      </c>
    </row>
    <row r="60" spans="2:33" x14ac:dyDescent="0.2">
      <c r="C60" s="8">
        <v>384</v>
      </c>
      <c r="D60" s="8" t="s">
        <v>123</v>
      </c>
      <c r="E60" s="13">
        <v>0</v>
      </c>
      <c r="F60" s="13">
        <v>0</v>
      </c>
      <c r="G60" s="13">
        <v>0</v>
      </c>
      <c r="H60" s="13">
        <v>0</v>
      </c>
      <c r="I60" s="13">
        <v>0</v>
      </c>
      <c r="J60" s="13">
        <v>0</v>
      </c>
      <c r="K60" s="13">
        <v>0</v>
      </c>
      <c r="L60" s="13">
        <v>0</v>
      </c>
      <c r="M60" s="13">
        <v>0</v>
      </c>
      <c r="N60" s="13">
        <v>0</v>
      </c>
      <c r="O60" s="13">
        <v>0</v>
      </c>
      <c r="P60" s="13">
        <v>0</v>
      </c>
      <c r="Q60" s="13">
        <v>0</v>
      </c>
      <c r="R60" s="13">
        <v>0</v>
      </c>
      <c r="S60" s="13"/>
      <c r="T60" s="13">
        <v>0</v>
      </c>
      <c r="U60" s="13">
        <v>0</v>
      </c>
      <c r="V60" s="13">
        <v>0</v>
      </c>
      <c r="W60" s="13">
        <v>0</v>
      </c>
      <c r="X60" s="13">
        <v>0</v>
      </c>
      <c r="Y60" s="13">
        <v>0</v>
      </c>
      <c r="Z60" s="13">
        <v>0</v>
      </c>
      <c r="AA60" s="13">
        <v>0</v>
      </c>
      <c r="AB60" s="13">
        <v>0</v>
      </c>
      <c r="AC60" s="13">
        <v>0</v>
      </c>
      <c r="AD60" s="13">
        <v>0</v>
      </c>
      <c r="AE60" s="13">
        <v>0</v>
      </c>
      <c r="AF60" s="13">
        <f t="shared" si="14"/>
        <v>0</v>
      </c>
      <c r="AG60" s="8">
        <v>57</v>
      </c>
    </row>
    <row r="61" spans="2:33"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c r="T61" s="13">
        <v>0</v>
      </c>
      <c r="U61" s="13">
        <v>0</v>
      </c>
      <c r="V61" s="13">
        <v>0</v>
      </c>
      <c r="W61" s="13">
        <v>0</v>
      </c>
      <c r="X61" s="13">
        <v>0</v>
      </c>
      <c r="Y61" s="13">
        <v>0</v>
      </c>
      <c r="Z61" s="13">
        <v>0</v>
      </c>
      <c r="AA61" s="13">
        <v>0</v>
      </c>
      <c r="AB61" s="13">
        <v>0</v>
      </c>
      <c r="AC61" s="13">
        <v>0</v>
      </c>
      <c r="AD61" s="13">
        <v>0</v>
      </c>
      <c r="AE61" s="13">
        <v>0</v>
      </c>
      <c r="AF61" s="13">
        <f t="shared" si="14"/>
        <v>0</v>
      </c>
      <c r="AG61" s="8">
        <v>58</v>
      </c>
    </row>
    <row r="62" spans="2:33"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c r="T62" s="13">
        <v>0</v>
      </c>
      <c r="U62" s="13">
        <v>0</v>
      </c>
      <c r="V62" s="13">
        <v>0</v>
      </c>
      <c r="W62" s="13">
        <v>0</v>
      </c>
      <c r="X62" s="13">
        <v>0</v>
      </c>
      <c r="Y62" s="13">
        <v>0</v>
      </c>
      <c r="Z62" s="13">
        <v>0</v>
      </c>
      <c r="AA62" s="13">
        <v>0</v>
      </c>
      <c r="AB62" s="13">
        <v>0</v>
      </c>
      <c r="AC62" s="13">
        <v>0</v>
      </c>
      <c r="AD62" s="13">
        <v>0</v>
      </c>
      <c r="AE62" s="13">
        <v>0</v>
      </c>
      <c r="AF62" s="13">
        <f t="shared" si="14"/>
        <v>0</v>
      </c>
      <c r="AG62" s="8">
        <v>59</v>
      </c>
    </row>
    <row r="63" spans="2:33" x14ac:dyDescent="0.2">
      <c r="C63" s="8">
        <v>389</v>
      </c>
      <c r="D63" s="8" t="s">
        <v>289</v>
      </c>
      <c r="E63" s="13">
        <v>0</v>
      </c>
      <c r="F63" s="13">
        <v>0</v>
      </c>
      <c r="G63" s="13">
        <v>0</v>
      </c>
      <c r="H63" s="13">
        <v>2000000</v>
      </c>
      <c r="I63" s="13">
        <v>0</v>
      </c>
      <c r="J63" s="13">
        <v>0</v>
      </c>
      <c r="K63" s="13">
        <v>0</v>
      </c>
      <c r="L63" s="13">
        <v>0</v>
      </c>
      <c r="M63" s="13">
        <v>0</v>
      </c>
      <c r="N63" s="13">
        <v>0</v>
      </c>
      <c r="O63" s="13">
        <v>0</v>
      </c>
      <c r="P63" s="13">
        <v>0</v>
      </c>
      <c r="Q63" s="13">
        <v>0</v>
      </c>
      <c r="R63" s="13">
        <v>0</v>
      </c>
      <c r="S63" s="13"/>
      <c r="T63" s="13">
        <v>0</v>
      </c>
      <c r="U63" s="13">
        <v>0</v>
      </c>
      <c r="V63" s="13">
        <v>0</v>
      </c>
      <c r="W63" s="13">
        <v>0</v>
      </c>
      <c r="X63" s="13">
        <v>277000</v>
      </c>
      <c r="Y63" s="13">
        <v>0</v>
      </c>
      <c r="Z63" s="13">
        <v>0</v>
      </c>
      <c r="AA63" s="13">
        <v>0</v>
      </c>
      <c r="AB63" s="13">
        <v>0</v>
      </c>
      <c r="AC63" s="13">
        <v>0</v>
      </c>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53709.4</v>
      </c>
      <c r="U65" s="80">
        <f t="shared" si="15"/>
        <v>350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252839.69</v>
      </c>
      <c r="AG65" s="8">
        <v>62</v>
      </c>
    </row>
    <row r="66" spans="1:33" x14ac:dyDescent="0.2">
      <c r="C66" s="8">
        <v>390</v>
      </c>
      <c r="D66" s="8" t="s">
        <v>128</v>
      </c>
      <c r="E66" s="13">
        <v>0</v>
      </c>
      <c r="F66" s="13">
        <v>0</v>
      </c>
      <c r="G66" s="13">
        <v>0</v>
      </c>
      <c r="H66" s="13">
        <v>0</v>
      </c>
      <c r="I66" s="13">
        <v>0</v>
      </c>
      <c r="J66" s="13">
        <v>0</v>
      </c>
      <c r="K66" s="13">
        <v>0</v>
      </c>
      <c r="L66" s="13">
        <v>0</v>
      </c>
      <c r="M66" s="13">
        <v>0</v>
      </c>
      <c r="N66" s="13">
        <v>0</v>
      </c>
      <c r="O66" s="13">
        <v>0</v>
      </c>
      <c r="P66" s="13">
        <v>0</v>
      </c>
      <c r="Q66" s="13">
        <v>0</v>
      </c>
      <c r="R66" s="13">
        <v>0</v>
      </c>
      <c r="S66" s="13"/>
      <c r="T66" s="13">
        <v>0</v>
      </c>
      <c r="U66" s="13">
        <v>0</v>
      </c>
      <c r="V66" s="13">
        <v>0</v>
      </c>
      <c r="W66" s="13">
        <v>0</v>
      </c>
      <c r="X66" s="13">
        <v>0</v>
      </c>
      <c r="Y66" s="13">
        <v>0</v>
      </c>
      <c r="Z66" s="13">
        <v>0</v>
      </c>
      <c r="AA66" s="13">
        <v>0</v>
      </c>
      <c r="AB66" s="13">
        <v>0</v>
      </c>
      <c r="AC66" s="13">
        <v>0</v>
      </c>
      <c r="AD66" s="13">
        <v>0</v>
      </c>
      <c r="AE66" s="13">
        <v>0</v>
      </c>
      <c r="AF66" s="13">
        <f t="shared" ref="AF66:AF73" si="16">SUM(E66:AE66)</f>
        <v>0</v>
      </c>
      <c r="AG66" s="8">
        <v>63</v>
      </c>
    </row>
    <row r="67" spans="1:33" x14ac:dyDescent="0.2">
      <c r="C67" s="8">
        <v>391</v>
      </c>
      <c r="D67" s="8" t="s">
        <v>129</v>
      </c>
      <c r="E67" s="13">
        <v>0</v>
      </c>
      <c r="F67" s="13">
        <v>0</v>
      </c>
      <c r="G67" s="13">
        <v>0</v>
      </c>
      <c r="H67" s="13">
        <v>0</v>
      </c>
      <c r="I67" s="13">
        <v>0</v>
      </c>
      <c r="J67" s="13">
        <v>0</v>
      </c>
      <c r="K67" s="13">
        <v>0</v>
      </c>
      <c r="L67" s="13">
        <v>0</v>
      </c>
      <c r="M67" s="13">
        <v>0</v>
      </c>
      <c r="N67" s="13">
        <v>0</v>
      </c>
      <c r="O67" s="13">
        <v>0</v>
      </c>
      <c r="P67" s="13">
        <v>0</v>
      </c>
      <c r="Q67" s="13">
        <v>0</v>
      </c>
      <c r="R67" s="13">
        <v>0</v>
      </c>
      <c r="S67" s="13"/>
      <c r="T67" s="13">
        <v>0</v>
      </c>
      <c r="U67" s="13">
        <v>350</v>
      </c>
      <c r="V67" s="13">
        <v>0</v>
      </c>
      <c r="W67" s="13">
        <v>0</v>
      </c>
      <c r="X67" s="13">
        <v>0</v>
      </c>
      <c r="Y67" s="13">
        <v>0</v>
      </c>
      <c r="Z67" s="13">
        <v>0</v>
      </c>
      <c r="AA67" s="13">
        <v>0</v>
      </c>
      <c r="AB67" s="13">
        <v>0</v>
      </c>
      <c r="AC67" s="13">
        <v>0</v>
      </c>
      <c r="AD67" s="13">
        <v>0</v>
      </c>
      <c r="AE67" s="13">
        <v>0</v>
      </c>
      <c r="AF67" s="13">
        <f t="shared" si="16"/>
        <v>350</v>
      </c>
      <c r="AG67" s="8">
        <v>64</v>
      </c>
    </row>
    <row r="68" spans="1:33" x14ac:dyDescent="0.2">
      <c r="C68" s="8">
        <v>392</v>
      </c>
      <c r="D68" s="8" t="s">
        <v>130</v>
      </c>
      <c r="E68" s="13">
        <v>0</v>
      </c>
      <c r="F68" s="13">
        <v>0</v>
      </c>
      <c r="G68" s="13">
        <v>0</v>
      </c>
      <c r="H68" s="13">
        <v>0</v>
      </c>
      <c r="I68" s="13">
        <v>0</v>
      </c>
      <c r="J68" s="13">
        <v>0</v>
      </c>
      <c r="K68" s="13">
        <v>0</v>
      </c>
      <c r="L68" s="13">
        <v>0</v>
      </c>
      <c r="M68" s="13">
        <v>0</v>
      </c>
      <c r="N68" s="13">
        <v>0</v>
      </c>
      <c r="O68" s="13">
        <v>0</v>
      </c>
      <c r="P68" s="13">
        <v>0</v>
      </c>
      <c r="Q68" s="13">
        <v>0</v>
      </c>
      <c r="R68" s="13">
        <v>0</v>
      </c>
      <c r="S68" s="13"/>
      <c r="T68" s="13">
        <v>0</v>
      </c>
      <c r="U68" s="13">
        <v>0</v>
      </c>
      <c r="V68" s="13">
        <v>0</v>
      </c>
      <c r="W68" s="13">
        <v>0</v>
      </c>
      <c r="X68" s="13">
        <v>0</v>
      </c>
      <c r="Y68" s="13">
        <v>0</v>
      </c>
      <c r="Z68" s="13">
        <v>0</v>
      </c>
      <c r="AA68" s="13">
        <v>0</v>
      </c>
      <c r="AB68" s="13">
        <v>0</v>
      </c>
      <c r="AC68" s="13">
        <v>0</v>
      </c>
      <c r="AD68" s="13">
        <v>0</v>
      </c>
      <c r="AE68" s="13">
        <v>0</v>
      </c>
      <c r="AF68" s="13">
        <f t="shared" si="16"/>
        <v>0</v>
      </c>
      <c r="AG68" s="8">
        <v>65</v>
      </c>
    </row>
    <row r="69" spans="1:33" x14ac:dyDescent="0.2">
      <c r="C69" s="8">
        <v>393</v>
      </c>
      <c r="D69" s="8" t="s">
        <v>131</v>
      </c>
      <c r="E69" s="13">
        <v>0</v>
      </c>
      <c r="F69" s="13">
        <v>0</v>
      </c>
      <c r="G69" s="13">
        <v>0</v>
      </c>
      <c r="H69" s="13">
        <v>0</v>
      </c>
      <c r="I69" s="13">
        <v>0</v>
      </c>
      <c r="J69" s="13">
        <v>0</v>
      </c>
      <c r="K69" s="13">
        <v>0</v>
      </c>
      <c r="L69" s="13">
        <v>0</v>
      </c>
      <c r="M69" s="13">
        <v>0</v>
      </c>
      <c r="N69" s="13">
        <v>0</v>
      </c>
      <c r="O69" s="13">
        <v>0</v>
      </c>
      <c r="P69" s="13">
        <v>0</v>
      </c>
      <c r="Q69" s="13">
        <v>0</v>
      </c>
      <c r="R69" s="13">
        <v>0</v>
      </c>
      <c r="S69" s="13"/>
      <c r="T69" s="13">
        <v>0</v>
      </c>
      <c r="U69" s="13">
        <v>0</v>
      </c>
      <c r="V69" s="13">
        <v>0</v>
      </c>
      <c r="W69" s="13">
        <v>0</v>
      </c>
      <c r="X69" s="13">
        <v>0</v>
      </c>
      <c r="Y69" s="13">
        <v>0</v>
      </c>
      <c r="Z69" s="13">
        <v>0</v>
      </c>
      <c r="AA69" s="13">
        <v>0</v>
      </c>
      <c r="AB69" s="13">
        <v>0</v>
      </c>
      <c r="AC69" s="13">
        <v>0</v>
      </c>
      <c r="AD69" s="13">
        <v>0</v>
      </c>
      <c r="AE69" s="13">
        <v>0</v>
      </c>
      <c r="AF69" s="13">
        <f t="shared" si="16"/>
        <v>0</v>
      </c>
      <c r="AG69" s="8">
        <v>66</v>
      </c>
    </row>
    <row r="70" spans="1:33" x14ac:dyDescent="0.2">
      <c r="C70" s="8">
        <v>394</v>
      </c>
      <c r="D70" s="8" t="s">
        <v>132</v>
      </c>
      <c r="E70" s="13">
        <v>0</v>
      </c>
      <c r="F70" s="13">
        <v>0</v>
      </c>
      <c r="G70" s="13">
        <v>0</v>
      </c>
      <c r="H70" s="13">
        <v>0</v>
      </c>
      <c r="I70" s="13">
        <v>0</v>
      </c>
      <c r="J70" s="13">
        <v>0</v>
      </c>
      <c r="K70" s="13">
        <v>0</v>
      </c>
      <c r="L70" s="13">
        <v>0</v>
      </c>
      <c r="M70" s="13">
        <v>0</v>
      </c>
      <c r="N70" s="13">
        <v>0</v>
      </c>
      <c r="O70" s="13">
        <v>0</v>
      </c>
      <c r="P70" s="13">
        <v>0</v>
      </c>
      <c r="Q70" s="13">
        <v>0</v>
      </c>
      <c r="R70" s="13">
        <v>0</v>
      </c>
      <c r="S70" s="13"/>
      <c r="T70" s="13">
        <v>53709.4</v>
      </c>
      <c r="U70" s="13">
        <v>0</v>
      </c>
      <c r="V70" s="13">
        <v>0</v>
      </c>
      <c r="W70" s="13">
        <v>0</v>
      </c>
      <c r="X70" s="13">
        <v>0</v>
      </c>
      <c r="Y70" s="13">
        <v>0</v>
      </c>
      <c r="Z70" s="13">
        <v>15434.6</v>
      </c>
      <c r="AA70" s="13">
        <v>0</v>
      </c>
      <c r="AB70" s="13">
        <v>0</v>
      </c>
      <c r="AC70" s="13">
        <v>0</v>
      </c>
      <c r="AD70" s="13">
        <v>0</v>
      </c>
      <c r="AE70" s="13">
        <v>0</v>
      </c>
      <c r="AF70" s="13">
        <f t="shared" si="16"/>
        <v>69144</v>
      </c>
      <c r="AG70" s="8">
        <v>67</v>
      </c>
    </row>
    <row r="71" spans="1:33" x14ac:dyDescent="0.2">
      <c r="C71" s="8">
        <v>395</v>
      </c>
      <c r="D71" s="8" t="s">
        <v>133</v>
      </c>
      <c r="E71" s="13">
        <v>0</v>
      </c>
      <c r="F71" s="13">
        <v>0</v>
      </c>
      <c r="G71" s="13">
        <v>0</v>
      </c>
      <c r="H71" s="13">
        <v>0</v>
      </c>
      <c r="I71" s="13">
        <v>0</v>
      </c>
      <c r="J71" s="13">
        <v>0</v>
      </c>
      <c r="K71" s="13">
        <v>0</v>
      </c>
      <c r="L71" s="13">
        <v>0</v>
      </c>
      <c r="M71" s="13">
        <v>0</v>
      </c>
      <c r="N71" s="13">
        <v>0</v>
      </c>
      <c r="O71" s="13">
        <v>0</v>
      </c>
      <c r="P71" s="13">
        <v>0</v>
      </c>
      <c r="Q71" s="13">
        <v>0</v>
      </c>
      <c r="R71" s="13">
        <v>0</v>
      </c>
      <c r="S71" s="13"/>
      <c r="T71" s="13">
        <v>0</v>
      </c>
      <c r="U71" s="13">
        <v>0</v>
      </c>
      <c r="V71" s="13">
        <v>0</v>
      </c>
      <c r="W71" s="13">
        <v>0</v>
      </c>
      <c r="X71" s="13">
        <v>0</v>
      </c>
      <c r="Y71" s="13">
        <v>0</v>
      </c>
      <c r="Z71" s="13">
        <v>0</v>
      </c>
      <c r="AA71" s="13">
        <v>0</v>
      </c>
      <c r="AB71" s="13">
        <v>0</v>
      </c>
      <c r="AC71" s="13">
        <v>0</v>
      </c>
      <c r="AD71" s="13">
        <v>0</v>
      </c>
      <c r="AE71" s="13">
        <v>0</v>
      </c>
      <c r="AF71" s="13">
        <f t="shared" si="16"/>
        <v>0</v>
      </c>
      <c r="AG71" s="8">
        <v>68</v>
      </c>
    </row>
    <row r="72" spans="1:33" x14ac:dyDescent="0.2">
      <c r="C72" s="8">
        <v>398</v>
      </c>
      <c r="D72" s="8" t="s">
        <v>134</v>
      </c>
      <c r="E72" s="13">
        <v>0</v>
      </c>
      <c r="F72" s="13">
        <v>0</v>
      </c>
      <c r="G72" s="13">
        <v>0</v>
      </c>
      <c r="H72" s="13">
        <v>0</v>
      </c>
      <c r="I72" s="13">
        <v>0</v>
      </c>
      <c r="J72" s="13">
        <v>0</v>
      </c>
      <c r="K72" s="13">
        <v>0</v>
      </c>
      <c r="L72" s="13">
        <v>0</v>
      </c>
      <c r="M72" s="13">
        <v>0</v>
      </c>
      <c r="N72" s="13">
        <v>0</v>
      </c>
      <c r="O72" s="13">
        <v>0</v>
      </c>
      <c r="P72" s="13">
        <v>0</v>
      </c>
      <c r="Q72" s="13">
        <v>0</v>
      </c>
      <c r="R72" s="13">
        <v>0</v>
      </c>
      <c r="S72" s="13"/>
      <c r="T72" s="13">
        <v>0</v>
      </c>
      <c r="U72" s="13">
        <v>0</v>
      </c>
      <c r="V72" s="13">
        <v>183345.69</v>
      </c>
      <c r="W72" s="13">
        <v>0</v>
      </c>
      <c r="X72" s="13">
        <v>0</v>
      </c>
      <c r="Y72" s="13">
        <v>0</v>
      </c>
      <c r="Z72" s="13">
        <v>0</v>
      </c>
      <c r="AA72" s="13">
        <v>0</v>
      </c>
      <c r="AB72" s="13">
        <v>0</v>
      </c>
      <c r="AC72" s="13">
        <v>0</v>
      </c>
      <c r="AD72" s="13">
        <v>0</v>
      </c>
      <c r="AE72" s="13">
        <v>0</v>
      </c>
      <c r="AF72" s="13">
        <f t="shared" si="16"/>
        <v>183345.69</v>
      </c>
      <c r="AG72" s="8">
        <v>69</v>
      </c>
    </row>
    <row r="73" spans="1:33" x14ac:dyDescent="0.2">
      <c r="C73" s="8">
        <v>399</v>
      </c>
      <c r="D73" s="8" t="s">
        <v>135</v>
      </c>
      <c r="E73" s="13">
        <v>0</v>
      </c>
      <c r="F73" s="13">
        <v>0</v>
      </c>
      <c r="G73" s="13">
        <v>0</v>
      </c>
      <c r="H73" s="13">
        <v>0</v>
      </c>
      <c r="I73" s="13">
        <v>0</v>
      </c>
      <c r="J73" s="13">
        <v>0</v>
      </c>
      <c r="K73" s="13">
        <v>0</v>
      </c>
      <c r="L73" s="13">
        <v>0</v>
      </c>
      <c r="M73" s="13">
        <v>0</v>
      </c>
      <c r="N73" s="13">
        <v>0</v>
      </c>
      <c r="O73" s="13">
        <v>0</v>
      </c>
      <c r="P73" s="13">
        <v>0</v>
      </c>
      <c r="Q73" s="13">
        <v>0</v>
      </c>
      <c r="R73" s="13">
        <v>0</v>
      </c>
      <c r="S73" s="13"/>
      <c r="T73" s="13">
        <v>0</v>
      </c>
      <c r="U73" s="13">
        <v>0</v>
      </c>
      <c r="V73" s="13">
        <v>0</v>
      </c>
      <c r="W73" s="13">
        <v>0</v>
      </c>
      <c r="X73" s="13">
        <v>0</v>
      </c>
      <c r="Y73" s="13">
        <v>0</v>
      </c>
      <c r="Z73" s="13">
        <v>0</v>
      </c>
      <c r="AA73" s="13">
        <v>0</v>
      </c>
      <c r="AB73" s="13">
        <v>0</v>
      </c>
      <c r="AC73" s="13">
        <v>0</v>
      </c>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108366.75</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652168.85</v>
      </c>
      <c r="U76" s="15">
        <f t="shared" si="17"/>
        <v>215599.12</v>
      </c>
      <c r="V76" s="15">
        <f t="shared" si="17"/>
        <v>645199.47</v>
      </c>
      <c r="W76" s="15">
        <f t="shared" si="17"/>
        <v>47268.15</v>
      </c>
      <c r="X76" s="15">
        <f t="shared" si="17"/>
        <v>831825.72000000009</v>
      </c>
      <c r="Y76" s="15">
        <f t="shared" si="17"/>
        <v>5528842.8699999992</v>
      </c>
      <c r="Z76" s="15">
        <f t="shared" si="17"/>
        <v>387372.72999999992</v>
      </c>
      <c r="AA76" s="15">
        <f t="shared" si="17"/>
        <v>1691547.51</v>
      </c>
      <c r="AB76" s="15">
        <f t="shared" si="17"/>
        <v>209130</v>
      </c>
      <c r="AC76" s="15">
        <f t="shared" si="17"/>
        <v>124877.23</v>
      </c>
      <c r="AD76" s="15">
        <f t="shared" si="17"/>
        <v>3381908.12</v>
      </c>
      <c r="AE76" s="15">
        <f t="shared" si="17"/>
        <v>236744.85</v>
      </c>
      <c r="AF76" s="15">
        <f t="shared" si="17"/>
        <v>36100037.480000012</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v>0</v>
      </c>
      <c r="J78" s="13">
        <v>0</v>
      </c>
      <c r="K78" s="13">
        <v>0</v>
      </c>
      <c r="L78" s="13">
        <v>0</v>
      </c>
      <c r="M78" s="13">
        <v>0</v>
      </c>
      <c r="N78" s="13">
        <v>0</v>
      </c>
      <c r="O78" s="13">
        <v>0</v>
      </c>
      <c r="P78" s="13">
        <v>0</v>
      </c>
      <c r="Q78" s="13">
        <v>0</v>
      </c>
      <c r="R78" s="13">
        <v>0</v>
      </c>
      <c r="S78" s="13"/>
      <c r="T78" s="13">
        <v>0</v>
      </c>
      <c r="U78" s="13">
        <v>0</v>
      </c>
      <c r="V78" s="13">
        <v>0</v>
      </c>
      <c r="W78" s="13">
        <v>0</v>
      </c>
      <c r="X78" s="13">
        <v>0</v>
      </c>
      <c r="Y78" s="13">
        <v>0</v>
      </c>
      <c r="Z78" s="13">
        <v>0</v>
      </c>
      <c r="AA78" s="13">
        <v>0</v>
      </c>
      <c r="AB78" s="13">
        <v>0</v>
      </c>
      <c r="AC78" s="13">
        <v>0</v>
      </c>
      <c r="AD78" s="13">
        <v>0</v>
      </c>
      <c r="AE78" s="13">
        <v>0</v>
      </c>
      <c r="AF78" s="13">
        <f>SUM(E78:AE78)</f>
        <v>0</v>
      </c>
      <c r="AG78" s="8">
        <v>75</v>
      </c>
    </row>
    <row r="79" spans="1:33" x14ac:dyDescent="0.2">
      <c r="C79" s="8">
        <v>401</v>
      </c>
      <c r="D79" s="8" t="s">
        <v>138</v>
      </c>
      <c r="E79" s="13">
        <v>0</v>
      </c>
      <c r="F79" s="13">
        <v>0</v>
      </c>
      <c r="G79" s="13">
        <v>0</v>
      </c>
      <c r="H79" s="13">
        <v>0</v>
      </c>
      <c r="I79" s="13">
        <v>0</v>
      </c>
      <c r="J79" s="13">
        <v>0</v>
      </c>
      <c r="K79" s="13">
        <v>0</v>
      </c>
      <c r="L79" s="13">
        <v>0</v>
      </c>
      <c r="M79" s="13">
        <v>0</v>
      </c>
      <c r="N79" s="13">
        <v>0</v>
      </c>
      <c r="O79" s="13">
        <v>0</v>
      </c>
      <c r="P79" s="13">
        <v>0</v>
      </c>
      <c r="Q79" s="13">
        <v>0</v>
      </c>
      <c r="R79" s="13">
        <v>0</v>
      </c>
      <c r="S79" s="13"/>
      <c r="T79" s="13">
        <v>0</v>
      </c>
      <c r="U79" s="13">
        <v>0</v>
      </c>
      <c r="V79" s="13">
        <v>0</v>
      </c>
      <c r="W79" s="13">
        <v>0</v>
      </c>
      <c r="X79" s="13">
        <v>0</v>
      </c>
      <c r="Y79" s="13">
        <v>0</v>
      </c>
      <c r="Z79" s="13">
        <v>0</v>
      </c>
      <c r="AA79" s="13">
        <v>0</v>
      </c>
      <c r="AB79" s="13">
        <v>0</v>
      </c>
      <c r="AC79" s="13">
        <v>0</v>
      </c>
      <c r="AD79" s="13">
        <v>0</v>
      </c>
      <c r="AE79" s="13">
        <v>0</v>
      </c>
      <c r="AF79" s="13">
        <f>SUM(E79:AE79)</f>
        <v>0</v>
      </c>
      <c r="AG79" s="8">
        <v>76</v>
      </c>
    </row>
    <row r="80" spans="1:33" x14ac:dyDescent="0.2">
      <c r="C80" s="8">
        <v>402</v>
      </c>
      <c r="D80" s="8" t="s">
        <v>139</v>
      </c>
      <c r="E80" s="13">
        <v>0</v>
      </c>
      <c r="F80" s="13">
        <v>0</v>
      </c>
      <c r="G80" s="13">
        <v>0</v>
      </c>
      <c r="H80" s="13">
        <v>0</v>
      </c>
      <c r="I80" s="13">
        <v>0</v>
      </c>
      <c r="J80" s="13">
        <v>0</v>
      </c>
      <c r="K80" s="13">
        <v>0</v>
      </c>
      <c r="L80" s="13">
        <v>0</v>
      </c>
      <c r="M80" s="13">
        <v>0</v>
      </c>
      <c r="N80" s="13">
        <v>0</v>
      </c>
      <c r="O80" s="13">
        <v>0</v>
      </c>
      <c r="P80" s="13">
        <v>0</v>
      </c>
      <c r="Q80" s="13">
        <v>0</v>
      </c>
      <c r="R80" s="13">
        <v>0</v>
      </c>
      <c r="S80" s="13"/>
      <c r="T80" s="13">
        <v>0</v>
      </c>
      <c r="U80" s="13">
        <v>0</v>
      </c>
      <c r="V80" s="13">
        <v>0</v>
      </c>
      <c r="W80" s="13">
        <v>0</v>
      </c>
      <c r="X80" s="13">
        <v>0</v>
      </c>
      <c r="Y80" s="13">
        <v>0</v>
      </c>
      <c r="Z80" s="13">
        <v>0</v>
      </c>
      <c r="AA80" s="13">
        <v>0</v>
      </c>
      <c r="AB80" s="13">
        <v>0</v>
      </c>
      <c r="AC80" s="13">
        <v>0</v>
      </c>
      <c r="AD80" s="13">
        <v>0</v>
      </c>
      <c r="AE80" s="13">
        <v>0</v>
      </c>
      <c r="AF80" s="13">
        <f>SUM(E80:AE80)</f>
        <v>0</v>
      </c>
      <c r="AG80" s="8">
        <v>77</v>
      </c>
    </row>
    <row r="81" spans="2:33" x14ac:dyDescent="0.2">
      <c r="C81" s="8">
        <v>403</v>
      </c>
      <c r="D81" s="8" t="s">
        <v>140</v>
      </c>
      <c r="E81" s="13">
        <v>0</v>
      </c>
      <c r="F81" s="13">
        <v>0</v>
      </c>
      <c r="G81" s="13">
        <v>0</v>
      </c>
      <c r="H81" s="13">
        <v>0</v>
      </c>
      <c r="I81" s="13">
        <v>0</v>
      </c>
      <c r="J81" s="13">
        <v>0</v>
      </c>
      <c r="K81" s="13">
        <v>0</v>
      </c>
      <c r="L81" s="13">
        <v>0</v>
      </c>
      <c r="M81" s="13">
        <v>0</v>
      </c>
      <c r="N81" s="13">
        <v>0</v>
      </c>
      <c r="O81" s="13">
        <v>0</v>
      </c>
      <c r="P81" s="13">
        <v>0</v>
      </c>
      <c r="Q81" s="13">
        <v>0</v>
      </c>
      <c r="R81" s="13">
        <v>0</v>
      </c>
      <c r="S81" s="13"/>
      <c r="T81" s="13">
        <v>0</v>
      </c>
      <c r="U81" s="13">
        <v>0</v>
      </c>
      <c r="V81" s="13">
        <v>0</v>
      </c>
      <c r="W81" s="13">
        <v>0</v>
      </c>
      <c r="X81" s="13">
        <v>0</v>
      </c>
      <c r="Y81" s="13">
        <v>0</v>
      </c>
      <c r="Z81" s="13">
        <v>0</v>
      </c>
      <c r="AA81" s="13">
        <v>0</v>
      </c>
      <c r="AB81" s="13">
        <v>0</v>
      </c>
      <c r="AC81" s="13">
        <v>0</v>
      </c>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c r="T84" s="13">
        <v>0</v>
      </c>
      <c r="U84" s="13">
        <v>0</v>
      </c>
      <c r="V84" s="13">
        <v>0</v>
      </c>
      <c r="W84" s="13">
        <v>0</v>
      </c>
      <c r="X84" s="13">
        <v>0</v>
      </c>
      <c r="Y84" s="13">
        <v>0</v>
      </c>
      <c r="Z84" s="13">
        <v>0</v>
      </c>
      <c r="AA84" s="13">
        <v>0</v>
      </c>
      <c r="AB84" s="13">
        <v>0</v>
      </c>
      <c r="AC84" s="13">
        <v>0</v>
      </c>
      <c r="AD84" s="13">
        <v>0</v>
      </c>
      <c r="AE84" s="13">
        <v>0</v>
      </c>
      <c r="AF84" s="13">
        <f>SUM(E84:AE84)</f>
        <v>0</v>
      </c>
      <c r="AG84" s="8">
        <v>81</v>
      </c>
    </row>
    <row r="85" spans="2:33"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c r="T85" s="13">
        <v>0</v>
      </c>
      <c r="U85" s="13">
        <v>0</v>
      </c>
      <c r="V85" s="13">
        <v>0</v>
      </c>
      <c r="W85" s="13">
        <v>0</v>
      </c>
      <c r="X85" s="13">
        <v>0</v>
      </c>
      <c r="Y85" s="13">
        <v>0</v>
      </c>
      <c r="Z85" s="13">
        <v>0</v>
      </c>
      <c r="AA85" s="13">
        <v>0</v>
      </c>
      <c r="AB85" s="13">
        <v>0</v>
      </c>
      <c r="AC85" s="13">
        <v>0</v>
      </c>
      <c r="AD85" s="13">
        <v>0</v>
      </c>
      <c r="AE85" s="13">
        <v>0</v>
      </c>
      <c r="AF85" s="13">
        <f>SUM(E85:AE85)</f>
        <v>0</v>
      </c>
      <c r="AG85" s="8">
        <v>82</v>
      </c>
    </row>
    <row r="86" spans="2:33" x14ac:dyDescent="0.2">
      <c r="C86" s="8">
        <v>412</v>
      </c>
      <c r="D86" s="8" t="s">
        <v>144</v>
      </c>
      <c r="E86" s="13">
        <v>0</v>
      </c>
      <c r="F86" s="13">
        <v>0</v>
      </c>
      <c r="G86" s="13">
        <v>0</v>
      </c>
      <c r="H86" s="13">
        <v>0</v>
      </c>
      <c r="I86" s="13">
        <v>0</v>
      </c>
      <c r="J86" s="13">
        <v>0</v>
      </c>
      <c r="K86" s="13">
        <v>0</v>
      </c>
      <c r="L86" s="13">
        <v>0</v>
      </c>
      <c r="M86" s="13">
        <v>0</v>
      </c>
      <c r="N86" s="13">
        <v>0</v>
      </c>
      <c r="O86" s="13">
        <v>0</v>
      </c>
      <c r="P86" s="13">
        <v>0</v>
      </c>
      <c r="Q86" s="13">
        <v>0</v>
      </c>
      <c r="R86" s="13">
        <v>0</v>
      </c>
      <c r="S86" s="13"/>
      <c r="T86" s="13">
        <v>0</v>
      </c>
      <c r="U86" s="13">
        <v>0</v>
      </c>
      <c r="V86" s="13">
        <v>0</v>
      </c>
      <c r="W86" s="13">
        <v>0</v>
      </c>
      <c r="X86" s="13">
        <v>0</v>
      </c>
      <c r="Y86" s="13">
        <v>0</v>
      </c>
      <c r="Z86" s="13">
        <v>0</v>
      </c>
      <c r="AA86" s="13">
        <v>0</v>
      </c>
      <c r="AB86" s="13">
        <v>0</v>
      </c>
      <c r="AC86" s="13">
        <v>0</v>
      </c>
      <c r="AD86" s="13">
        <v>0</v>
      </c>
      <c r="AE86" s="13">
        <v>0</v>
      </c>
      <c r="AF86" s="13">
        <f>SUM(E86:AE86)</f>
        <v>0</v>
      </c>
      <c r="AG86" s="8">
        <v>83</v>
      </c>
    </row>
    <row r="87" spans="2:33"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c r="T87" s="13">
        <v>0</v>
      </c>
      <c r="U87" s="13">
        <v>0</v>
      </c>
      <c r="V87" s="13">
        <v>0</v>
      </c>
      <c r="W87" s="13">
        <v>0</v>
      </c>
      <c r="X87" s="13">
        <v>0</v>
      </c>
      <c r="Y87" s="13">
        <v>0</v>
      </c>
      <c r="Z87" s="13">
        <v>0</v>
      </c>
      <c r="AA87" s="13">
        <v>0</v>
      </c>
      <c r="AB87" s="13">
        <v>0</v>
      </c>
      <c r="AC87" s="13">
        <v>0</v>
      </c>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571867.4</v>
      </c>
      <c r="U89" s="82">
        <f t="shared" si="20"/>
        <v>30997.35</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270</v>
      </c>
      <c r="AD89" s="82">
        <f t="shared" si="20"/>
        <v>527456.27</v>
      </c>
      <c r="AE89" s="82">
        <f t="shared" si="20"/>
        <v>-248</v>
      </c>
      <c r="AF89" s="82">
        <f t="shared" si="20"/>
        <v>16342360.950000003</v>
      </c>
      <c r="AG89" s="8">
        <v>86</v>
      </c>
    </row>
    <row r="90" spans="2:33" x14ac:dyDescent="0.2">
      <c r="C90" s="8">
        <v>420</v>
      </c>
      <c r="D90" s="8" t="s">
        <v>147</v>
      </c>
      <c r="E90" s="13">
        <v>0</v>
      </c>
      <c r="F90" s="13">
        <v>0</v>
      </c>
      <c r="G90" s="13">
        <v>0</v>
      </c>
      <c r="H90" s="13">
        <v>0</v>
      </c>
      <c r="I90" s="13">
        <v>0</v>
      </c>
      <c r="J90" s="13">
        <v>0</v>
      </c>
      <c r="K90" s="13">
        <v>0</v>
      </c>
      <c r="L90" s="13">
        <v>0</v>
      </c>
      <c r="M90" s="13">
        <v>0</v>
      </c>
      <c r="N90" s="13">
        <v>0</v>
      </c>
      <c r="O90" s="13">
        <v>0</v>
      </c>
      <c r="P90" s="13">
        <v>0</v>
      </c>
      <c r="Q90" s="13">
        <v>0</v>
      </c>
      <c r="R90" s="13">
        <v>0</v>
      </c>
      <c r="S90" s="13"/>
      <c r="T90" s="13">
        <v>0</v>
      </c>
      <c r="U90" s="13">
        <v>0</v>
      </c>
      <c r="V90" s="13">
        <v>0</v>
      </c>
      <c r="W90" s="13">
        <v>0</v>
      </c>
      <c r="X90" s="13">
        <v>0</v>
      </c>
      <c r="Y90" s="13">
        <v>0</v>
      </c>
      <c r="Z90" s="13">
        <v>0</v>
      </c>
      <c r="AA90" s="13">
        <v>0</v>
      </c>
      <c r="AB90" s="13">
        <v>0</v>
      </c>
      <c r="AC90" s="13">
        <v>0</v>
      </c>
      <c r="AD90" s="13">
        <v>0</v>
      </c>
      <c r="AE90" s="13">
        <v>0</v>
      </c>
      <c r="AF90" s="13">
        <f t="shared" ref="AF90:AF98" si="21">SUM(E90:AE90)</f>
        <v>0</v>
      </c>
      <c r="AG90" s="8">
        <v>87</v>
      </c>
    </row>
    <row r="91" spans="2:33" x14ac:dyDescent="0.2">
      <c r="C91" s="8">
        <v>421</v>
      </c>
      <c r="D91" s="8" t="s">
        <v>148</v>
      </c>
      <c r="E91" s="13">
        <v>0</v>
      </c>
      <c r="F91" s="13">
        <v>0</v>
      </c>
      <c r="G91" s="13">
        <v>0</v>
      </c>
      <c r="H91" s="13">
        <v>367.25</v>
      </c>
      <c r="I91" s="13">
        <v>0</v>
      </c>
      <c r="J91" s="13">
        <v>0</v>
      </c>
      <c r="K91" s="13">
        <v>0</v>
      </c>
      <c r="L91" s="13">
        <v>8540.85</v>
      </c>
      <c r="M91" s="13">
        <v>0</v>
      </c>
      <c r="N91" s="13">
        <v>0</v>
      </c>
      <c r="O91" s="13">
        <v>0</v>
      </c>
      <c r="P91" s="13">
        <v>0</v>
      </c>
      <c r="Q91" s="13">
        <v>0</v>
      </c>
      <c r="R91" s="13">
        <v>0</v>
      </c>
      <c r="S91" s="13"/>
      <c r="T91" s="13">
        <v>0</v>
      </c>
      <c r="U91" s="13">
        <v>0</v>
      </c>
      <c r="V91" s="13">
        <v>0</v>
      </c>
      <c r="W91" s="13">
        <v>0</v>
      </c>
      <c r="X91" s="13">
        <v>0</v>
      </c>
      <c r="Y91" s="13">
        <v>0</v>
      </c>
      <c r="Z91" s="13">
        <v>0</v>
      </c>
      <c r="AA91" s="13">
        <v>4800</v>
      </c>
      <c r="AB91" s="13">
        <v>0</v>
      </c>
      <c r="AC91" s="13">
        <v>0</v>
      </c>
      <c r="AD91" s="13">
        <v>0</v>
      </c>
      <c r="AE91" s="13">
        <v>0</v>
      </c>
      <c r="AF91" s="13">
        <f t="shared" si="21"/>
        <v>13708.1</v>
      </c>
      <c r="AG91" s="8">
        <v>88</v>
      </c>
    </row>
    <row r="92" spans="2:33"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c r="T92" s="13">
        <v>0</v>
      </c>
      <c r="U92" s="13">
        <v>0</v>
      </c>
      <c r="V92" s="13">
        <v>0</v>
      </c>
      <c r="W92" s="13">
        <v>0</v>
      </c>
      <c r="X92" s="13">
        <v>0</v>
      </c>
      <c r="Y92" s="13">
        <v>0</v>
      </c>
      <c r="Z92" s="13">
        <v>0</v>
      </c>
      <c r="AA92" s="13">
        <v>0</v>
      </c>
      <c r="AB92" s="13">
        <v>0</v>
      </c>
      <c r="AC92" s="13">
        <v>0</v>
      </c>
      <c r="AD92" s="13">
        <v>0</v>
      </c>
      <c r="AE92" s="13">
        <v>0</v>
      </c>
      <c r="AF92" s="13">
        <f t="shared" si="21"/>
        <v>0</v>
      </c>
      <c r="AG92" s="8">
        <v>89</v>
      </c>
    </row>
    <row r="93" spans="2:33" x14ac:dyDescent="0.2">
      <c r="C93" s="8">
        <v>423</v>
      </c>
      <c r="D93" s="8" t="s">
        <v>150</v>
      </c>
      <c r="E93" s="13">
        <v>0</v>
      </c>
      <c r="F93" s="13">
        <v>0</v>
      </c>
      <c r="G93" s="13">
        <v>0</v>
      </c>
      <c r="H93" s="13">
        <v>0</v>
      </c>
      <c r="I93" s="13">
        <v>0</v>
      </c>
      <c r="J93" s="13">
        <v>0</v>
      </c>
      <c r="K93" s="13">
        <v>0</v>
      </c>
      <c r="L93" s="13">
        <v>0</v>
      </c>
      <c r="M93" s="13">
        <v>0</v>
      </c>
      <c r="N93" s="13">
        <v>0</v>
      </c>
      <c r="O93" s="13">
        <v>0</v>
      </c>
      <c r="P93" s="13">
        <v>0</v>
      </c>
      <c r="Q93" s="13">
        <v>0</v>
      </c>
      <c r="R93" s="13">
        <v>0</v>
      </c>
      <c r="S93" s="13"/>
      <c r="T93" s="13">
        <v>0</v>
      </c>
      <c r="U93" s="13">
        <v>0</v>
      </c>
      <c r="V93" s="13">
        <v>0</v>
      </c>
      <c r="W93" s="13">
        <v>0</v>
      </c>
      <c r="X93" s="13">
        <v>0</v>
      </c>
      <c r="Y93" s="13">
        <v>0</v>
      </c>
      <c r="Z93" s="13">
        <v>0</v>
      </c>
      <c r="AA93" s="13">
        <v>0</v>
      </c>
      <c r="AB93" s="13">
        <v>0</v>
      </c>
      <c r="AC93" s="13">
        <v>0</v>
      </c>
      <c r="AD93" s="13">
        <v>0</v>
      </c>
      <c r="AE93" s="13">
        <v>0</v>
      </c>
      <c r="AF93" s="13">
        <f t="shared" si="21"/>
        <v>0</v>
      </c>
      <c r="AG93" s="8">
        <v>90</v>
      </c>
    </row>
    <row r="94" spans="2:33" x14ac:dyDescent="0.2">
      <c r="C94" s="8">
        <v>424</v>
      </c>
      <c r="D94" s="8" t="s">
        <v>151</v>
      </c>
      <c r="E94" s="13">
        <v>0</v>
      </c>
      <c r="F94" s="13">
        <v>7653.35</v>
      </c>
      <c r="G94" s="13">
        <v>25460</v>
      </c>
      <c r="H94" s="13">
        <v>7934873.3499999996</v>
      </c>
      <c r="I94" s="13">
        <v>0</v>
      </c>
      <c r="J94" s="13">
        <v>0</v>
      </c>
      <c r="K94" s="13">
        <v>38279</v>
      </c>
      <c r="L94" s="13">
        <v>683147.55</v>
      </c>
      <c r="M94" s="13">
        <v>0</v>
      </c>
      <c r="N94" s="13">
        <v>0</v>
      </c>
      <c r="O94" s="13">
        <v>2575045.5499999998</v>
      </c>
      <c r="P94" s="13">
        <v>850</v>
      </c>
      <c r="Q94" s="13">
        <v>350</v>
      </c>
      <c r="R94" s="13">
        <v>26344</v>
      </c>
      <c r="S94" s="13"/>
      <c r="T94" s="13">
        <v>28197.65</v>
      </c>
      <c r="U94" s="13">
        <v>0</v>
      </c>
      <c r="V94" s="13">
        <v>0</v>
      </c>
      <c r="W94" s="13">
        <v>0</v>
      </c>
      <c r="X94" s="13">
        <v>775669.8</v>
      </c>
      <c r="Y94" s="13">
        <v>977733.81</v>
      </c>
      <c r="Z94" s="13">
        <v>359432</v>
      </c>
      <c r="AA94" s="13">
        <v>4232.75</v>
      </c>
      <c r="AB94" s="13">
        <v>0</v>
      </c>
      <c r="AC94" s="13">
        <v>0</v>
      </c>
      <c r="AD94" s="13">
        <v>276632.32000000001</v>
      </c>
      <c r="AE94" s="13">
        <v>-248</v>
      </c>
      <c r="AF94" s="13">
        <f t="shared" si="21"/>
        <v>13713653.130000003</v>
      </c>
      <c r="AG94" s="8">
        <v>91</v>
      </c>
    </row>
    <row r="95" spans="2:33" x14ac:dyDescent="0.2">
      <c r="C95" s="8">
        <v>425</v>
      </c>
      <c r="D95" s="8" t="s">
        <v>152</v>
      </c>
      <c r="E95" s="13">
        <v>0</v>
      </c>
      <c r="F95" s="13">
        <v>159342.6</v>
      </c>
      <c r="G95" s="13">
        <v>0</v>
      </c>
      <c r="H95" s="13">
        <v>37500</v>
      </c>
      <c r="I95" s="13">
        <v>0</v>
      </c>
      <c r="J95" s="13">
        <v>0</v>
      </c>
      <c r="K95" s="13">
        <v>0</v>
      </c>
      <c r="L95" s="13">
        <v>0</v>
      </c>
      <c r="M95" s="13">
        <v>0</v>
      </c>
      <c r="N95" s="13">
        <v>0</v>
      </c>
      <c r="O95" s="13">
        <v>32000</v>
      </c>
      <c r="P95" s="13">
        <v>0</v>
      </c>
      <c r="Q95" s="13">
        <v>0</v>
      </c>
      <c r="R95" s="13">
        <v>0</v>
      </c>
      <c r="S95" s="13"/>
      <c r="T95" s="13">
        <v>543669.75</v>
      </c>
      <c r="U95" s="13">
        <v>30700.55</v>
      </c>
      <c r="V95" s="13">
        <v>4218.7</v>
      </c>
      <c r="W95" s="13">
        <v>0</v>
      </c>
      <c r="X95" s="13">
        <v>0</v>
      </c>
      <c r="Y95" s="13">
        <v>1181165.95</v>
      </c>
      <c r="Z95" s="13">
        <v>294.35000000000002</v>
      </c>
      <c r="AA95" s="13">
        <v>25927.599999999999</v>
      </c>
      <c r="AB95" s="13">
        <v>0</v>
      </c>
      <c r="AC95" s="13">
        <v>0</v>
      </c>
      <c r="AD95" s="13">
        <v>0</v>
      </c>
      <c r="AE95" s="13">
        <v>0</v>
      </c>
      <c r="AF95" s="13">
        <f t="shared" si="21"/>
        <v>2014819.5</v>
      </c>
      <c r="AG95" s="8">
        <v>92</v>
      </c>
    </row>
    <row r="96" spans="2:33" x14ac:dyDescent="0.2">
      <c r="C96" s="8">
        <v>426</v>
      </c>
      <c r="D96" s="8" t="s">
        <v>153</v>
      </c>
      <c r="E96" s="13">
        <v>33551.51</v>
      </c>
      <c r="F96" s="13">
        <v>17000</v>
      </c>
      <c r="G96" s="13">
        <v>0</v>
      </c>
      <c r="H96" s="13">
        <v>7679.21</v>
      </c>
      <c r="I96" s="13">
        <v>0</v>
      </c>
      <c r="J96" s="13">
        <v>33165.15</v>
      </c>
      <c r="K96" s="13">
        <v>13555.3</v>
      </c>
      <c r="L96" s="13">
        <v>0</v>
      </c>
      <c r="M96" s="13">
        <v>58865.15</v>
      </c>
      <c r="N96" s="13">
        <v>0</v>
      </c>
      <c r="O96" s="13">
        <v>0</v>
      </c>
      <c r="P96" s="13">
        <v>0</v>
      </c>
      <c r="Q96" s="13">
        <v>0</v>
      </c>
      <c r="R96" s="13">
        <v>0</v>
      </c>
      <c r="S96" s="13"/>
      <c r="T96" s="13">
        <v>0</v>
      </c>
      <c r="U96" s="13">
        <v>296.8</v>
      </c>
      <c r="V96" s="13">
        <v>0</v>
      </c>
      <c r="W96" s="13">
        <v>0</v>
      </c>
      <c r="X96" s="13">
        <v>0</v>
      </c>
      <c r="Y96" s="13">
        <v>16641.150000000001</v>
      </c>
      <c r="Z96" s="13">
        <v>12175.5</v>
      </c>
      <c r="AA96" s="13">
        <v>124406.5</v>
      </c>
      <c r="AB96" s="13">
        <v>0</v>
      </c>
      <c r="AC96" s="13">
        <v>270</v>
      </c>
      <c r="AD96" s="13">
        <v>250823.95</v>
      </c>
      <c r="AE96" s="13">
        <v>0</v>
      </c>
      <c r="AF96" s="13">
        <f t="shared" si="21"/>
        <v>568430.22</v>
      </c>
      <c r="AG96" s="8">
        <v>93</v>
      </c>
    </row>
    <row r="97" spans="2:33" x14ac:dyDescent="0.2">
      <c r="C97" s="8">
        <v>427</v>
      </c>
      <c r="D97" s="8" t="s">
        <v>154</v>
      </c>
      <c r="E97" s="13">
        <v>200</v>
      </c>
      <c r="F97" s="13">
        <v>0</v>
      </c>
      <c r="G97" s="13">
        <v>0</v>
      </c>
      <c r="H97" s="13">
        <v>0</v>
      </c>
      <c r="I97" s="13">
        <v>0</v>
      </c>
      <c r="J97" s="13">
        <v>485</v>
      </c>
      <c r="K97" s="13">
        <v>0</v>
      </c>
      <c r="L97" s="13">
        <v>0</v>
      </c>
      <c r="M97" s="13">
        <v>10</v>
      </c>
      <c r="N97" s="13">
        <v>0</v>
      </c>
      <c r="O97" s="13">
        <v>0</v>
      </c>
      <c r="P97" s="13">
        <v>0</v>
      </c>
      <c r="Q97" s="13">
        <v>0</v>
      </c>
      <c r="R97" s="13">
        <v>0</v>
      </c>
      <c r="S97" s="13"/>
      <c r="T97" s="13">
        <v>0</v>
      </c>
      <c r="U97" s="13">
        <v>0</v>
      </c>
      <c r="V97" s="13">
        <v>0</v>
      </c>
      <c r="W97" s="13">
        <v>0</v>
      </c>
      <c r="X97" s="13">
        <v>0</v>
      </c>
      <c r="Y97" s="13">
        <v>0</v>
      </c>
      <c r="Z97" s="13">
        <v>0</v>
      </c>
      <c r="AA97" s="13">
        <v>0</v>
      </c>
      <c r="AB97" s="13">
        <v>0</v>
      </c>
      <c r="AC97" s="13">
        <v>0</v>
      </c>
      <c r="AD97" s="13">
        <v>0</v>
      </c>
      <c r="AE97" s="13">
        <v>0</v>
      </c>
      <c r="AF97" s="13">
        <f t="shared" si="21"/>
        <v>695</v>
      </c>
      <c r="AG97" s="8">
        <v>94</v>
      </c>
    </row>
    <row r="98" spans="2:33" x14ac:dyDescent="0.2">
      <c r="C98" s="8">
        <v>429</v>
      </c>
      <c r="D98" s="8" t="s">
        <v>155</v>
      </c>
      <c r="E98" s="13">
        <v>0</v>
      </c>
      <c r="F98" s="13">
        <v>20525</v>
      </c>
      <c r="G98" s="13">
        <v>0</v>
      </c>
      <c r="H98" s="13">
        <v>0</v>
      </c>
      <c r="I98" s="13">
        <v>0</v>
      </c>
      <c r="J98" s="13">
        <v>0</v>
      </c>
      <c r="K98" s="13">
        <v>0</v>
      </c>
      <c r="L98" s="13">
        <v>0</v>
      </c>
      <c r="M98" s="13">
        <v>0</v>
      </c>
      <c r="N98" s="13">
        <v>0</v>
      </c>
      <c r="O98" s="13">
        <v>0</v>
      </c>
      <c r="P98" s="13">
        <v>0</v>
      </c>
      <c r="Q98" s="13">
        <v>0</v>
      </c>
      <c r="R98" s="13">
        <v>0</v>
      </c>
      <c r="S98" s="13"/>
      <c r="T98" s="13">
        <v>0</v>
      </c>
      <c r="U98" s="13">
        <v>0</v>
      </c>
      <c r="V98" s="13">
        <v>0</v>
      </c>
      <c r="W98" s="13">
        <v>0</v>
      </c>
      <c r="X98" s="13">
        <v>0</v>
      </c>
      <c r="Y98" s="13">
        <v>0</v>
      </c>
      <c r="Z98" s="13">
        <v>0</v>
      </c>
      <c r="AA98" s="13">
        <v>0</v>
      </c>
      <c r="AB98" s="13">
        <v>10530</v>
      </c>
      <c r="AC98" s="13">
        <v>0</v>
      </c>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20938</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159257.41</v>
      </c>
      <c r="AG100" s="8">
        <v>97</v>
      </c>
    </row>
    <row r="101" spans="2:33" x14ac:dyDescent="0.2">
      <c r="C101" s="8">
        <v>430</v>
      </c>
      <c r="D101" s="8" t="s">
        <v>157</v>
      </c>
      <c r="E101" s="13">
        <v>0</v>
      </c>
      <c r="F101" s="13">
        <v>0</v>
      </c>
      <c r="G101" s="13">
        <v>0</v>
      </c>
      <c r="H101" s="13">
        <v>0</v>
      </c>
      <c r="I101" s="13">
        <v>0</v>
      </c>
      <c r="J101" s="13">
        <v>0</v>
      </c>
      <c r="K101" s="13">
        <v>0</v>
      </c>
      <c r="L101" s="13">
        <v>0</v>
      </c>
      <c r="M101" s="13">
        <v>0</v>
      </c>
      <c r="N101" s="13">
        <v>0</v>
      </c>
      <c r="O101" s="13">
        <v>0</v>
      </c>
      <c r="P101" s="13">
        <v>0</v>
      </c>
      <c r="Q101" s="13">
        <v>0</v>
      </c>
      <c r="R101" s="13">
        <v>0</v>
      </c>
      <c r="S101" s="13"/>
      <c r="T101" s="13">
        <v>0</v>
      </c>
      <c r="U101" s="13">
        <v>0</v>
      </c>
      <c r="V101" s="13">
        <v>0</v>
      </c>
      <c r="W101" s="13">
        <v>0</v>
      </c>
      <c r="X101" s="13">
        <v>0</v>
      </c>
      <c r="Y101" s="13">
        <v>0</v>
      </c>
      <c r="Z101" s="13">
        <v>0</v>
      </c>
      <c r="AA101" s="13">
        <v>69580</v>
      </c>
      <c r="AB101" s="13">
        <v>0</v>
      </c>
      <c r="AC101" s="13">
        <v>0</v>
      </c>
      <c r="AD101" s="13">
        <v>0</v>
      </c>
      <c r="AE101" s="13">
        <v>0</v>
      </c>
      <c r="AF101" s="13">
        <f>SUM(E101:AE101)</f>
        <v>69580</v>
      </c>
      <c r="AG101" s="8">
        <v>98</v>
      </c>
    </row>
    <row r="102" spans="2:33" x14ac:dyDescent="0.2">
      <c r="C102" s="8">
        <v>431</v>
      </c>
      <c r="D102" s="8" t="s">
        <v>158</v>
      </c>
      <c r="E102" s="13">
        <v>0</v>
      </c>
      <c r="F102" s="13">
        <v>0</v>
      </c>
      <c r="G102" s="13">
        <v>0</v>
      </c>
      <c r="H102" s="13">
        <v>0</v>
      </c>
      <c r="I102" s="13">
        <v>0</v>
      </c>
      <c r="J102" s="13">
        <v>0</v>
      </c>
      <c r="K102" s="13">
        <v>0</v>
      </c>
      <c r="L102" s="13">
        <v>0</v>
      </c>
      <c r="M102" s="13">
        <v>0</v>
      </c>
      <c r="N102" s="13">
        <v>0</v>
      </c>
      <c r="O102" s="13">
        <v>0</v>
      </c>
      <c r="P102" s="13">
        <v>0</v>
      </c>
      <c r="Q102" s="13">
        <v>0</v>
      </c>
      <c r="R102" s="13">
        <v>0</v>
      </c>
      <c r="S102" s="13"/>
      <c r="T102" s="13">
        <v>20938</v>
      </c>
      <c r="U102" s="13">
        <v>0</v>
      </c>
      <c r="V102" s="13">
        <v>0</v>
      </c>
      <c r="W102" s="13">
        <v>0</v>
      </c>
      <c r="X102" s="13">
        <v>0</v>
      </c>
      <c r="Y102" s="13">
        <v>56122.51</v>
      </c>
      <c r="Z102" s="13">
        <v>0</v>
      </c>
      <c r="AA102" s="13">
        <v>0</v>
      </c>
      <c r="AB102" s="13">
        <v>0</v>
      </c>
      <c r="AC102" s="13">
        <v>0</v>
      </c>
      <c r="AD102" s="13">
        <v>0</v>
      </c>
      <c r="AE102" s="13">
        <v>0</v>
      </c>
      <c r="AF102" s="13">
        <f>SUM(E102:AE102)</f>
        <v>77060.510000000009</v>
      </c>
      <c r="AG102" s="8">
        <v>99</v>
      </c>
    </row>
    <row r="103" spans="2:33"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c r="T103" s="13">
        <v>0</v>
      </c>
      <c r="U103" s="13">
        <v>0</v>
      </c>
      <c r="V103" s="13">
        <v>0</v>
      </c>
      <c r="W103" s="13">
        <v>0</v>
      </c>
      <c r="X103" s="13">
        <v>0</v>
      </c>
      <c r="Y103" s="13">
        <v>0</v>
      </c>
      <c r="Z103" s="13">
        <v>0</v>
      </c>
      <c r="AA103" s="13">
        <v>0</v>
      </c>
      <c r="AB103" s="13">
        <v>0</v>
      </c>
      <c r="AC103" s="13">
        <v>0</v>
      </c>
      <c r="AD103" s="13">
        <v>0</v>
      </c>
      <c r="AE103" s="13">
        <v>0</v>
      </c>
      <c r="AF103" s="13">
        <f>SUM(E103:AE103)</f>
        <v>0</v>
      </c>
      <c r="AG103" s="8">
        <v>100</v>
      </c>
    </row>
    <row r="104" spans="2:33" x14ac:dyDescent="0.2">
      <c r="C104" s="8">
        <v>439</v>
      </c>
      <c r="D104" s="8" t="s">
        <v>160</v>
      </c>
      <c r="E104" s="13">
        <v>0</v>
      </c>
      <c r="F104" s="13">
        <v>0</v>
      </c>
      <c r="G104" s="13">
        <v>0</v>
      </c>
      <c r="H104" s="13">
        <v>0</v>
      </c>
      <c r="I104" s="13">
        <v>0</v>
      </c>
      <c r="J104" s="13">
        <v>0</v>
      </c>
      <c r="K104" s="13">
        <v>0</v>
      </c>
      <c r="L104" s="13">
        <v>0</v>
      </c>
      <c r="M104" s="13">
        <v>0</v>
      </c>
      <c r="N104" s="13">
        <v>0</v>
      </c>
      <c r="O104" s="13">
        <v>0</v>
      </c>
      <c r="P104" s="13">
        <v>0</v>
      </c>
      <c r="Q104" s="13">
        <v>0</v>
      </c>
      <c r="R104" s="13">
        <v>0</v>
      </c>
      <c r="S104" s="13"/>
      <c r="T104" s="13">
        <v>0</v>
      </c>
      <c r="U104" s="13">
        <v>0</v>
      </c>
      <c r="V104" s="13">
        <v>0</v>
      </c>
      <c r="W104" s="13">
        <v>0</v>
      </c>
      <c r="X104" s="13">
        <v>0</v>
      </c>
      <c r="Y104" s="13">
        <v>12616.9</v>
      </c>
      <c r="Z104" s="13">
        <v>0</v>
      </c>
      <c r="AA104" s="13">
        <v>0</v>
      </c>
      <c r="AB104" s="13">
        <v>0</v>
      </c>
      <c r="AC104" s="13">
        <v>0</v>
      </c>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6595.95</v>
      </c>
      <c r="U106" s="82">
        <f t="shared" si="23"/>
        <v>142405.76999999999</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3.25</v>
      </c>
      <c r="AD106" s="82">
        <f t="shared" si="23"/>
        <v>15800</v>
      </c>
      <c r="AE106" s="82">
        <f t="shared" si="23"/>
        <v>0</v>
      </c>
      <c r="AF106" s="82">
        <f t="shared" si="23"/>
        <v>901678.85000000009</v>
      </c>
      <c r="AG106" s="8">
        <v>103</v>
      </c>
    </row>
    <row r="107" spans="2:33" x14ac:dyDescent="0.2">
      <c r="C107" s="8">
        <v>440</v>
      </c>
      <c r="D107" s="8" t="s">
        <v>162</v>
      </c>
      <c r="E107" s="13">
        <v>0</v>
      </c>
      <c r="F107" s="13">
        <v>4500</v>
      </c>
      <c r="G107" s="13">
        <v>0</v>
      </c>
      <c r="H107" s="13">
        <v>0</v>
      </c>
      <c r="I107" s="13">
        <v>0</v>
      </c>
      <c r="J107" s="13">
        <v>18.600000000000001</v>
      </c>
      <c r="K107" s="13">
        <v>0</v>
      </c>
      <c r="L107" s="13">
        <v>20.74</v>
      </c>
      <c r="M107" s="13">
        <v>0</v>
      </c>
      <c r="N107" s="13">
        <v>0</v>
      </c>
      <c r="O107" s="13">
        <v>1605.7</v>
      </c>
      <c r="P107" s="13">
        <v>0</v>
      </c>
      <c r="Q107" s="13">
        <v>0</v>
      </c>
      <c r="R107" s="13">
        <v>0</v>
      </c>
      <c r="S107" s="13"/>
      <c r="T107" s="13">
        <v>0</v>
      </c>
      <c r="U107" s="13">
        <v>5.77</v>
      </c>
      <c r="V107" s="13">
        <v>0</v>
      </c>
      <c r="W107" s="13">
        <v>0</v>
      </c>
      <c r="X107" s="13">
        <v>2111.87</v>
      </c>
      <c r="Y107" s="13">
        <v>0</v>
      </c>
      <c r="Z107" s="13">
        <v>22.98</v>
      </c>
      <c r="AA107" s="13">
        <v>88.3</v>
      </c>
      <c r="AB107" s="13">
        <v>40000</v>
      </c>
      <c r="AC107" s="13">
        <v>3.25</v>
      </c>
      <c r="AD107" s="13">
        <v>0</v>
      </c>
      <c r="AE107" s="13">
        <v>0</v>
      </c>
      <c r="AF107" s="13">
        <f t="shared" ref="AF107:AF116" si="24">SUM(E107:AE107)</f>
        <v>48377.21</v>
      </c>
      <c r="AG107" s="8">
        <v>104</v>
      </c>
    </row>
    <row r="108" spans="2:33" x14ac:dyDescent="0.2">
      <c r="C108" s="8">
        <v>441</v>
      </c>
      <c r="D108" s="8" t="s">
        <v>163</v>
      </c>
      <c r="E108" s="13">
        <v>0</v>
      </c>
      <c r="F108" s="13">
        <v>0</v>
      </c>
      <c r="G108" s="13">
        <v>0</v>
      </c>
      <c r="H108" s="13">
        <v>0</v>
      </c>
      <c r="I108" s="13">
        <v>0</v>
      </c>
      <c r="J108" s="13">
        <v>0</v>
      </c>
      <c r="K108" s="13">
        <v>0</v>
      </c>
      <c r="L108" s="13">
        <v>0</v>
      </c>
      <c r="M108" s="13">
        <v>0</v>
      </c>
      <c r="N108" s="13">
        <v>0</v>
      </c>
      <c r="O108" s="13">
        <v>0</v>
      </c>
      <c r="P108" s="13">
        <v>0</v>
      </c>
      <c r="Q108" s="13">
        <v>0</v>
      </c>
      <c r="R108" s="13">
        <v>0</v>
      </c>
      <c r="S108" s="13"/>
      <c r="T108" s="13">
        <v>0</v>
      </c>
      <c r="U108" s="13">
        <v>0</v>
      </c>
      <c r="V108" s="13">
        <v>0</v>
      </c>
      <c r="W108" s="13">
        <v>0</v>
      </c>
      <c r="X108" s="13">
        <v>0</v>
      </c>
      <c r="Y108" s="13">
        <v>0</v>
      </c>
      <c r="Z108" s="13">
        <v>0</v>
      </c>
      <c r="AA108" s="13">
        <v>0</v>
      </c>
      <c r="AB108" s="13">
        <v>0</v>
      </c>
      <c r="AC108" s="13">
        <v>0</v>
      </c>
      <c r="AD108" s="13">
        <v>0</v>
      </c>
      <c r="AE108" s="13">
        <v>0</v>
      </c>
      <c r="AF108" s="13">
        <f t="shared" si="24"/>
        <v>0</v>
      </c>
      <c r="AG108" s="8">
        <v>105</v>
      </c>
    </row>
    <row r="109" spans="2:33" x14ac:dyDescent="0.2">
      <c r="C109" s="8">
        <v>442</v>
      </c>
      <c r="D109" s="8" t="s">
        <v>164</v>
      </c>
      <c r="E109" s="13">
        <v>0</v>
      </c>
      <c r="F109" s="13">
        <v>0</v>
      </c>
      <c r="G109" s="13">
        <v>0</v>
      </c>
      <c r="H109" s="13">
        <v>0</v>
      </c>
      <c r="I109" s="13">
        <v>0</v>
      </c>
      <c r="J109" s="13">
        <v>0</v>
      </c>
      <c r="K109" s="13">
        <v>0</v>
      </c>
      <c r="L109" s="13">
        <v>0</v>
      </c>
      <c r="M109" s="13">
        <v>0</v>
      </c>
      <c r="N109" s="13">
        <v>0</v>
      </c>
      <c r="O109" s="13">
        <v>0</v>
      </c>
      <c r="P109" s="13">
        <v>0</v>
      </c>
      <c r="Q109" s="13">
        <v>0</v>
      </c>
      <c r="R109" s="13">
        <v>0</v>
      </c>
      <c r="S109" s="13"/>
      <c r="T109" s="13">
        <v>0</v>
      </c>
      <c r="U109" s="13">
        <v>0</v>
      </c>
      <c r="V109" s="13">
        <v>0</v>
      </c>
      <c r="W109" s="13">
        <v>0</v>
      </c>
      <c r="X109" s="13">
        <v>0</v>
      </c>
      <c r="Y109" s="13">
        <v>0</v>
      </c>
      <c r="Z109" s="13">
        <v>0</v>
      </c>
      <c r="AA109" s="13">
        <v>0</v>
      </c>
      <c r="AB109" s="13">
        <v>0</v>
      </c>
      <c r="AC109" s="13">
        <v>0</v>
      </c>
      <c r="AD109" s="13">
        <v>0</v>
      </c>
      <c r="AE109" s="13">
        <v>0</v>
      </c>
      <c r="AF109" s="13">
        <f t="shared" si="24"/>
        <v>0</v>
      </c>
      <c r="AG109" s="8">
        <v>106</v>
      </c>
    </row>
    <row r="110" spans="2:33" x14ac:dyDescent="0.2">
      <c r="C110" s="8">
        <v>443</v>
      </c>
      <c r="D110" s="8" t="s">
        <v>165</v>
      </c>
      <c r="E110" s="13">
        <v>0</v>
      </c>
      <c r="F110" s="13">
        <v>0</v>
      </c>
      <c r="G110" s="13">
        <v>0</v>
      </c>
      <c r="H110" s="13">
        <v>0</v>
      </c>
      <c r="I110" s="13">
        <v>0</v>
      </c>
      <c r="J110" s="13">
        <v>0</v>
      </c>
      <c r="K110" s="13">
        <v>0</v>
      </c>
      <c r="L110" s="13">
        <v>0</v>
      </c>
      <c r="M110" s="13">
        <v>0</v>
      </c>
      <c r="N110" s="13">
        <v>0</v>
      </c>
      <c r="O110" s="13">
        <v>0</v>
      </c>
      <c r="P110" s="13">
        <v>0</v>
      </c>
      <c r="Q110" s="13">
        <v>0</v>
      </c>
      <c r="R110" s="13">
        <v>0</v>
      </c>
      <c r="S110" s="13"/>
      <c r="T110" s="13">
        <v>0</v>
      </c>
      <c r="U110" s="13">
        <v>142400</v>
      </c>
      <c r="V110" s="13">
        <v>0</v>
      </c>
      <c r="W110" s="13">
        <v>0</v>
      </c>
      <c r="X110" s="13">
        <v>0</v>
      </c>
      <c r="Y110" s="13">
        <v>0</v>
      </c>
      <c r="Z110" s="13">
        <v>0</v>
      </c>
      <c r="AA110" s="13">
        <v>0</v>
      </c>
      <c r="AB110" s="13">
        <v>0</v>
      </c>
      <c r="AC110" s="13">
        <v>0</v>
      </c>
      <c r="AD110" s="13">
        <v>0</v>
      </c>
      <c r="AE110" s="13">
        <v>0</v>
      </c>
      <c r="AF110" s="13">
        <f t="shared" si="24"/>
        <v>142400</v>
      </c>
      <c r="AG110" s="8">
        <v>107</v>
      </c>
    </row>
    <row r="111" spans="2:33" x14ac:dyDescent="0.2">
      <c r="C111" s="8">
        <v>444</v>
      </c>
      <c r="D111" s="8" t="s">
        <v>105</v>
      </c>
      <c r="E111" s="13">
        <v>0</v>
      </c>
      <c r="F111" s="13">
        <v>0</v>
      </c>
      <c r="G111" s="13">
        <v>0</v>
      </c>
      <c r="H111" s="13">
        <v>0</v>
      </c>
      <c r="I111" s="13">
        <v>0</v>
      </c>
      <c r="J111" s="13">
        <v>0</v>
      </c>
      <c r="K111" s="13">
        <v>0</v>
      </c>
      <c r="L111" s="13">
        <v>0</v>
      </c>
      <c r="M111" s="13">
        <v>0</v>
      </c>
      <c r="N111" s="13">
        <v>0</v>
      </c>
      <c r="O111" s="13">
        <v>0</v>
      </c>
      <c r="P111" s="13">
        <v>0</v>
      </c>
      <c r="Q111" s="13">
        <v>0</v>
      </c>
      <c r="R111" s="13">
        <v>0</v>
      </c>
      <c r="S111" s="13"/>
      <c r="T111" s="13">
        <v>1219.95</v>
      </c>
      <c r="U111" s="13">
        <v>0</v>
      </c>
      <c r="V111" s="13">
        <v>0</v>
      </c>
      <c r="W111" s="13">
        <v>0</v>
      </c>
      <c r="X111" s="13">
        <v>0</v>
      </c>
      <c r="Y111" s="13">
        <v>0</v>
      </c>
      <c r="Z111" s="13">
        <v>0</v>
      </c>
      <c r="AA111" s="13">
        <v>0</v>
      </c>
      <c r="AB111" s="13">
        <v>0</v>
      </c>
      <c r="AC111" s="13">
        <v>0</v>
      </c>
      <c r="AD111" s="13">
        <v>0</v>
      </c>
      <c r="AE111" s="13">
        <v>0</v>
      </c>
      <c r="AF111" s="13">
        <f t="shared" si="24"/>
        <v>1219.95</v>
      </c>
      <c r="AG111" s="8">
        <v>108</v>
      </c>
    </row>
    <row r="112" spans="2:33" x14ac:dyDescent="0.2">
      <c r="C112" s="8">
        <v>445</v>
      </c>
      <c r="D112" s="8" t="s">
        <v>166</v>
      </c>
      <c r="E112" s="13">
        <v>0</v>
      </c>
      <c r="F112" s="13">
        <v>0</v>
      </c>
      <c r="G112" s="13">
        <v>0</v>
      </c>
      <c r="H112" s="13">
        <v>0</v>
      </c>
      <c r="I112" s="13">
        <v>0</v>
      </c>
      <c r="J112" s="13">
        <v>0</v>
      </c>
      <c r="K112" s="13">
        <v>0</v>
      </c>
      <c r="L112" s="13">
        <v>0</v>
      </c>
      <c r="M112" s="13">
        <v>0</v>
      </c>
      <c r="N112" s="13">
        <v>0</v>
      </c>
      <c r="O112" s="13">
        <v>0</v>
      </c>
      <c r="P112" s="13">
        <v>0</v>
      </c>
      <c r="Q112" s="13">
        <v>0</v>
      </c>
      <c r="R112" s="13">
        <v>0</v>
      </c>
      <c r="S112" s="13"/>
      <c r="T112" s="13">
        <v>0</v>
      </c>
      <c r="U112" s="13">
        <v>0</v>
      </c>
      <c r="V112" s="13">
        <v>0</v>
      </c>
      <c r="W112" s="13">
        <v>0</v>
      </c>
      <c r="X112" s="13">
        <v>0</v>
      </c>
      <c r="Y112" s="13">
        <v>0</v>
      </c>
      <c r="Z112" s="13">
        <v>0</v>
      </c>
      <c r="AA112" s="13">
        <v>0</v>
      </c>
      <c r="AB112" s="13">
        <v>0</v>
      </c>
      <c r="AC112" s="13">
        <v>0</v>
      </c>
      <c r="AD112" s="13">
        <v>0</v>
      </c>
      <c r="AE112" s="13">
        <v>0</v>
      </c>
      <c r="AF112" s="13">
        <f t="shared" si="24"/>
        <v>0</v>
      </c>
      <c r="AG112" s="8">
        <v>109</v>
      </c>
    </row>
    <row r="113" spans="2:33"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c r="T113" s="13">
        <v>0</v>
      </c>
      <c r="U113" s="13">
        <v>0</v>
      </c>
      <c r="V113" s="13">
        <v>0</v>
      </c>
      <c r="W113" s="13">
        <v>0</v>
      </c>
      <c r="X113" s="13">
        <v>0</v>
      </c>
      <c r="Y113" s="13">
        <v>0</v>
      </c>
      <c r="Z113" s="13">
        <v>0</v>
      </c>
      <c r="AA113" s="13">
        <v>0</v>
      </c>
      <c r="AB113" s="13">
        <v>0</v>
      </c>
      <c r="AC113" s="13">
        <v>0</v>
      </c>
      <c r="AD113" s="13">
        <v>0</v>
      </c>
      <c r="AE113" s="13">
        <v>0</v>
      </c>
      <c r="AF113" s="13">
        <f t="shared" si="24"/>
        <v>0</v>
      </c>
      <c r="AG113" s="8">
        <v>110</v>
      </c>
    </row>
    <row r="114" spans="2:33" x14ac:dyDescent="0.2">
      <c r="C114" s="8">
        <v>447</v>
      </c>
      <c r="D114" s="8" t="s">
        <v>168</v>
      </c>
      <c r="E114" s="13">
        <v>270</v>
      </c>
      <c r="F114" s="13">
        <v>0</v>
      </c>
      <c r="G114" s="13">
        <v>0</v>
      </c>
      <c r="H114" s="13">
        <v>0</v>
      </c>
      <c r="I114" s="13">
        <v>0</v>
      </c>
      <c r="J114" s="13">
        <v>12539.4</v>
      </c>
      <c r="K114" s="13">
        <v>15610.5</v>
      </c>
      <c r="L114" s="13">
        <v>0</v>
      </c>
      <c r="M114" s="13">
        <v>0</v>
      </c>
      <c r="N114" s="13">
        <v>0</v>
      </c>
      <c r="O114" s="13">
        <v>0</v>
      </c>
      <c r="P114" s="13">
        <v>0</v>
      </c>
      <c r="Q114" s="13">
        <v>0</v>
      </c>
      <c r="R114" s="13">
        <v>0</v>
      </c>
      <c r="S114" s="13"/>
      <c r="T114" s="13">
        <v>5376</v>
      </c>
      <c r="U114" s="13">
        <v>0</v>
      </c>
      <c r="V114" s="13">
        <v>0</v>
      </c>
      <c r="W114" s="13">
        <v>0</v>
      </c>
      <c r="X114" s="13">
        <v>1130</v>
      </c>
      <c r="Y114" s="13">
        <v>658955.79</v>
      </c>
      <c r="Z114" s="13">
        <v>0</v>
      </c>
      <c r="AA114" s="13">
        <v>0</v>
      </c>
      <c r="AB114" s="13">
        <v>0</v>
      </c>
      <c r="AC114" s="13">
        <v>0</v>
      </c>
      <c r="AD114" s="13">
        <v>15800</v>
      </c>
      <c r="AE114" s="13">
        <v>0</v>
      </c>
      <c r="AF114" s="13">
        <f t="shared" si="24"/>
        <v>709681.69000000006</v>
      </c>
      <c r="AG114" s="8">
        <v>111</v>
      </c>
    </row>
    <row r="115" spans="2:33"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c r="T115" s="13">
        <v>0</v>
      </c>
      <c r="U115" s="13">
        <v>0</v>
      </c>
      <c r="V115" s="13">
        <v>0</v>
      </c>
      <c r="W115" s="13">
        <v>0</v>
      </c>
      <c r="X115" s="13">
        <v>0</v>
      </c>
      <c r="Y115" s="13">
        <v>0</v>
      </c>
      <c r="Z115" s="13">
        <v>0</v>
      </c>
      <c r="AA115" s="13">
        <v>0</v>
      </c>
      <c r="AB115" s="13">
        <v>0</v>
      </c>
      <c r="AC115" s="13">
        <v>0</v>
      </c>
      <c r="AD115" s="13">
        <v>0</v>
      </c>
      <c r="AE115" s="13">
        <v>0</v>
      </c>
      <c r="AF115" s="13">
        <f t="shared" si="24"/>
        <v>0</v>
      </c>
      <c r="AG115" s="8">
        <v>112</v>
      </c>
    </row>
    <row r="116" spans="2:33" x14ac:dyDescent="0.2">
      <c r="C116" s="8">
        <v>449</v>
      </c>
      <c r="D116" s="8" t="s">
        <v>170</v>
      </c>
      <c r="E116" s="13">
        <v>0</v>
      </c>
      <c r="F116" s="13">
        <v>0</v>
      </c>
      <c r="G116" s="13">
        <v>0</v>
      </c>
      <c r="H116" s="13">
        <v>0</v>
      </c>
      <c r="I116" s="13">
        <v>0</v>
      </c>
      <c r="J116" s="13">
        <v>0</v>
      </c>
      <c r="K116" s="13">
        <v>0</v>
      </c>
      <c r="L116" s="13">
        <v>0</v>
      </c>
      <c r="M116" s="13">
        <v>0</v>
      </c>
      <c r="N116" s="13">
        <v>0</v>
      </c>
      <c r="O116" s="13">
        <v>0</v>
      </c>
      <c r="P116" s="13">
        <v>0</v>
      </c>
      <c r="Q116" s="13">
        <v>0</v>
      </c>
      <c r="R116" s="13">
        <v>0</v>
      </c>
      <c r="S116" s="13"/>
      <c r="T116" s="13">
        <v>0</v>
      </c>
      <c r="U116" s="13">
        <v>0</v>
      </c>
      <c r="V116" s="13">
        <v>0</v>
      </c>
      <c r="W116" s="13">
        <v>0</v>
      </c>
      <c r="X116" s="13">
        <v>0</v>
      </c>
      <c r="Y116" s="13">
        <v>0</v>
      </c>
      <c r="Z116" s="13">
        <v>0</v>
      </c>
      <c r="AA116" s="13">
        <v>0</v>
      </c>
      <c r="AB116" s="13">
        <v>0</v>
      </c>
      <c r="AC116" s="13">
        <v>0</v>
      </c>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v>0</v>
      </c>
      <c r="J119" s="13">
        <v>0</v>
      </c>
      <c r="K119" s="13">
        <v>0</v>
      </c>
      <c r="L119" s="13">
        <v>0</v>
      </c>
      <c r="M119" s="13">
        <v>0</v>
      </c>
      <c r="N119" s="13">
        <v>0</v>
      </c>
      <c r="O119" s="13">
        <v>0</v>
      </c>
      <c r="P119" s="13">
        <v>0</v>
      </c>
      <c r="Q119" s="13">
        <v>0</v>
      </c>
      <c r="R119" s="13">
        <v>0</v>
      </c>
      <c r="S119" s="13"/>
      <c r="T119" s="13">
        <v>0</v>
      </c>
      <c r="U119" s="13">
        <v>0</v>
      </c>
      <c r="V119" s="13">
        <v>0</v>
      </c>
      <c r="W119" s="13">
        <v>0</v>
      </c>
      <c r="X119" s="13">
        <v>0</v>
      </c>
      <c r="Y119" s="13">
        <v>0</v>
      </c>
      <c r="Z119" s="13">
        <v>0</v>
      </c>
      <c r="AA119" s="13">
        <v>0</v>
      </c>
      <c r="AB119" s="13">
        <v>0</v>
      </c>
      <c r="AC119" s="13">
        <v>0</v>
      </c>
      <c r="AD119" s="13">
        <v>0</v>
      </c>
      <c r="AE119" s="13">
        <v>0</v>
      </c>
      <c r="AF119" s="13">
        <f>SUM(E119:AE119)</f>
        <v>0</v>
      </c>
      <c r="AG119" s="8">
        <v>116</v>
      </c>
    </row>
    <row r="120" spans="2:33" x14ac:dyDescent="0.2">
      <c r="C120" s="8">
        <v>451</v>
      </c>
      <c r="D120" s="8" t="s">
        <v>172</v>
      </c>
      <c r="E120" s="13">
        <v>0</v>
      </c>
      <c r="F120" s="13">
        <v>1127650.55</v>
      </c>
      <c r="G120" s="13">
        <v>0</v>
      </c>
      <c r="H120" s="13">
        <v>0</v>
      </c>
      <c r="I120" s="13">
        <v>0</v>
      </c>
      <c r="J120" s="13">
        <v>0</v>
      </c>
      <c r="K120" s="13">
        <v>0</v>
      </c>
      <c r="L120" s="13">
        <v>0</v>
      </c>
      <c r="M120" s="13">
        <v>0</v>
      </c>
      <c r="N120" s="13">
        <v>0</v>
      </c>
      <c r="O120" s="13">
        <v>0</v>
      </c>
      <c r="P120" s="13">
        <v>0</v>
      </c>
      <c r="Q120" s="13">
        <v>0</v>
      </c>
      <c r="R120" s="13">
        <v>0</v>
      </c>
      <c r="S120" s="13"/>
      <c r="T120" s="13">
        <v>0</v>
      </c>
      <c r="U120" s="13">
        <v>0</v>
      </c>
      <c r="V120" s="13">
        <v>0</v>
      </c>
      <c r="W120" s="13">
        <v>0</v>
      </c>
      <c r="X120" s="13">
        <v>52914.05</v>
      </c>
      <c r="Y120" s="13">
        <v>0</v>
      </c>
      <c r="Z120" s="13">
        <v>0</v>
      </c>
      <c r="AA120" s="13">
        <v>177420.79999999999</v>
      </c>
      <c r="AB120" s="13">
        <v>0</v>
      </c>
      <c r="AC120" s="13">
        <v>0</v>
      </c>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108366.75</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52810</v>
      </c>
      <c r="U122" s="82">
        <f t="shared" si="26"/>
        <v>41846</v>
      </c>
      <c r="V122" s="82">
        <f t="shared" si="26"/>
        <v>457635.08</v>
      </c>
      <c r="W122" s="82">
        <f t="shared" si="26"/>
        <v>47268.15</v>
      </c>
      <c r="X122" s="82">
        <f t="shared" si="26"/>
        <v>0</v>
      </c>
      <c r="Y122" s="82">
        <f t="shared" si="26"/>
        <v>2589860.7599999998</v>
      </c>
      <c r="Z122" s="82">
        <f t="shared" si="26"/>
        <v>13.3</v>
      </c>
      <c r="AA122" s="82">
        <f t="shared" si="26"/>
        <v>1285091.56</v>
      </c>
      <c r="AB122" s="82">
        <f t="shared" si="26"/>
        <v>158600</v>
      </c>
      <c r="AC122" s="82">
        <f t="shared" si="26"/>
        <v>124603.98</v>
      </c>
      <c r="AD122" s="82">
        <f t="shared" si="26"/>
        <v>2838651.85</v>
      </c>
      <c r="AE122" s="82">
        <f t="shared" si="26"/>
        <v>236992.85</v>
      </c>
      <c r="AF122" s="82">
        <f t="shared" si="26"/>
        <v>15067803.740000002</v>
      </c>
      <c r="AG122" s="8">
        <v>119</v>
      </c>
    </row>
    <row r="123" spans="2:33" x14ac:dyDescent="0.2">
      <c r="C123" s="8">
        <v>460</v>
      </c>
      <c r="D123" s="8" t="s">
        <v>175</v>
      </c>
      <c r="E123" s="13">
        <v>0</v>
      </c>
      <c r="F123" s="13">
        <v>0</v>
      </c>
      <c r="G123" s="13">
        <v>0</v>
      </c>
      <c r="H123" s="13">
        <v>0</v>
      </c>
      <c r="I123" s="13">
        <v>0</v>
      </c>
      <c r="J123" s="13">
        <v>0</v>
      </c>
      <c r="K123" s="13">
        <v>0</v>
      </c>
      <c r="L123" s="13">
        <v>0</v>
      </c>
      <c r="M123" s="13">
        <v>0</v>
      </c>
      <c r="N123" s="13">
        <v>0</v>
      </c>
      <c r="O123" s="13">
        <v>0</v>
      </c>
      <c r="P123" s="13">
        <v>0</v>
      </c>
      <c r="Q123" s="13">
        <v>0</v>
      </c>
      <c r="R123" s="13">
        <v>0</v>
      </c>
      <c r="S123" s="13"/>
      <c r="T123" s="13">
        <v>0</v>
      </c>
      <c r="U123" s="13">
        <v>0</v>
      </c>
      <c r="V123" s="13">
        <v>0</v>
      </c>
      <c r="W123" s="13">
        <v>0</v>
      </c>
      <c r="X123" s="13">
        <v>0</v>
      </c>
      <c r="Y123" s="13">
        <v>0</v>
      </c>
      <c r="Z123" s="13">
        <v>0</v>
      </c>
      <c r="AA123" s="13">
        <v>0</v>
      </c>
      <c r="AB123" s="13">
        <v>0</v>
      </c>
      <c r="AC123" s="13">
        <v>0</v>
      </c>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v>108366.75</v>
      </c>
      <c r="J124" s="13">
        <v>1041994.36</v>
      </c>
      <c r="K124" s="13">
        <v>2194485.81</v>
      </c>
      <c r="L124" s="13">
        <v>0</v>
      </c>
      <c r="M124" s="13">
        <v>214711.44</v>
      </c>
      <c r="N124" s="13">
        <v>259834.63</v>
      </c>
      <c r="O124" s="13">
        <v>0</v>
      </c>
      <c r="P124" s="13">
        <v>19769.5</v>
      </c>
      <c r="Q124" s="13">
        <v>7365.36</v>
      </c>
      <c r="R124" s="13">
        <v>19800</v>
      </c>
      <c r="S124" s="13"/>
      <c r="T124" s="13">
        <v>52810</v>
      </c>
      <c r="U124" s="13">
        <v>15000</v>
      </c>
      <c r="V124" s="13">
        <v>457568.63</v>
      </c>
      <c r="W124" s="13">
        <v>47268.15</v>
      </c>
      <c r="X124" s="13">
        <v>0</v>
      </c>
      <c r="Y124" s="13">
        <v>2308857.0699999998</v>
      </c>
      <c r="Z124" s="13">
        <v>0</v>
      </c>
      <c r="AA124" s="13">
        <v>1284803.01</v>
      </c>
      <c r="AB124" s="13">
        <v>158600</v>
      </c>
      <c r="AC124" s="13">
        <v>124603.98</v>
      </c>
      <c r="AD124" s="13">
        <v>2597257.9500000002</v>
      </c>
      <c r="AE124" s="13">
        <v>227404.75</v>
      </c>
      <c r="AF124" s="13">
        <f>SUM(E124:AE124)</f>
        <v>14364318.150000002</v>
      </c>
      <c r="AG124" s="8">
        <v>121</v>
      </c>
    </row>
    <row r="125" spans="2:33" x14ac:dyDescent="0.2">
      <c r="C125" s="8">
        <v>462</v>
      </c>
      <c r="D125" s="8" t="s">
        <v>112</v>
      </c>
      <c r="E125" s="13">
        <v>0</v>
      </c>
      <c r="F125" s="13">
        <v>0</v>
      </c>
      <c r="G125" s="13">
        <v>0</v>
      </c>
      <c r="H125" s="13">
        <v>0</v>
      </c>
      <c r="I125" s="13">
        <v>0</v>
      </c>
      <c r="J125" s="13">
        <v>0</v>
      </c>
      <c r="K125" s="13">
        <v>0</v>
      </c>
      <c r="L125" s="13">
        <v>0</v>
      </c>
      <c r="M125" s="13">
        <v>0</v>
      </c>
      <c r="N125" s="13">
        <v>0</v>
      </c>
      <c r="O125" s="13">
        <v>0</v>
      </c>
      <c r="P125" s="13">
        <v>0</v>
      </c>
      <c r="Q125" s="13">
        <v>0</v>
      </c>
      <c r="R125" s="13">
        <v>0</v>
      </c>
      <c r="S125" s="13"/>
      <c r="T125" s="13">
        <v>0</v>
      </c>
      <c r="U125" s="13">
        <v>0</v>
      </c>
      <c r="V125" s="13">
        <v>0</v>
      </c>
      <c r="W125" s="13">
        <v>0</v>
      </c>
      <c r="X125" s="13">
        <v>0</v>
      </c>
      <c r="Y125" s="13">
        <v>0</v>
      </c>
      <c r="Z125" s="13">
        <v>0</v>
      </c>
      <c r="AA125" s="13">
        <v>0</v>
      </c>
      <c r="AB125" s="13">
        <v>0</v>
      </c>
      <c r="AC125" s="13">
        <v>0</v>
      </c>
      <c r="AD125" s="13">
        <v>0</v>
      </c>
      <c r="AE125" s="13">
        <v>0</v>
      </c>
      <c r="AF125" s="13">
        <f>SUM(E125:AE125)</f>
        <v>0</v>
      </c>
      <c r="AG125" s="8">
        <v>122</v>
      </c>
    </row>
    <row r="126" spans="2:33" x14ac:dyDescent="0.2">
      <c r="C126" s="8">
        <v>463</v>
      </c>
      <c r="D126" s="8" t="s">
        <v>177</v>
      </c>
      <c r="E126" s="13">
        <v>0</v>
      </c>
      <c r="F126" s="13">
        <v>0</v>
      </c>
      <c r="G126" s="13">
        <v>0</v>
      </c>
      <c r="H126" s="13">
        <v>46680</v>
      </c>
      <c r="I126" s="13">
        <v>0</v>
      </c>
      <c r="J126" s="13">
        <v>5052</v>
      </c>
      <c r="K126" s="13">
        <v>23980</v>
      </c>
      <c r="L126" s="13">
        <v>0</v>
      </c>
      <c r="M126" s="13">
        <v>56669.95</v>
      </c>
      <c r="N126" s="13">
        <v>11000</v>
      </c>
      <c r="O126" s="13">
        <v>0</v>
      </c>
      <c r="P126" s="13">
        <v>0</v>
      </c>
      <c r="Q126" s="13">
        <v>0</v>
      </c>
      <c r="R126" s="13">
        <v>0</v>
      </c>
      <c r="S126" s="13"/>
      <c r="T126" s="13">
        <v>0</v>
      </c>
      <c r="U126" s="13">
        <v>26846</v>
      </c>
      <c r="V126" s="13">
        <v>0</v>
      </c>
      <c r="W126" s="13">
        <v>0</v>
      </c>
      <c r="X126" s="13">
        <v>0</v>
      </c>
      <c r="Y126" s="13">
        <v>281003.69</v>
      </c>
      <c r="Z126" s="13">
        <v>0</v>
      </c>
      <c r="AA126" s="13">
        <v>0</v>
      </c>
      <c r="AB126" s="13">
        <v>0</v>
      </c>
      <c r="AC126" s="13">
        <v>0</v>
      </c>
      <c r="AD126" s="13">
        <v>240930</v>
      </c>
      <c r="AE126" s="13">
        <v>0</v>
      </c>
      <c r="AF126" s="13">
        <f>SUM(E126:AE126)</f>
        <v>692161.64</v>
      </c>
      <c r="AG126" s="8">
        <v>123</v>
      </c>
    </row>
    <row r="127" spans="2:33" x14ac:dyDescent="0.2">
      <c r="C127" s="8">
        <v>469</v>
      </c>
      <c r="D127" s="8" t="s">
        <v>178</v>
      </c>
      <c r="E127" s="13">
        <v>140.05000000000001</v>
      </c>
      <c r="F127" s="13">
        <v>0</v>
      </c>
      <c r="G127" s="13">
        <v>0</v>
      </c>
      <c r="H127" s="13">
        <v>281.3</v>
      </c>
      <c r="I127" s="13">
        <v>0</v>
      </c>
      <c r="J127" s="13">
        <v>115.25</v>
      </c>
      <c r="K127" s="13">
        <v>0</v>
      </c>
      <c r="L127" s="13">
        <v>0</v>
      </c>
      <c r="M127" s="13">
        <v>0</v>
      </c>
      <c r="N127" s="13">
        <v>0</v>
      </c>
      <c r="O127" s="13">
        <v>367.05</v>
      </c>
      <c r="P127" s="13">
        <v>0</v>
      </c>
      <c r="Q127" s="13">
        <v>0</v>
      </c>
      <c r="R127" s="13">
        <v>0</v>
      </c>
      <c r="S127" s="13"/>
      <c r="T127" s="13">
        <v>0</v>
      </c>
      <c r="U127" s="13">
        <v>0</v>
      </c>
      <c r="V127" s="13">
        <v>66.45</v>
      </c>
      <c r="W127" s="13">
        <v>0</v>
      </c>
      <c r="X127" s="13">
        <v>0</v>
      </c>
      <c r="Y127" s="13">
        <v>0</v>
      </c>
      <c r="Z127" s="13">
        <v>13.3</v>
      </c>
      <c r="AA127" s="13">
        <v>288.55</v>
      </c>
      <c r="AB127" s="13">
        <v>0</v>
      </c>
      <c r="AC127" s="13">
        <v>0</v>
      </c>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c r="T130" s="13">
        <v>0</v>
      </c>
      <c r="U130" s="13">
        <v>0</v>
      </c>
      <c r="V130" s="13">
        <v>0</v>
      </c>
      <c r="W130" s="13">
        <v>0</v>
      </c>
      <c r="X130" s="13">
        <v>0</v>
      </c>
      <c r="Y130" s="13">
        <v>0</v>
      </c>
      <c r="Z130" s="13">
        <v>0</v>
      </c>
      <c r="AA130" s="13">
        <v>0</v>
      </c>
      <c r="AB130" s="13">
        <v>0</v>
      </c>
      <c r="AC130" s="13">
        <v>0</v>
      </c>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c r="T133" s="13">
        <v>0</v>
      </c>
      <c r="U133" s="13">
        <v>0</v>
      </c>
      <c r="V133" s="13">
        <v>0</v>
      </c>
      <c r="W133" s="13">
        <v>0</v>
      </c>
      <c r="X133" s="13">
        <v>0</v>
      </c>
      <c r="Y133" s="13">
        <v>0</v>
      </c>
      <c r="Z133" s="13">
        <v>0</v>
      </c>
      <c r="AA133" s="13">
        <v>0</v>
      </c>
      <c r="AB133" s="13">
        <v>0</v>
      </c>
      <c r="AC133" s="13">
        <v>0</v>
      </c>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c r="T134" s="13">
        <v>0</v>
      </c>
      <c r="U134" s="13">
        <v>0</v>
      </c>
      <c r="V134" s="13">
        <v>0</v>
      </c>
      <c r="W134" s="13">
        <v>0</v>
      </c>
      <c r="X134" s="13">
        <v>0</v>
      </c>
      <c r="Y134" s="13">
        <v>0</v>
      </c>
      <c r="Z134" s="13">
        <v>0</v>
      </c>
      <c r="AA134" s="13">
        <v>0</v>
      </c>
      <c r="AB134" s="13">
        <v>0</v>
      </c>
      <c r="AC134" s="13">
        <v>0</v>
      </c>
      <c r="AD134" s="13">
        <v>0</v>
      </c>
      <c r="AE134" s="13">
        <v>0</v>
      </c>
      <c r="AF134" s="13">
        <f t="shared" si="29"/>
        <v>0</v>
      </c>
      <c r="AG134" s="8">
        <v>131</v>
      </c>
    </row>
    <row r="135" spans="2:33" x14ac:dyDescent="0.2">
      <c r="C135" s="8">
        <v>483</v>
      </c>
      <c r="D135" s="8" t="s">
        <v>183</v>
      </c>
      <c r="E135" s="13">
        <v>0</v>
      </c>
      <c r="F135" s="13">
        <v>0</v>
      </c>
      <c r="G135" s="13">
        <v>0</v>
      </c>
      <c r="H135" s="13">
        <v>0</v>
      </c>
      <c r="I135" s="13">
        <v>0</v>
      </c>
      <c r="J135" s="13">
        <v>0</v>
      </c>
      <c r="K135" s="13">
        <v>0</v>
      </c>
      <c r="L135" s="13">
        <v>0</v>
      </c>
      <c r="M135" s="13">
        <v>0</v>
      </c>
      <c r="N135" s="13">
        <v>0</v>
      </c>
      <c r="O135" s="13">
        <v>0</v>
      </c>
      <c r="P135" s="13">
        <v>0</v>
      </c>
      <c r="Q135" s="13">
        <v>0</v>
      </c>
      <c r="R135" s="13">
        <v>0</v>
      </c>
      <c r="S135" s="13"/>
      <c r="T135" s="13">
        <v>0</v>
      </c>
      <c r="U135" s="13">
        <v>0</v>
      </c>
      <c r="V135" s="13">
        <v>0</v>
      </c>
      <c r="W135" s="13">
        <v>0</v>
      </c>
      <c r="X135" s="13">
        <v>0</v>
      </c>
      <c r="Y135" s="13">
        <v>0</v>
      </c>
      <c r="Z135" s="13">
        <v>0</v>
      </c>
      <c r="AA135" s="13">
        <v>0</v>
      </c>
      <c r="AB135" s="13">
        <v>0</v>
      </c>
      <c r="AC135" s="13">
        <v>0</v>
      </c>
      <c r="AD135" s="13">
        <v>0</v>
      </c>
      <c r="AE135" s="13">
        <v>0</v>
      </c>
      <c r="AF135" s="13">
        <f t="shared" si="29"/>
        <v>0</v>
      </c>
      <c r="AG135" s="8">
        <v>132</v>
      </c>
    </row>
    <row r="136" spans="2:33" x14ac:dyDescent="0.2">
      <c r="C136" s="8">
        <v>484</v>
      </c>
      <c r="D136" s="8" t="s">
        <v>184</v>
      </c>
      <c r="E136" s="13">
        <v>0</v>
      </c>
      <c r="F136" s="13">
        <v>0</v>
      </c>
      <c r="G136" s="13">
        <v>0</v>
      </c>
      <c r="H136" s="13">
        <v>0</v>
      </c>
      <c r="I136" s="13">
        <v>0</v>
      </c>
      <c r="J136" s="13">
        <v>0</v>
      </c>
      <c r="K136" s="13">
        <v>0</v>
      </c>
      <c r="L136" s="13">
        <v>0</v>
      </c>
      <c r="M136" s="13">
        <v>0</v>
      </c>
      <c r="N136" s="13">
        <v>0</v>
      </c>
      <c r="O136" s="13">
        <v>0</v>
      </c>
      <c r="P136" s="13">
        <v>0</v>
      </c>
      <c r="Q136" s="13">
        <v>0</v>
      </c>
      <c r="R136" s="13">
        <v>0</v>
      </c>
      <c r="S136" s="13"/>
      <c r="T136" s="13">
        <v>0</v>
      </c>
      <c r="U136" s="13">
        <v>0</v>
      </c>
      <c r="V136" s="13">
        <v>0</v>
      </c>
      <c r="W136" s="13">
        <v>0</v>
      </c>
      <c r="X136" s="13">
        <v>0</v>
      </c>
      <c r="Y136" s="13">
        <v>0</v>
      </c>
      <c r="Z136" s="13">
        <v>0</v>
      </c>
      <c r="AA136" s="13">
        <v>0</v>
      </c>
      <c r="AB136" s="13">
        <v>0</v>
      </c>
      <c r="AC136" s="13">
        <v>0</v>
      </c>
      <c r="AD136" s="13">
        <v>0</v>
      </c>
      <c r="AE136" s="13">
        <v>0</v>
      </c>
      <c r="AF136" s="13">
        <f t="shared" si="29"/>
        <v>0</v>
      </c>
      <c r="AG136" s="8">
        <v>133</v>
      </c>
    </row>
    <row r="137" spans="2:33"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c r="T137" s="13">
        <v>0</v>
      </c>
      <c r="U137" s="13">
        <v>0</v>
      </c>
      <c r="V137" s="13">
        <v>0</v>
      </c>
      <c r="W137" s="13">
        <v>0</v>
      </c>
      <c r="X137" s="13">
        <v>0</v>
      </c>
      <c r="Y137" s="13">
        <v>0</v>
      </c>
      <c r="Z137" s="13">
        <v>0</v>
      </c>
      <c r="AA137" s="13">
        <v>0</v>
      </c>
      <c r="AB137" s="13">
        <v>0</v>
      </c>
      <c r="AC137" s="13">
        <v>0</v>
      </c>
      <c r="AD137" s="13">
        <v>0</v>
      </c>
      <c r="AE137" s="13">
        <v>0</v>
      </c>
      <c r="AF137" s="13">
        <f t="shared" si="29"/>
        <v>0</v>
      </c>
      <c r="AG137" s="8">
        <v>134</v>
      </c>
    </row>
    <row r="138" spans="2:33"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c r="T138" s="13">
        <v>0</v>
      </c>
      <c r="U138" s="13">
        <v>0</v>
      </c>
      <c r="V138" s="13">
        <v>0</v>
      </c>
      <c r="W138" s="13">
        <v>0</v>
      </c>
      <c r="X138" s="13">
        <v>0</v>
      </c>
      <c r="Y138" s="13">
        <v>0</v>
      </c>
      <c r="Z138" s="13">
        <v>0</v>
      </c>
      <c r="AA138" s="13">
        <v>0</v>
      </c>
      <c r="AB138" s="13">
        <v>0</v>
      </c>
      <c r="AC138" s="13">
        <v>0</v>
      </c>
      <c r="AD138" s="13">
        <v>0</v>
      </c>
      <c r="AE138" s="13">
        <v>0</v>
      </c>
      <c r="AF138" s="13">
        <f t="shared" si="29"/>
        <v>0</v>
      </c>
      <c r="AG138" s="8">
        <v>135</v>
      </c>
    </row>
    <row r="139" spans="2:33" x14ac:dyDescent="0.2">
      <c r="C139" s="8">
        <v>489</v>
      </c>
      <c r="D139" s="8" t="s">
        <v>187</v>
      </c>
      <c r="E139" s="13">
        <v>0</v>
      </c>
      <c r="F139" s="13">
        <v>2001700</v>
      </c>
      <c r="G139" s="13">
        <v>0</v>
      </c>
      <c r="H139" s="13">
        <v>0</v>
      </c>
      <c r="I139" s="13">
        <v>0</v>
      </c>
      <c r="J139" s="13">
        <v>27606.59</v>
      </c>
      <c r="K139" s="13">
        <v>0</v>
      </c>
      <c r="L139" s="13">
        <v>0</v>
      </c>
      <c r="M139" s="13">
        <v>0</v>
      </c>
      <c r="N139" s="13">
        <v>0</v>
      </c>
      <c r="O139" s="13">
        <v>0</v>
      </c>
      <c r="P139" s="13">
        <v>0</v>
      </c>
      <c r="Q139" s="13">
        <v>0</v>
      </c>
      <c r="R139" s="13">
        <v>6810.75</v>
      </c>
      <c r="S139" s="13"/>
      <c r="T139" s="13">
        <v>0</v>
      </c>
      <c r="U139" s="13">
        <v>0</v>
      </c>
      <c r="V139" s="13">
        <v>0</v>
      </c>
      <c r="W139" s="13">
        <v>0</v>
      </c>
      <c r="X139" s="13">
        <v>0</v>
      </c>
      <c r="Y139" s="13">
        <v>35746</v>
      </c>
      <c r="Z139" s="13">
        <v>0</v>
      </c>
      <c r="AA139" s="13">
        <v>0</v>
      </c>
      <c r="AB139" s="13">
        <v>0</v>
      </c>
      <c r="AC139" s="13">
        <v>0</v>
      </c>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-42.5</v>
      </c>
      <c r="U141" s="82">
        <f t="shared" si="30"/>
        <v>350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199087.79</v>
      </c>
      <c r="AG141" s="8">
        <v>138</v>
      </c>
    </row>
    <row r="142" spans="2:33" x14ac:dyDescent="0.2">
      <c r="C142" s="8">
        <v>490</v>
      </c>
      <c r="D142" s="8" t="s">
        <v>128</v>
      </c>
      <c r="E142" s="13">
        <v>0</v>
      </c>
      <c r="F142" s="13">
        <v>0</v>
      </c>
      <c r="G142" s="13">
        <v>0</v>
      </c>
      <c r="H142" s="13">
        <v>0</v>
      </c>
      <c r="I142" s="13">
        <v>0</v>
      </c>
      <c r="J142" s="13">
        <v>0</v>
      </c>
      <c r="K142" s="13">
        <v>0</v>
      </c>
      <c r="L142" s="13">
        <v>0</v>
      </c>
      <c r="M142" s="13">
        <v>0</v>
      </c>
      <c r="N142" s="13">
        <v>0</v>
      </c>
      <c r="O142" s="13">
        <v>0</v>
      </c>
      <c r="P142" s="13">
        <v>0</v>
      </c>
      <c r="Q142" s="13">
        <v>0</v>
      </c>
      <c r="R142" s="13">
        <v>0</v>
      </c>
      <c r="S142" s="13"/>
      <c r="T142" s="13">
        <v>0</v>
      </c>
      <c r="U142" s="13">
        <v>0</v>
      </c>
      <c r="V142" s="13">
        <v>0</v>
      </c>
      <c r="W142" s="13">
        <v>0</v>
      </c>
      <c r="X142" s="13">
        <v>0</v>
      </c>
      <c r="Y142" s="13">
        <v>0</v>
      </c>
      <c r="Z142" s="13">
        <v>0</v>
      </c>
      <c r="AA142" s="13">
        <v>0</v>
      </c>
      <c r="AB142" s="13">
        <v>0</v>
      </c>
      <c r="AC142" s="13">
        <v>0</v>
      </c>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v>0</v>
      </c>
      <c r="J143" s="13">
        <v>0</v>
      </c>
      <c r="K143" s="13">
        <v>0</v>
      </c>
      <c r="L143" s="13">
        <v>0</v>
      </c>
      <c r="M143" s="13">
        <v>0</v>
      </c>
      <c r="N143" s="13">
        <v>0</v>
      </c>
      <c r="O143" s="13">
        <v>0</v>
      </c>
      <c r="P143" s="13">
        <v>0</v>
      </c>
      <c r="Q143" s="13">
        <v>0</v>
      </c>
      <c r="R143" s="13">
        <v>0</v>
      </c>
      <c r="S143" s="13"/>
      <c r="T143" s="13">
        <v>0</v>
      </c>
      <c r="U143" s="13">
        <v>350</v>
      </c>
      <c r="V143" s="13">
        <v>0</v>
      </c>
      <c r="W143" s="13">
        <v>0</v>
      </c>
      <c r="X143" s="13">
        <v>0</v>
      </c>
      <c r="Y143" s="13">
        <v>0</v>
      </c>
      <c r="Z143" s="13">
        <v>0</v>
      </c>
      <c r="AA143" s="13">
        <v>0</v>
      </c>
      <c r="AB143" s="13">
        <v>0</v>
      </c>
      <c r="AC143" s="13">
        <v>0</v>
      </c>
      <c r="AD143" s="13">
        <v>0</v>
      </c>
      <c r="AE143" s="13">
        <v>0</v>
      </c>
      <c r="AF143" s="13">
        <f t="shared" si="31"/>
        <v>350</v>
      </c>
      <c r="AG143" s="8">
        <v>140</v>
      </c>
    </row>
    <row r="144" spans="2:33" x14ac:dyDescent="0.2">
      <c r="C144" s="8">
        <v>492</v>
      </c>
      <c r="D144" s="8" t="s">
        <v>188</v>
      </c>
      <c r="E144" s="13">
        <v>0</v>
      </c>
      <c r="F144" s="13">
        <v>0</v>
      </c>
      <c r="G144" s="13">
        <v>0</v>
      </c>
      <c r="H144" s="13">
        <v>0</v>
      </c>
      <c r="I144" s="13">
        <v>0</v>
      </c>
      <c r="J144" s="13">
        <v>0</v>
      </c>
      <c r="K144" s="13">
        <v>0</v>
      </c>
      <c r="L144" s="13">
        <v>0</v>
      </c>
      <c r="M144" s="13">
        <v>0</v>
      </c>
      <c r="N144" s="13">
        <v>0</v>
      </c>
      <c r="O144" s="13">
        <v>0</v>
      </c>
      <c r="P144" s="13">
        <v>0</v>
      </c>
      <c r="Q144" s="13">
        <v>0</v>
      </c>
      <c r="R144" s="13">
        <v>0</v>
      </c>
      <c r="S144" s="13"/>
      <c r="T144" s="13">
        <v>0</v>
      </c>
      <c r="U144" s="13">
        <v>0</v>
      </c>
      <c r="V144" s="13">
        <v>0</v>
      </c>
      <c r="W144" s="13">
        <v>0</v>
      </c>
      <c r="X144" s="13">
        <v>0</v>
      </c>
      <c r="Y144" s="13">
        <v>0</v>
      </c>
      <c r="Z144" s="13">
        <v>0</v>
      </c>
      <c r="AA144" s="13">
        <v>0</v>
      </c>
      <c r="AB144" s="13">
        <v>0</v>
      </c>
      <c r="AC144" s="13">
        <v>0</v>
      </c>
      <c r="AD144" s="13">
        <v>0</v>
      </c>
      <c r="AE144" s="13">
        <v>0</v>
      </c>
      <c r="AF144" s="13">
        <f t="shared" si="31"/>
        <v>0</v>
      </c>
      <c r="AG144" s="8">
        <v>141</v>
      </c>
    </row>
    <row r="145" spans="1:33" x14ac:dyDescent="0.2">
      <c r="C145" s="8">
        <v>493</v>
      </c>
      <c r="D145" s="8" t="s">
        <v>189</v>
      </c>
      <c r="E145" s="13">
        <v>0</v>
      </c>
      <c r="F145" s="13">
        <v>0</v>
      </c>
      <c r="G145" s="13">
        <v>0</v>
      </c>
      <c r="H145" s="13">
        <v>0</v>
      </c>
      <c r="I145" s="13">
        <v>0</v>
      </c>
      <c r="J145" s="13">
        <v>0</v>
      </c>
      <c r="K145" s="13">
        <v>0</v>
      </c>
      <c r="L145" s="13">
        <v>0</v>
      </c>
      <c r="M145" s="13">
        <v>0</v>
      </c>
      <c r="N145" s="13">
        <v>0</v>
      </c>
      <c r="O145" s="13">
        <v>0</v>
      </c>
      <c r="P145" s="13">
        <v>0</v>
      </c>
      <c r="Q145" s="13">
        <v>0</v>
      </c>
      <c r="R145" s="13">
        <v>0</v>
      </c>
      <c r="S145" s="13"/>
      <c r="T145" s="13">
        <v>0</v>
      </c>
      <c r="U145" s="13">
        <v>0</v>
      </c>
      <c r="V145" s="13">
        <v>0</v>
      </c>
      <c r="W145" s="13">
        <v>0</v>
      </c>
      <c r="X145" s="13">
        <v>0</v>
      </c>
      <c r="Y145" s="13">
        <v>0</v>
      </c>
      <c r="Z145" s="13">
        <v>0</v>
      </c>
      <c r="AA145" s="13">
        <v>0</v>
      </c>
      <c r="AB145" s="13">
        <v>0</v>
      </c>
      <c r="AC145" s="13">
        <v>0</v>
      </c>
      <c r="AD145" s="13">
        <v>0</v>
      </c>
      <c r="AE145" s="13">
        <v>0</v>
      </c>
      <c r="AF145" s="13">
        <f t="shared" si="31"/>
        <v>0</v>
      </c>
      <c r="AG145" s="8">
        <v>142</v>
      </c>
    </row>
    <row r="146" spans="1:33" x14ac:dyDescent="0.2">
      <c r="C146" s="8">
        <v>494</v>
      </c>
      <c r="D146" s="8" t="s">
        <v>132</v>
      </c>
      <c r="E146" s="13">
        <v>0</v>
      </c>
      <c r="F146" s="13">
        <v>0</v>
      </c>
      <c r="G146" s="13">
        <v>0</v>
      </c>
      <c r="H146" s="13">
        <v>0</v>
      </c>
      <c r="I146" s="13">
        <v>0</v>
      </c>
      <c r="J146" s="13">
        <v>0</v>
      </c>
      <c r="K146" s="13">
        <v>0</v>
      </c>
      <c r="L146" s="13">
        <v>0</v>
      </c>
      <c r="M146" s="13">
        <v>0</v>
      </c>
      <c r="N146" s="13">
        <v>0</v>
      </c>
      <c r="O146" s="13">
        <v>0</v>
      </c>
      <c r="P146" s="13">
        <v>0</v>
      </c>
      <c r="Q146" s="13">
        <v>0</v>
      </c>
      <c r="R146" s="13">
        <v>0</v>
      </c>
      <c r="S146" s="13"/>
      <c r="T146" s="13">
        <v>-42.5</v>
      </c>
      <c r="U146" s="13">
        <v>0</v>
      </c>
      <c r="V146" s="13">
        <v>0</v>
      </c>
      <c r="W146" s="13">
        <v>0</v>
      </c>
      <c r="X146" s="13">
        <v>0</v>
      </c>
      <c r="Y146" s="13">
        <v>0</v>
      </c>
      <c r="Z146" s="13">
        <v>15434.6</v>
      </c>
      <c r="AA146" s="13">
        <v>0</v>
      </c>
      <c r="AB146" s="13">
        <v>0</v>
      </c>
      <c r="AC146" s="13">
        <v>0</v>
      </c>
      <c r="AD146" s="13">
        <v>0</v>
      </c>
      <c r="AE146" s="13">
        <v>0</v>
      </c>
      <c r="AF146" s="13">
        <f t="shared" si="31"/>
        <v>15392.1</v>
      </c>
      <c r="AG146" s="8">
        <v>143</v>
      </c>
    </row>
    <row r="147" spans="1:33" x14ac:dyDescent="0.2">
      <c r="C147" s="8">
        <v>495</v>
      </c>
      <c r="D147" s="8" t="s">
        <v>190</v>
      </c>
      <c r="E147" s="13">
        <v>0</v>
      </c>
      <c r="F147" s="13">
        <v>0</v>
      </c>
      <c r="G147" s="13">
        <v>0</v>
      </c>
      <c r="H147" s="13">
        <v>0</v>
      </c>
      <c r="I147" s="13">
        <v>0</v>
      </c>
      <c r="J147" s="13">
        <v>0</v>
      </c>
      <c r="K147" s="13">
        <v>0</v>
      </c>
      <c r="L147" s="13">
        <v>0</v>
      </c>
      <c r="M147" s="13">
        <v>0</v>
      </c>
      <c r="N147" s="13">
        <v>0</v>
      </c>
      <c r="O147" s="13">
        <v>0</v>
      </c>
      <c r="P147" s="13">
        <v>0</v>
      </c>
      <c r="Q147" s="13">
        <v>0</v>
      </c>
      <c r="R147" s="13">
        <v>0</v>
      </c>
      <c r="S147" s="13"/>
      <c r="T147" s="13">
        <v>0</v>
      </c>
      <c r="U147" s="13">
        <v>0</v>
      </c>
      <c r="V147" s="13">
        <v>0</v>
      </c>
      <c r="W147" s="13">
        <v>0</v>
      </c>
      <c r="X147" s="13">
        <v>0</v>
      </c>
      <c r="Y147" s="13">
        <v>0</v>
      </c>
      <c r="Z147" s="13">
        <v>0</v>
      </c>
      <c r="AA147" s="13">
        <v>0</v>
      </c>
      <c r="AB147" s="13">
        <v>0</v>
      </c>
      <c r="AC147" s="13">
        <v>0</v>
      </c>
      <c r="AD147" s="13">
        <v>0</v>
      </c>
      <c r="AE147" s="13">
        <v>0</v>
      </c>
      <c r="AF147" s="13">
        <f t="shared" si="31"/>
        <v>0</v>
      </c>
      <c r="AG147" s="8">
        <v>144</v>
      </c>
    </row>
    <row r="148" spans="1:33" x14ac:dyDescent="0.2">
      <c r="C148" s="8">
        <v>498</v>
      </c>
      <c r="D148" s="8" t="s">
        <v>191</v>
      </c>
      <c r="E148" s="13">
        <v>0</v>
      </c>
      <c r="F148" s="13">
        <v>0</v>
      </c>
      <c r="G148" s="13">
        <v>0</v>
      </c>
      <c r="H148" s="13">
        <v>0</v>
      </c>
      <c r="I148" s="13">
        <v>0</v>
      </c>
      <c r="J148" s="13">
        <v>0</v>
      </c>
      <c r="K148" s="13">
        <v>0</v>
      </c>
      <c r="L148" s="13">
        <v>0</v>
      </c>
      <c r="M148" s="13">
        <v>0</v>
      </c>
      <c r="N148" s="13">
        <v>0</v>
      </c>
      <c r="O148" s="13">
        <v>0</v>
      </c>
      <c r="P148" s="13">
        <v>0</v>
      </c>
      <c r="Q148" s="13">
        <v>0</v>
      </c>
      <c r="R148" s="13">
        <v>0</v>
      </c>
      <c r="S148" s="13"/>
      <c r="T148" s="13">
        <v>0</v>
      </c>
      <c r="U148" s="13">
        <v>0</v>
      </c>
      <c r="V148" s="13">
        <v>183345.69</v>
      </c>
      <c r="W148" s="13">
        <v>0</v>
      </c>
      <c r="X148" s="13">
        <v>0</v>
      </c>
      <c r="Y148" s="13">
        <v>0</v>
      </c>
      <c r="Z148" s="13">
        <v>0</v>
      </c>
      <c r="AA148" s="13">
        <v>0</v>
      </c>
      <c r="AB148" s="13">
        <v>0</v>
      </c>
      <c r="AC148" s="13">
        <v>0</v>
      </c>
      <c r="AD148" s="13">
        <v>0</v>
      </c>
      <c r="AE148" s="13">
        <v>0</v>
      </c>
      <c r="AF148" s="13">
        <f t="shared" si="31"/>
        <v>183345.69</v>
      </c>
      <c r="AG148" s="8">
        <v>145</v>
      </c>
    </row>
    <row r="149" spans="1:33" x14ac:dyDescent="0.2">
      <c r="C149" s="8">
        <v>499</v>
      </c>
      <c r="D149" s="8" t="s">
        <v>135</v>
      </c>
      <c r="E149" s="13">
        <v>0</v>
      </c>
      <c r="F149" s="13">
        <v>0</v>
      </c>
      <c r="G149" s="13">
        <v>0</v>
      </c>
      <c r="H149" s="13">
        <v>0</v>
      </c>
      <c r="I149" s="13">
        <v>0</v>
      </c>
      <c r="J149" s="13">
        <v>0</v>
      </c>
      <c r="K149" s="13">
        <v>0</v>
      </c>
      <c r="L149" s="13">
        <v>0</v>
      </c>
      <c r="M149" s="13">
        <v>0</v>
      </c>
      <c r="N149" s="13">
        <v>0</v>
      </c>
      <c r="O149" s="13">
        <v>0</v>
      </c>
      <c r="P149" s="13">
        <v>0</v>
      </c>
      <c r="Q149" s="13">
        <v>0</v>
      </c>
      <c r="R149" s="13">
        <v>0</v>
      </c>
      <c r="S149" s="13"/>
      <c r="T149" s="13">
        <v>0</v>
      </c>
      <c r="U149" s="13">
        <v>0</v>
      </c>
      <c r="V149" s="13">
        <v>0</v>
      </c>
      <c r="W149" s="13">
        <v>0</v>
      </c>
      <c r="X149" s="13">
        <v>0</v>
      </c>
      <c r="Y149" s="13">
        <v>0</v>
      </c>
      <c r="Z149" s="13">
        <v>0</v>
      </c>
      <c r="AA149" s="13">
        <v>0</v>
      </c>
      <c r="AB149" s="13">
        <v>0</v>
      </c>
      <c r="AC149" s="13">
        <v>0</v>
      </c>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-16811.82</v>
      </c>
      <c r="U154" s="85">
        <f t="shared" si="32"/>
        <v>45462.36</v>
      </c>
      <c r="V154" s="85">
        <f t="shared" si="32"/>
        <v>0</v>
      </c>
      <c r="W154" s="85">
        <f t="shared" si="32"/>
        <v>1308.75</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615901.75</v>
      </c>
      <c r="AG154" s="8">
        <v>151</v>
      </c>
    </row>
    <row r="155" spans="1:33" x14ac:dyDescent="0.2">
      <c r="C155" s="8">
        <v>900</v>
      </c>
      <c r="D155" s="8" t="s">
        <v>195</v>
      </c>
      <c r="E155" s="13">
        <v>0</v>
      </c>
      <c r="F155" s="13">
        <v>0</v>
      </c>
      <c r="G155" s="13">
        <v>14241.85</v>
      </c>
      <c r="H155" s="13">
        <v>44405.59</v>
      </c>
      <c r="I155" s="13">
        <v>0</v>
      </c>
      <c r="J155" s="13">
        <v>0</v>
      </c>
      <c r="K155" s="13">
        <v>0</v>
      </c>
      <c r="L155" s="13">
        <v>115186.85</v>
      </c>
      <c r="M155" s="13">
        <v>0</v>
      </c>
      <c r="N155" s="13">
        <v>0</v>
      </c>
      <c r="O155" s="13">
        <v>268697.61</v>
      </c>
      <c r="P155" s="13">
        <v>7498.65</v>
      </c>
      <c r="Q155" s="13">
        <v>0</v>
      </c>
      <c r="R155" s="13">
        <v>947.22</v>
      </c>
      <c r="S155" s="13"/>
      <c r="T155" s="13">
        <v>-16811.82</v>
      </c>
      <c r="U155" s="13">
        <v>45462.36</v>
      </c>
      <c r="V155" s="13">
        <v>0</v>
      </c>
      <c r="W155" s="13">
        <v>1308.75</v>
      </c>
      <c r="X155" s="13">
        <v>9217.26</v>
      </c>
      <c r="Y155" s="13">
        <v>77353.789999999994</v>
      </c>
      <c r="Z155" s="13">
        <v>34988.94</v>
      </c>
      <c r="AA155" s="13">
        <v>0</v>
      </c>
      <c r="AB155" s="13">
        <v>-15808.55</v>
      </c>
      <c r="AC155" s="13">
        <v>0</v>
      </c>
      <c r="AD155" s="13">
        <v>97289.64</v>
      </c>
      <c r="AE155" s="13">
        <v>-35326.9</v>
      </c>
      <c r="AF155" s="13">
        <f>SUM(E155:AE155)</f>
        <v>648651.24</v>
      </c>
      <c r="AG155" s="8">
        <v>152</v>
      </c>
    </row>
    <row r="156" spans="1:33" x14ac:dyDescent="0.2">
      <c r="C156" s="8">
        <v>901</v>
      </c>
      <c r="D156" s="8" t="s">
        <v>196</v>
      </c>
      <c r="E156" s="13">
        <v>0</v>
      </c>
      <c r="F156" s="13">
        <v>0</v>
      </c>
      <c r="G156" s="13">
        <v>0</v>
      </c>
      <c r="H156" s="13">
        <v>0</v>
      </c>
      <c r="I156" s="13">
        <v>0</v>
      </c>
      <c r="J156" s="13">
        <v>0</v>
      </c>
      <c r="K156" s="13">
        <v>0</v>
      </c>
      <c r="L156" s="13">
        <v>0</v>
      </c>
      <c r="M156" s="13">
        <v>0</v>
      </c>
      <c r="N156" s="13">
        <v>0</v>
      </c>
      <c r="O156" s="13">
        <v>0</v>
      </c>
      <c r="P156" s="13">
        <v>0</v>
      </c>
      <c r="Q156" s="13">
        <v>0</v>
      </c>
      <c r="R156" s="13">
        <v>0</v>
      </c>
      <c r="S156" s="13"/>
      <c r="T156" s="13">
        <v>0</v>
      </c>
      <c r="U156" s="13">
        <v>0</v>
      </c>
      <c r="V156" s="13">
        <v>0</v>
      </c>
      <c r="W156" s="13">
        <v>0</v>
      </c>
      <c r="X156" s="13">
        <v>0</v>
      </c>
      <c r="Y156" s="13">
        <v>-81355.89</v>
      </c>
      <c r="Z156" s="13">
        <v>0</v>
      </c>
      <c r="AA156" s="13">
        <v>0</v>
      </c>
      <c r="AB156" s="13">
        <v>0</v>
      </c>
      <c r="AC156" s="13">
        <v>0</v>
      </c>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-16811.82</v>
      </c>
      <c r="U158" s="88">
        <f t="shared" si="33"/>
        <v>45462.36</v>
      </c>
      <c r="V158" s="88">
        <f t="shared" si="33"/>
        <v>0</v>
      </c>
      <c r="W158" s="88">
        <f t="shared" si="33"/>
        <v>1308.75</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615901.75</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-16811.820000000065</v>
      </c>
      <c r="U162" s="88">
        <f t="shared" si="34"/>
        <v>45462.359999999986</v>
      </c>
      <c r="V162" s="88">
        <f t="shared" si="34"/>
        <v>0</v>
      </c>
      <c r="W162" s="88">
        <f t="shared" si="34"/>
        <v>1308.75</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615901.7500000149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6.5483618527650833E-11</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-1.4901161193847656E-8</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53751.9</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53751.899999999994</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108366.75</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614503.56999999995</v>
      </c>
      <c r="U167" s="13">
        <f t="shared" si="38"/>
        <v>63440.39</v>
      </c>
      <c r="V167" s="13">
        <f t="shared" si="38"/>
        <v>449917.73000000004</v>
      </c>
      <c r="W167" s="13">
        <f t="shared" si="38"/>
        <v>45959.4</v>
      </c>
      <c r="X167" s="13">
        <f t="shared" si="38"/>
        <v>540145.47</v>
      </c>
      <c r="Y167" s="13">
        <f t="shared" si="38"/>
        <v>5289322.830000001</v>
      </c>
      <c r="Z167" s="13">
        <f t="shared" si="38"/>
        <v>321514.59000000003</v>
      </c>
      <c r="AA167" s="13">
        <f t="shared" si="38"/>
        <v>1667241.07</v>
      </c>
      <c r="AB167" s="13">
        <f t="shared" si="38"/>
        <v>224938.55</v>
      </c>
      <c r="AC167" s="13">
        <f t="shared" si="38"/>
        <v>124877.23000000001</v>
      </c>
      <c r="AD167" s="13">
        <f t="shared" si="38"/>
        <v>3212907.0399999996</v>
      </c>
      <c r="AE167" s="13">
        <f t="shared" si="38"/>
        <v>223465.34999999998</v>
      </c>
      <c r="AF167" s="13">
        <f t="shared" si="38"/>
        <v>32266496.549999997</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108366.75</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645615.4</v>
      </c>
      <c r="U168" s="13">
        <f t="shared" si="39"/>
        <v>72843.350000000006</v>
      </c>
      <c r="V168" s="13">
        <f t="shared" si="39"/>
        <v>461853.78</v>
      </c>
      <c r="W168" s="13">
        <f t="shared" si="39"/>
        <v>47268.15</v>
      </c>
      <c r="X168" s="13">
        <f t="shared" si="39"/>
        <v>828583.85000000009</v>
      </c>
      <c r="Y168" s="13">
        <f t="shared" si="39"/>
        <v>4834141.08</v>
      </c>
      <c r="Z168" s="13">
        <f t="shared" si="39"/>
        <v>371915.14999999997</v>
      </c>
      <c r="AA168" s="13">
        <f t="shared" si="39"/>
        <v>1691459.21</v>
      </c>
      <c r="AB168" s="13">
        <f t="shared" si="39"/>
        <v>169130</v>
      </c>
      <c r="AC168" s="13">
        <f t="shared" si="39"/>
        <v>124873.98</v>
      </c>
      <c r="AD168" s="13">
        <f t="shared" si="39"/>
        <v>3366108.12</v>
      </c>
      <c r="AE168" s="13">
        <f t="shared" si="39"/>
        <v>236744.85</v>
      </c>
      <c r="AF168" s="13">
        <f t="shared" si="39"/>
        <v>32927407.500000004</v>
      </c>
      <c r="AG168" s="8">
        <v>165</v>
      </c>
    </row>
    <row r="170" spans="4:33" x14ac:dyDescent="0.2">
      <c r="L170" s="13"/>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65</v>
      </c>
    </row>
    <row r="7" spans="1:5" ht="15" x14ac:dyDescent="0.25">
      <c r="E7" s="33" t="s">
        <v>201</v>
      </c>
    </row>
    <row r="8" spans="1:5" ht="20.25" x14ac:dyDescent="0.3">
      <c r="A8" s="11">
        <v>3</v>
      </c>
      <c r="B8" s="11"/>
      <c r="C8" s="11"/>
      <c r="D8" s="11" t="s">
        <v>60</v>
      </c>
      <c r="E8" s="97">
        <f>HLOOKUP($D$5,'Syndicats comptes 2022'!$E$4:$AF$168,2,0)</f>
        <v>35484135.729999997</v>
      </c>
    </row>
    <row r="9" spans="1:5" ht="15" x14ac:dyDescent="0.25">
      <c r="A9" s="79"/>
      <c r="B9" s="79">
        <v>30</v>
      </c>
      <c r="C9" s="79"/>
      <c r="D9" s="79" t="s">
        <v>61</v>
      </c>
      <c r="E9" s="80">
        <f>HLOOKUP($D$5,'Syndicats comptes 2022'!$E$4:$AF$168,3,0)</f>
        <v>5574596.3400000008</v>
      </c>
    </row>
    <row r="10" spans="1:5" x14ac:dyDescent="0.2">
      <c r="C10" s="8">
        <v>300</v>
      </c>
      <c r="D10" s="8" t="s">
        <v>80</v>
      </c>
      <c r="E10" s="13">
        <f>HLOOKUP($D$5,'Syndicats comptes 2022'!$E$4:$AF$168,4,0)</f>
        <v>273916.64999999997</v>
      </c>
    </row>
    <row r="11" spans="1:5" x14ac:dyDescent="0.2">
      <c r="C11" s="8">
        <v>301</v>
      </c>
      <c r="D11" s="8" t="s">
        <v>81</v>
      </c>
      <c r="E11" s="13">
        <f>HLOOKUP($D$5,'Syndicats comptes 2022'!$E$4:$AF$168,5,0)</f>
        <v>4229582.87</v>
      </c>
    </row>
    <row r="12" spans="1:5" x14ac:dyDescent="0.2">
      <c r="C12" s="8">
        <v>302</v>
      </c>
      <c r="D12" s="8" t="s">
        <v>82</v>
      </c>
      <c r="E12" s="13">
        <f>HLOOKUP($D$5,'Syndicats comptes 2022'!$E$4:$AF$168,6,0)</f>
        <v>0</v>
      </c>
    </row>
    <row r="13" spans="1:5" x14ac:dyDescent="0.2">
      <c r="C13" s="8">
        <v>303</v>
      </c>
      <c r="D13" s="8" t="s">
        <v>83</v>
      </c>
      <c r="E13" s="13">
        <f>HLOOKUP($D$5,'Syndicats comptes 2022'!$E$4:$AF$168,7,0)</f>
        <v>54593.65</v>
      </c>
    </row>
    <row r="14" spans="1:5" x14ac:dyDescent="0.2">
      <c r="C14" s="8">
        <v>304</v>
      </c>
      <c r="D14" s="8" t="s">
        <v>578</v>
      </c>
      <c r="E14" s="13">
        <f>HLOOKUP($D$5,'Syndicats comptes 2022'!$E$4:$AF$168,8,0)</f>
        <v>9850</v>
      </c>
    </row>
    <row r="15" spans="1:5" x14ac:dyDescent="0.2">
      <c r="C15" s="8">
        <v>305</v>
      </c>
      <c r="D15" s="8" t="s">
        <v>84</v>
      </c>
      <c r="E15" s="13">
        <f>HLOOKUP($D$5,'Syndicats comptes 2022'!$E$4:$AF$168,9,0)</f>
        <v>907978.02</v>
      </c>
    </row>
    <row r="16" spans="1:5" x14ac:dyDescent="0.2">
      <c r="C16" s="8">
        <v>306</v>
      </c>
      <c r="D16" s="8" t="s">
        <v>85</v>
      </c>
      <c r="E16" s="13">
        <f>HLOOKUP($D$5,'Syndicats comptes 2022'!$E$4:$AF$168,10,0)</f>
        <v>8332.5499999999993</v>
      </c>
    </row>
    <row r="17" spans="2:5" x14ac:dyDescent="0.2">
      <c r="C17" s="8">
        <v>309</v>
      </c>
      <c r="D17" s="8" t="s">
        <v>86</v>
      </c>
      <c r="E17" s="13">
        <f>HLOOKUP($D$5,'Syndicats comptes 2022'!$E$4:$AF$168,11,0)</f>
        <v>90342.599999999991</v>
      </c>
    </row>
    <row r="18" spans="2:5" x14ac:dyDescent="0.2">
      <c r="E18" s="13"/>
    </row>
    <row r="19" spans="2:5" ht="15" x14ac:dyDescent="0.25">
      <c r="B19" s="79">
        <v>31</v>
      </c>
      <c r="C19" s="79"/>
      <c r="D19" s="79" t="s">
        <v>87</v>
      </c>
      <c r="E19" s="80">
        <f>HLOOKUP($D$5,'Syndicats comptes 2022'!$E$4:$AF$168,13,0)</f>
        <v>16136431.019999998</v>
      </c>
    </row>
    <row r="20" spans="2:5" x14ac:dyDescent="0.2">
      <c r="C20" s="8">
        <v>310</v>
      </c>
      <c r="D20" s="8" t="s">
        <v>88</v>
      </c>
      <c r="E20" s="13">
        <f>HLOOKUP($D$5,'Syndicats comptes 2022'!$E$4:$AF$168,14,0)</f>
        <v>2099811.8000000003</v>
      </c>
    </row>
    <row r="21" spans="2:5" x14ac:dyDescent="0.2">
      <c r="C21" s="8">
        <v>311</v>
      </c>
      <c r="D21" s="8" t="s">
        <v>449</v>
      </c>
      <c r="E21" s="13">
        <f>HLOOKUP($D$5,'Syndicats comptes 2022'!$E$4:$AF$168,15,0)</f>
        <v>316906.31999999995</v>
      </c>
    </row>
    <row r="22" spans="2:5" x14ac:dyDescent="0.2">
      <c r="C22" s="8">
        <v>312</v>
      </c>
      <c r="D22" s="8" t="s">
        <v>90</v>
      </c>
      <c r="E22" s="13">
        <f>HLOOKUP($D$5,'Syndicats comptes 2022'!$E$4:$AF$168,16,0)</f>
        <v>2661530.84</v>
      </c>
    </row>
    <row r="23" spans="2:5" x14ac:dyDescent="0.2">
      <c r="C23" s="8">
        <v>313</v>
      </c>
      <c r="D23" s="8" t="s">
        <v>91</v>
      </c>
      <c r="E23" s="13">
        <f>HLOOKUP($D$5,'Syndicats comptes 2022'!$E$4:$AF$168,17,0)</f>
        <v>7298084.3899999978</v>
      </c>
    </row>
    <row r="24" spans="2:5" x14ac:dyDescent="0.2">
      <c r="C24" s="8">
        <v>314</v>
      </c>
      <c r="D24" s="8" t="s">
        <v>841</v>
      </c>
      <c r="E24" s="13">
        <f>HLOOKUP($D$5,'Syndicats comptes 2022'!$E$4:$AF$168,18,0)</f>
        <v>1629232.9399999997</v>
      </c>
    </row>
    <row r="25" spans="2:5" x14ac:dyDescent="0.2">
      <c r="C25" s="8">
        <v>315</v>
      </c>
      <c r="D25" s="8" t="s">
        <v>92</v>
      </c>
      <c r="E25" s="13">
        <f>HLOOKUP($D$5,'Syndicats comptes 2022'!$E$4:$AF$168,19,0)</f>
        <v>266637.67000000004</v>
      </c>
    </row>
    <row r="26" spans="2:5" x14ac:dyDescent="0.2">
      <c r="C26" s="8">
        <v>316</v>
      </c>
      <c r="D26" s="8" t="s">
        <v>93</v>
      </c>
      <c r="E26" s="13">
        <f>HLOOKUP($D$5,'Syndicats comptes 2022'!$E$4:$AF$168,20,0)</f>
        <v>804672.84000000008</v>
      </c>
    </row>
    <row r="27" spans="2:5" x14ac:dyDescent="0.2">
      <c r="C27" s="8">
        <v>317</v>
      </c>
      <c r="D27" s="8" t="s">
        <v>94</v>
      </c>
      <c r="E27" s="13">
        <f>HLOOKUP($D$5,'Syndicats comptes 2022'!$E$4:$AF$168,21,0)</f>
        <v>973628.11</v>
      </c>
    </row>
    <row r="28" spans="2:5" x14ac:dyDescent="0.2">
      <c r="C28" s="8">
        <v>318</v>
      </c>
      <c r="D28" s="8" t="s">
        <v>95</v>
      </c>
      <c r="E28" s="13">
        <f>HLOOKUP($D$5,'Syndicats comptes 2022'!$E$4:$AF$168,22,0)</f>
        <v>4314.6400000000003</v>
      </c>
    </row>
    <row r="29" spans="2:5" x14ac:dyDescent="0.2">
      <c r="C29" s="8">
        <v>319</v>
      </c>
      <c r="D29" s="8" t="s">
        <v>96</v>
      </c>
      <c r="E29" s="13">
        <f>HLOOKUP($D$5,'Syndicats comptes 2022'!$E$4:$AF$168,23,0)</f>
        <v>81611.47</v>
      </c>
    </row>
    <row r="30" spans="2:5" x14ac:dyDescent="0.2">
      <c r="E30" s="13"/>
    </row>
    <row r="31" spans="2:5" ht="15" x14ac:dyDescent="0.25">
      <c r="B31" s="79">
        <v>33</v>
      </c>
      <c r="C31" s="79"/>
      <c r="D31" s="79" t="s">
        <v>97</v>
      </c>
      <c r="E31" s="80">
        <f>HLOOKUP($D$5,'Syndicats comptes 2022'!$E$4:$AF$168,25,0)</f>
        <v>6070272.6399999997</v>
      </c>
    </row>
    <row r="32" spans="2:5" x14ac:dyDescent="0.2">
      <c r="C32" s="8">
        <v>330</v>
      </c>
      <c r="D32" s="8" t="s">
        <v>99</v>
      </c>
      <c r="E32" s="13">
        <f>HLOOKUP($D$5,'Syndicats comptes 2022'!$E$4:$AF$168,26,0)</f>
        <v>6049090.79</v>
      </c>
    </row>
    <row r="33" spans="2:5" x14ac:dyDescent="0.2">
      <c r="C33" s="8">
        <v>332</v>
      </c>
      <c r="D33" s="8" t="s">
        <v>98</v>
      </c>
      <c r="E33" s="13">
        <f>HLOOKUP($D$5,'Syndicats comptes 2022'!$E$4:$AF$168,27,0)</f>
        <v>21181.85</v>
      </c>
    </row>
    <row r="34" spans="2:5" x14ac:dyDescent="0.2">
      <c r="E34" s="13"/>
    </row>
    <row r="35" spans="2:5" ht="15" x14ac:dyDescent="0.25">
      <c r="B35" s="79">
        <v>34</v>
      </c>
      <c r="C35" s="79"/>
      <c r="D35" s="79" t="s">
        <v>100</v>
      </c>
      <c r="E35" s="80">
        <f>HLOOKUP($D$5,'Syndicats comptes 2022'!$E$4:$AF$168,29,0)</f>
        <v>687799.49</v>
      </c>
    </row>
    <row r="36" spans="2:5" x14ac:dyDescent="0.2">
      <c r="C36" s="8">
        <v>340</v>
      </c>
      <c r="D36" s="8" t="s">
        <v>101</v>
      </c>
      <c r="E36" s="13">
        <f>HLOOKUP($D$5,'Syndicats comptes 2022'!$E$4:$AF$168,30,0)</f>
        <v>586501.39</v>
      </c>
    </row>
    <row r="37" spans="2:5" x14ac:dyDescent="0.2">
      <c r="C37" s="8">
        <v>341</v>
      </c>
      <c r="D37" s="8" t="s">
        <v>102</v>
      </c>
      <c r="E37" s="13">
        <f>HLOOKUP($D$5,'Syndicats comptes 2022'!$E$4:$AF$168,31,0)</f>
        <v>515.70000000000005</v>
      </c>
    </row>
    <row r="38" spans="2:5" x14ac:dyDescent="0.2">
      <c r="C38" s="8">
        <v>342</v>
      </c>
      <c r="D38" s="8" t="s">
        <v>103</v>
      </c>
      <c r="E38" s="13">
        <f>HLOOKUP($D$5,'Syndicats comptes 2022'!$E$4:$AF$168,32,0)</f>
        <v>0</v>
      </c>
    </row>
    <row r="39" spans="2:5" x14ac:dyDescent="0.2">
      <c r="C39" s="8">
        <v>343</v>
      </c>
      <c r="D39" s="8" t="s">
        <v>104</v>
      </c>
      <c r="E39" s="13">
        <f>HLOOKUP($D$5,'Syndicats comptes 2022'!$E$4:$AF$168,33,0)</f>
        <v>90232.1</v>
      </c>
    </row>
    <row r="40" spans="2:5" x14ac:dyDescent="0.2">
      <c r="C40" s="8">
        <v>344</v>
      </c>
      <c r="D40" s="8" t="s">
        <v>105</v>
      </c>
      <c r="E40" s="13">
        <f>HLOOKUP($D$5,'Syndicats comptes 2022'!$E$4:$AF$168,34,0)</f>
        <v>0</v>
      </c>
    </row>
    <row r="41" spans="2:5" x14ac:dyDescent="0.2">
      <c r="C41" s="8">
        <v>349</v>
      </c>
      <c r="D41" s="8" t="s">
        <v>106</v>
      </c>
      <c r="E41" s="13">
        <f>HLOOKUP($D$5,'Syndicats comptes 2022'!$E$4:$AF$168,35,0)</f>
        <v>10550.300000000001</v>
      </c>
    </row>
    <row r="42" spans="2:5" x14ac:dyDescent="0.2">
      <c r="E42" s="13"/>
    </row>
    <row r="43" spans="2:5" ht="15" x14ac:dyDescent="0.25">
      <c r="B43" s="79">
        <v>35</v>
      </c>
      <c r="C43" s="79"/>
      <c r="D43" s="79" t="s">
        <v>108</v>
      </c>
      <c r="E43" s="80">
        <f>HLOOKUP($D$5,'Syndicats comptes 2022'!$E$4:$AF$168,37,0)</f>
        <v>2095602.33</v>
      </c>
    </row>
    <row r="44" spans="2:5" x14ac:dyDescent="0.2">
      <c r="C44" s="8">
        <v>350</v>
      </c>
      <c r="D44" s="8" t="s">
        <v>108</v>
      </c>
      <c r="E44" s="13">
        <f>HLOOKUP($D$5,'Syndicats comptes 2022'!$E$4:$AF$168,38,0)</f>
        <v>200000</v>
      </c>
    </row>
    <row r="45" spans="2:5" x14ac:dyDescent="0.2">
      <c r="C45" s="8">
        <v>351</v>
      </c>
      <c r="D45" s="8" t="s">
        <v>107</v>
      </c>
      <c r="E45" s="13">
        <f>HLOOKUP($D$5,'Syndicats comptes 2022'!$E$4:$AF$168,39,0)</f>
        <v>1895602.33</v>
      </c>
    </row>
    <row r="46" spans="2:5" x14ac:dyDescent="0.2">
      <c r="E46" s="13"/>
    </row>
    <row r="47" spans="2:5" ht="15" x14ac:dyDescent="0.25">
      <c r="B47" s="79">
        <v>36</v>
      </c>
      <c r="C47" s="79"/>
      <c r="D47" s="79" t="s">
        <v>109</v>
      </c>
      <c r="E47" s="80">
        <f>HLOOKUP($D$5,'Syndicats comptes 2022'!$E$4:$AF$168,41,0)</f>
        <v>2389594.2199999997</v>
      </c>
    </row>
    <row r="48" spans="2:5" x14ac:dyDescent="0.2">
      <c r="C48" s="8">
        <v>360</v>
      </c>
      <c r="D48" s="8" t="s">
        <v>110</v>
      </c>
      <c r="E48" s="13">
        <f>HLOOKUP($D$5,'Syndicats comptes 2022'!$E$4:$AF$168,42,0)</f>
        <v>390556</v>
      </c>
    </row>
    <row r="49" spans="2:5" x14ac:dyDescent="0.2">
      <c r="C49" s="8">
        <v>361</v>
      </c>
      <c r="D49" s="8" t="s">
        <v>111</v>
      </c>
      <c r="E49" s="13">
        <f>HLOOKUP($D$5,'Syndicats comptes 2022'!$E$4:$AF$168,43,0)</f>
        <v>1591274.47</v>
      </c>
    </row>
    <row r="50" spans="2:5" x14ac:dyDescent="0.2">
      <c r="C50" s="8">
        <v>362</v>
      </c>
      <c r="D50" s="8" t="s">
        <v>112</v>
      </c>
      <c r="E50" s="13">
        <f>HLOOKUP($D$5,'Syndicats comptes 2022'!$E$4:$AF$168,44,0)</f>
        <v>155.75</v>
      </c>
    </row>
    <row r="51" spans="2:5" x14ac:dyDescent="0.2">
      <c r="C51" s="8">
        <v>363</v>
      </c>
      <c r="D51" s="8" t="s">
        <v>113</v>
      </c>
      <c r="E51" s="13">
        <f>HLOOKUP($D$5,'Syndicats comptes 2022'!$E$4:$AF$168,45,0)</f>
        <v>56950</v>
      </c>
    </row>
    <row r="52" spans="2:5" x14ac:dyDescent="0.2">
      <c r="C52" s="8">
        <v>364</v>
      </c>
      <c r="D52" s="8" t="s">
        <v>114</v>
      </c>
      <c r="E52" s="13">
        <f>HLOOKUP($D$5,'Syndicats comptes 2022'!$E$4:$AF$168,46,0)</f>
        <v>0</v>
      </c>
    </row>
    <row r="53" spans="2:5" x14ac:dyDescent="0.2">
      <c r="C53" s="8">
        <v>365</v>
      </c>
      <c r="D53" s="8" t="s">
        <v>115</v>
      </c>
      <c r="E53" s="13">
        <f>HLOOKUP($D$5,'Syndicats comptes 2022'!$E$4:$AF$168,47,0)</f>
        <v>0</v>
      </c>
    </row>
    <row r="54" spans="2:5" x14ac:dyDescent="0.2">
      <c r="C54" s="8">
        <v>366</v>
      </c>
      <c r="D54" s="8" t="s">
        <v>116</v>
      </c>
      <c r="E54" s="13">
        <f>HLOOKUP($D$5,'Syndicats comptes 2022'!$E$4:$AF$168,48,0)</f>
        <v>0</v>
      </c>
    </row>
    <row r="55" spans="2:5" x14ac:dyDescent="0.2">
      <c r="C55" s="8">
        <v>369</v>
      </c>
      <c r="D55" s="8" t="s">
        <v>117</v>
      </c>
      <c r="E55" s="13">
        <f>HLOOKUP($D$5,'Syndicats comptes 2022'!$E$4:$AF$168,49,0)</f>
        <v>350658</v>
      </c>
    </row>
    <row r="56" spans="2:5" x14ac:dyDescent="0.2">
      <c r="E56" s="13"/>
    </row>
    <row r="57" spans="2:5" ht="15" x14ac:dyDescent="0.25">
      <c r="B57" s="79">
        <v>37</v>
      </c>
      <c r="C57" s="79"/>
      <c r="D57" s="79" t="s">
        <v>118</v>
      </c>
      <c r="E57" s="80">
        <f>HLOOKUP($D$5,'Syndicats comptes 2022'!$E$4:$AF$168,51,0)</f>
        <v>0</v>
      </c>
    </row>
    <row r="58" spans="2:5" x14ac:dyDescent="0.2">
      <c r="C58" s="8">
        <v>370</v>
      </c>
      <c r="D58" s="8" t="s">
        <v>119</v>
      </c>
      <c r="E58" s="13">
        <f>HLOOKUP($D$5,'Syndicats comptes 2022'!$E$4:$AF$168,52,0)</f>
        <v>0</v>
      </c>
    </row>
    <row r="59" spans="2:5" x14ac:dyDescent="0.2">
      <c r="E59" s="13"/>
    </row>
    <row r="60" spans="2:5" ht="15" x14ac:dyDescent="0.25">
      <c r="B60" s="79">
        <v>38</v>
      </c>
      <c r="C60" s="79"/>
      <c r="D60" s="79" t="s">
        <v>120</v>
      </c>
      <c r="E60" s="80">
        <f>HLOOKUP($D$5,'Syndicats comptes 2022'!$E$4:$AF$168,54,0)</f>
        <v>2277000</v>
      </c>
    </row>
    <row r="61" spans="2:5" x14ac:dyDescent="0.2">
      <c r="C61" s="8">
        <v>380</v>
      </c>
      <c r="D61" s="8" t="s">
        <v>121</v>
      </c>
      <c r="E61" s="13">
        <f>HLOOKUP($D$5,'Syndicats comptes 2022'!$E$4:$AF$168,55,0)</f>
        <v>0</v>
      </c>
    </row>
    <row r="62" spans="2:5" x14ac:dyDescent="0.2">
      <c r="C62" s="8">
        <v>381</v>
      </c>
      <c r="D62" s="8" t="s">
        <v>122</v>
      </c>
      <c r="E62" s="13">
        <f>HLOOKUP($D$5,'Syndicats comptes 2022'!$E$4:$AF$168,56,0)</f>
        <v>0</v>
      </c>
    </row>
    <row r="63" spans="2:5" x14ac:dyDescent="0.2">
      <c r="C63" s="8">
        <v>384</v>
      </c>
      <c r="D63" s="8" t="s">
        <v>123</v>
      </c>
      <c r="E63" s="13">
        <f>HLOOKUP($D$5,'Syndicats comptes 2022'!$E$4:$AF$168,57,0)</f>
        <v>0</v>
      </c>
    </row>
    <row r="64" spans="2:5" x14ac:dyDescent="0.2">
      <c r="C64" s="8">
        <v>385</v>
      </c>
      <c r="D64" s="8" t="s">
        <v>124</v>
      </c>
      <c r="E64" s="13">
        <f>HLOOKUP($D$5,'Syndicats comptes 2022'!$E$4:$AF$168,58,0)</f>
        <v>0</v>
      </c>
    </row>
    <row r="65" spans="1:5" x14ac:dyDescent="0.2">
      <c r="C65" s="8">
        <v>386</v>
      </c>
      <c r="D65" s="8" t="s">
        <v>125</v>
      </c>
      <c r="E65" s="13">
        <f>HLOOKUP($D$5,'Syndicats comptes 2022'!$E$4:$AF$168,59,0)</f>
        <v>0</v>
      </c>
    </row>
    <row r="66" spans="1:5" x14ac:dyDescent="0.2">
      <c r="C66" s="8">
        <v>389</v>
      </c>
      <c r="D66" s="8" t="s">
        <v>289</v>
      </c>
      <c r="E66" s="13">
        <f>HLOOKUP($D$5,'Syndicats comptes 2022'!$E$4:$AF$168,60,0)</f>
        <v>2277000</v>
      </c>
    </row>
    <row r="67" spans="1:5" x14ac:dyDescent="0.2">
      <c r="E67" s="13"/>
    </row>
    <row r="68" spans="1:5" ht="15" x14ac:dyDescent="0.25">
      <c r="B68" s="79">
        <v>39</v>
      </c>
      <c r="C68" s="79"/>
      <c r="D68" s="79" t="s">
        <v>127</v>
      </c>
      <c r="E68" s="80">
        <f>HLOOKUP($D$5,'Syndicats comptes 2022'!$E$4:$AF$168,62,0)</f>
        <v>252839.69</v>
      </c>
    </row>
    <row r="69" spans="1:5" x14ac:dyDescent="0.2">
      <c r="C69" s="8">
        <v>390</v>
      </c>
      <c r="D69" s="8" t="s">
        <v>128</v>
      </c>
      <c r="E69" s="13">
        <f>HLOOKUP($D$5,'Syndicats comptes 2022'!$E$4:$AF$168,63,0)</f>
        <v>0</v>
      </c>
    </row>
    <row r="70" spans="1:5" x14ac:dyDescent="0.2">
      <c r="C70" s="8">
        <v>391</v>
      </c>
      <c r="D70" s="8" t="s">
        <v>129</v>
      </c>
      <c r="E70" s="13">
        <f>HLOOKUP($D$5,'Syndicats comptes 2022'!$E$4:$AF$168,64,0)</f>
        <v>350</v>
      </c>
    </row>
    <row r="71" spans="1:5" x14ac:dyDescent="0.2">
      <c r="C71" s="8">
        <v>392</v>
      </c>
      <c r="D71" s="8" t="s">
        <v>130</v>
      </c>
      <c r="E71" s="13">
        <f>HLOOKUP($D$5,'Syndicats comptes 2022'!$E$4:$AF$168,65,0)</f>
        <v>0</v>
      </c>
    </row>
    <row r="72" spans="1:5" x14ac:dyDescent="0.2">
      <c r="C72" s="8">
        <v>393</v>
      </c>
      <c r="D72" s="8" t="s">
        <v>131</v>
      </c>
      <c r="E72" s="13">
        <f>HLOOKUP($D$5,'Syndicats comptes 2022'!$E$4:$AF$168,66,0)</f>
        <v>0</v>
      </c>
    </row>
    <row r="73" spans="1:5" x14ac:dyDescent="0.2">
      <c r="C73" s="8">
        <v>394</v>
      </c>
      <c r="D73" s="8" t="s">
        <v>132</v>
      </c>
      <c r="E73" s="13">
        <f>HLOOKUP($D$5,'Syndicats comptes 2022'!$E$4:$AF$168,67,0)</f>
        <v>69144</v>
      </c>
    </row>
    <row r="74" spans="1:5" x14ac:dyDescent="0.2">
      <c r="C74" s="8">
        <v>395</v>
      </c>
      <c r="D74" s="8" t="s">
        <v>133</v>
      </c>
      <c r="E74" s="13">
        <f>HLOOKUP($D$5,'Syndicats comptes 2022'!$E$4:$AF$168,68,0)</f>
        <v>0</v>
      </c>
    </row>
    <row r="75" spans="1:5" x14ac:dyDescent="0.2">
      <c r="C75" s="8">
        <v>398</v>
      </c>
      <c r="D75" s="8" t="s">
        <v>134</v>
      </c>
      <c r="E75" s="13">
        <f>HLOOKUP($D$5,'Syndicats comptes 2022'!$E$4:$AF$168,69,0)</f>
        <v>183345.69</v>
      </c>
    </row>
    <row r="76" spans="1:5" x14ac:dyDescent="0.2">
      <c r="C76" s="8">
        <v>399</v>
      </c>
      <c r="D76" s="8" t="s">
        <v>135</v>
      </c>
      <c r="E76" s="13">
        <f>HLOOKUP($D$5,'Syndicats comptes 2022'!$E$4:$AF$168,70,0)</f>
        <v>0</v>
      </c>
    </row>
    <row r="77" spans="1:5" x14ac:dyDescent="0.2">
      <c r="E77" s="13"/>
    </row>
    <row r="78" spans="1:5" x14ac:dyDescent="0.2">
      <c r="E78" s="13"/>
    </row>
    <row r="79" spans="1:5" ht="20.25" x14ac:dyDescent="0.3">
      <c r="A79" s="14">
        <v>4</v>
      </c>
      <c r="B79" s="14"/>
      <c r="C79" s="14"/>
      <c r="D79" s="14" t="s">
        <v>136</v>
      </c>
      <c r="E79" s="98">
        <f>HLOOKUP($D$5,'Syndicats comptes 2022'!$E$4:$AF$168,73,0)</f>
        <v>36100037.480000012</v>
      </c>
    </row>
    <row r="80" spans="1:5" ht="15" x14ac:dyDescent="0.25">
      <c r="A80" s="7"/>
      <c r="B80" s="81">
        <v>40</v>
      </c>
      <c r="C80" s="81"/>
      <c r="D80" s="81" t="s">
        <v>79</v>
      </c>
      <c r="E80" s="82">
        <f>HLOOKUP($D$5,'Syndicats comptes 2022'!$E$4:$AF$168,74,0)</f>
        <v>0</v>
      </c>
    </row>
    <row r="81" spans="2:5" x14ac:dyDescent="0.2">
      <c r="C81" s="8">
        <v>400</v>
      </c>
      <c r="D81" s="8" t="s">
        <v>137</v>
      </c>
      <c r="E81" s="13">
        <f>HLOOKUP($D$5,'Syndicats comptes 2022'!$E$4:$AF$168,75,0)</f>
        <v>0</v>
      </c>
    </row>
    <row r="82" spans="2:5" x14ac:dyDescent="0.2">
      <c r="C82" s="8">
        <v>401</v>
      </c>
      <c r="D82" s="8" t="s">
        <v>138</v>
      </c>
      <c r="E82" s="13">
        <f>HLOOKUP($D$5,'Syndicats comptes 2022'!$E$4:$AF$168,76,0)</f>
        <v>0</v>
      </c>
    </row>
    <row r="83" spans="2:5" x14ac:dyDescent="0.2">
      <c r="C83" s="8">
        <v>402</v>
      </c>
      <c r="D83" s="8" t="s">
        <v>139</v>
      </c>
      <c r="E83" s="13">
        <f>HLOOKUP($D$5,'Syndicats comptes 2022'!$E$4:$AF$168,77,0)</f>
        <v>0</v>
      </c>
    </row>
    <row r="84" spans="2:5" x14ac:dyDescent="0.2">
      <c r="C84" s="8">
        <v>403</v>
      </c>
      <c r="D84" s="8" t="s">
        <v>140</v>
      </c>
      <c r="E84" s="13">
        <f>HLOOKUP($D$5,'Syndicats comptes 2022'!$E$4:$AF$168,78,0)</f>
        <v>0</v>
      </c>
    </row>
    <row r="85" spans="2:5" x14ac:dyDescent="0.2">
      <c r="E85" s="13"/>
    </row>
    <row r="86" spans="2:5" ht="15" x14ac:dyDescent="0.25">
      <c r="B86" s="81">
        <v>41</v>
      </c>
      <c r="C86" s="81"/>
      <c r="D86" s="81" t="s">
        <v>141</v>
      </c>
      <c r="E86" s="82">
        <f>HLOOKUP($D$5,'Syndicats comptes 2022'!$E$4:$AF$168,80,0)</f>
        <v>0</v>
      </c>
    </row>
    <row r="87" spans="2:5" x14ac:dyDescent="0.2">
      <c r="C87" s="8">
        <v>410</v>
      </c>
      <c r="D87" s="8" t="s">
        <v>142</v>
      </c>
      <c r="E87" s="13">
        <f>HLOOKUP($D$5,'Syndicats comptes 2022'!$E$4:$AF$168,81,0)</f>
        <v>0</v>
      </c>
    </row>
    <row r="88" spans="2:5" x14ac:dyDescent="0.2">
      <c r="C88" s="8">
        <v>411</v>
      </c>
      <c r="D88" s="8" t="s">
        <v>143</v>
      </c>
      <c r="E88" s="13">
        <f>HLOOKUP($D$5,'Syndicats comptes 2022'!$E$4:$AF$168,82,0)</f>
        <v>0</v>
      </c>
    </row>
    <row r="89" spans="2:5" x14ac:dyDescent="0.2">
      <c r="C89" s="8">
        <v>412</v>
      </c>
      <c r="D89" s="8" t="s">
        <v>144</v>
      </c>
      <c r="E89" s="13">
        <f>HLOOKUP($D$5,'Syndicats comptes 2022'!$E$4:$AF$168,83,0)</f>
        <v>0</v>
      </c>
    </row>
    <row r="90" spans="2:5" x14ac:dyDescent="0.2">
      <c r="C90" s="8">
        <v>413</v>
      </c>
      <c r="D90" s="8" t="s">
        <v>145</v>
      </c>
      <c r="E90" s="13">
        <f>HLOOKUP($D$5,'Syndicats comptes 2022'!$E$4:$AF$168,84,0)</f>
        <v>0</v>
      </c>
    </row>
    <row r="91" spans="2:5" x14ac:dyDescent="0.2">
      <c r="E91" s="13"/>
    </row>
    <row r="92" spans="2:5" ht="15" x14ac:dyDescent="0.25">
      <c r="B92" s="81">
        <v>42</v>
      </c>
      <c r="C92" s="81"/>
      <c r="D92" s="81" t="s">
        <v>146</v>
      </c>
      <c r="E92" s="82">
        <f>HLOOKUP($D$5,'Syndicats comptes 2022'!$E$4:$AF$168,86,0)</f>
        <v>16342360.950000003</v>
      </c>
    </row>
    <row r="93" spans="2:5" x14ac:dyDescent="0.2">
      <c r="C93" s="8">
        <v>420</v>
      </c>
      <c r="D93" s="8" t="s">
        <v>147</v>
      </c>
      <c r="E93" s="13">
        <f>HLOOKUP($D$5,'Syndicats comptes 2022'!$E$4:$AF$168,87,0)</f>
        <v>0</v>
      </c>
    </row>
    <row r="94" spans="2:5" x14ac:dyDescent="0.2">
      <c r="C94" s="8">
        <v>421</v>
      </c>
      <c r="D94" s="8" t="s">
        <v>148</v>
      </c>
      <c r="E94" s="13">
        <f>HLOOKUP($D$5,'Syndicats comptes 2022'!$E$4:$AF$168,88,0)</f>
        <v>13708.1</v>
      </c>
    </row>
    <row r="95" spans="2:5" x14ac:dyDescent="0.2">
      <c r="C95" s="8">
        <v>422</v>
      </c>
      <c r="D95" s="8" t="s">
        <v>149</v>
      </c>
      <c r="E95" s="13">
        <f>HLOOKUP($D$5,'Syndicats comptes 2022'!$E$4:$AF$168,89,0)</f>
        <v>0</v>
      </c>
    </row>
    <row r="96" spans="2:5" x14ac:dyDescent="0.2">
      <c r="C96" s="8">
        <v>423</v>
      </c>
      <c r="D96" s="8" t="s">
        <v>150</v>
      </c>
      <c r="E96" s="13">
        <f>HLOOKUP($D$5,'Syndicats comptes 2022'!$E$4:$AF$168,90,0)</f>
        <v>0</v>
      </c>
    </row>
    <row r="97" spans="2:5" x14ac:dyDescent="0.2">
      <c r="C97" s="8">
        <v>424</v>
      </c>
      <c r="D97" s="8" t="s">
        <v>151</v>
      </c>
      <c r="E97" s="13">
        <f>HLOOKUP($D$5,'Syndicats comptes 2022'!$E$4:$AF$168,91,0)</f>
        <v>13713653.130000003</v>
      </c>
    </row>
    <row r="98" spans="2:5" x14ac:dyDescent="0.2">
      <c r="C98" s="8">
        <v>425</v>
      </c>
      <c r="D98" s="8" t="s">
        <v>152</v>
      </c>
      <c r="E98" s="13">
        <f>HLOOKUP($D$5,'Syndicats comptes 2022'!$E$4:$AF$168,92,0)</f>
        <v>2014819.5</v>
      </c>
    </row>
    <row r="99" spans="2:5" x14ac:dyDescent="0.2">
      <c r="C99" s="8">
        <v>426</v>
      </c>
      <c r="D99" s="8" t="s">
        <v>153</v>
      </c>
      <c r="E99" s="13">
        <f>HLOOKUP($D$5,'Syndicats comptes 2022'!$E$4:$AF$168,93,0)</f>
        <v>568430.22</v>
      </c>
    </row>
    <row r="100" spans="2:5" x14ac:dyDescent="0.2">
      <c r="C100" s="8">
        <v>427</v>
      </c>
      <c r="D100" s="8" t="s">
        <v>154</v>
      </c>
      <c r="E100" s="13">
        <f>HLOOKUP($D$5,'Syndicats comptes 2022'!$E$4:$AF$168,94,0)</f>
        <v>695</v>
      </c>
    </row>
    <row r="101" spans="2:5" x14ac:dyDescent="0.2">
      <c r="C101" s="8">
        <v>429</v>
      </c>
      <c r="D101" s="8" t="s">
        <v>155</v>
      </c>
      <c r="E101" s="13">
        <f>HLOOKUP($D$5,'Syndicats comptes 2022'!$E$4:$AF$168,95,0)</f>
        <v>31055</v>
      </c>
    </row>
    <row r="102" spans="2:5" x14ac:dyDescent="0.2">
      <c r="E102" s="13"/>
    </row>
    <row r="103" spans="2:5" ht="15" x14ac:dyDescent="0.25">
      <c r="B103" s="81">
        <v>43</v>
      </c>
      <c r="C103" s="81"/>
      <c r="D103" s="81" t="s">
        <v>156</v>
      </c>
      <c r="E103" s="82">
        <f>HLOOKUP($D$5,'Syndicats comptes 2022'!$E$4:$AF$168,97,0)</f>
        <v>159257.41</v>
      </c>
    </row>
    <row r="104" spans="2:5" x14ac:dyDescent="0.2">
      <c r="C104" s="8">
        <v>430</v>
      </c>
      <c r="D104" s="8" t="s">
        <v>157</v>
      </c>
      <c r="E104" s="13">
        <f>HLOOKUP($D$5,'Syndicats comptes 2022'!$E$4:$AF$168,98,0)</f>
        <v>69580</v>
      </c>
    </row>
    <row r="105" spans="2:5" x14ac:dyDescent="0.2">
      <c r="C105" s="8">
        <v>431</v>
      </c>
      <c r="D105" s="8" t="s">
        <v>158</v>
      </c>
      <c r="E105" s="13">
        <f>HLOOKUP($D$5,'Syndicats comptes 2022'!$E$4:$AF$168,99,0)</f>
        <v>77060.510000000009</v>
      </c>
    </row>
    <row r="106" spans="2:5" x14ac:dyDescent="0.2">
      <c r="C106" s="8">
        <v>432</v>
      </c>
      <c r="D106" s="8" t="s">
        <v>159</v>
      </c>
      <c r="E106" s="13">
        <f>HLOOKUP($D$5,'Syndicats comptes 2022'!$E$4:$AF$168,100,0)</f>
        <v>0</v>
      </c>
    </row>
    <row r="107" spans="2:5" x14ac:dyDescent="0.2">
      <c r="C107" s="8">
        <v>439</v>
      </c>
      <c r="D107" s="8" t="s">
        <v>160</v>
      </c>
      <c r="E107" s="13">
        <f>HLOOKUP($D$5,'Syndicats comptes 2022'!$E$4:$AF$168,101,0)</f>
        <v>12616.9</v>
      </c>
    </row>
    <row r="108" spans="2:5" x14ac:dyDescent="0.2">
      <c r="E108" s="13"/>
    </row>
    <row r="109" spans="2:5" ht="15" x14ac:dyDescent="0.25">
      <c r="B109" s="81">
        <v>44</v>
      </c>
      <c r="C109" s="81"/>
      <c r="D109" s="81" t="s">
        <v>161</v>
      </c>
      <c r="E109" s="82">
        <f>HLOOKUP($D$5,'Syndicats comptes 2022'!$E$4:$AF$168,103,0)</f>
        <v>901678.85000000009</v>
      </c>
    </row>
    <row r="110" spans="2:5" x14ac:dyDescent="0.2">
      <c r="C110" s="8">
        <v>440</v>
      </c>
      <c r="D110" s="8" t="s">
        <v>162</v>
      </c>
      <c r="E110" s="13">
        <f>HLOOKUP($D$5,'Syndicats comptes 2022'!$E$4:$AF$168,104,0)</f>
        <v>48377.21</v>
      </c>
    </row>
    <row r="111" spans="2:5" x14ac:dyDescent="0.2">
      <c r="C111" s="8">
        <v>441</v>
      </c>
      <c r="D111" s="8" t="s">
        <v>163</v>
      </c>
      <c r="E111" s="13">
        <f>HLOOKUP($D$5,'Syndicats comptes 2022'!$E$4:$AF$168,105,0)</f>
        <v>0</v>
      </c>
    </row>
    <row r="112" spans="2:5" x14ac:dyDescent="0.2">
      <c r="C112" s="8">
        <v>442</v>
      </c>
      <c r="D112" s="8" t="s">
        <v>164</v>
      </c>
      <c r="E112" s="13">
        <f>HLOOKUP($D$5,'Syndicats comptes 2022'!$E$4:$AF$168,106,0)</f>
        <v>0</v>
      </c>
    </row>
    <row r="113" spans="2:5" x14ac:dyDescent="0.2">
      <c r="C113" s="8">
        <v>443</v>
      </c>
      <c r="D113" s="8" t="s">
        <v>165</v>
      </c>
      <c r="E113" s="13">
        <f>HLOOKUP($D$5,'Syndicats comptes 2022'!$E$4:$AF$168,107,0)</f>
        <v>142400</v>
      </c>
    </row>
    <row r="114" spans="2:5" x14ac:dyDescent="0.2">
      <c r="C114" s="8">
        <v>444</v>
      </c>
      <c r="D114" s="8" t="s">
        <v>105</v>
      </c>
      <c r="E114" s="13">
        <f>HLOOKUP($D$5,'Syndicats comptes 2022'!$E$4:$AF$168,108,0)</f>
        <v>1219.95</v>
      </c>
    </row>
    <row r="115" spans="2:5" x14ac:dyDescent="0.2">
      <c r="C115" s="8">
        <v>445</v>
      </c>
      <c r="D115" s="8" t="s">
        <v>166</v>
      </c>
      <c r="E115" s="13">
        <f>HLOOKUP($D$5,'Syndicats comptes 2022'!$E$4:$AF$168,109,0)</f>
        <v>0</v>
      </c>
    </row>
    <row r="116" spans="2:5" x14ac:dyDescent="0.2">
      <c r="C116" s="8">
        <v>446</v>
      </c>
      <c r="D116" s="8" t="s">
        <v>167</v>
      </c>
      <c r="E116" s="13">
        <f>HLOOKUP($D$5,'Syndicats comptes 2022'!$E$4:$AF$168,110,0)</f>
        <v>0</v>
      </c>
    </row>
    <row r="117" spans="2:5" x14ac:dyDescent="0.2">
      <c r="C117" s="8">
        <v>447</v>
      </c>
      <c r="D117" s="8" t="s">
        <v>168</v>
      </c>
      <c r="E117" s="13">
        <f>HLOOKUP($D$5,'Syndicats comptes 2022'!$E$4:$AF$168,111,0)</f>
        <v>709681.69000000006</v>
      </c>
    </row>
    <row r="118" spans="2:5" x14ac:dyDescent="0.2">
      <c r="C118" s="8">
        <v>448</v>
      </c>
      <c r="D118" s="8" t="s">
        <v>169</v>
      </c>
      <c r="E118" s="13">
        <f>HLOOKUP($D$5,'Syndicats comptes 2022'!$E$4:$AF$168,112,0)</f>
        <v>0</v>
      </c>
    </row>
    <row r="119" spans="2:5" x14ac:dyDescent="0.2">
      <c r="C119" s="8">
        <v>449</v>
      </c>
      <c r="D119" s="8" t="s">
        <v>170</v>
      </c>
      <c r="E119" s="13">
        <f>HLOOKUP($D$5,'Syndicats comptes 2022'!$E$4:$AF$168,113,0)</f>
        <v>0</v>
      </c>
    </row>
    <row r="120" spans="2:5" x14ac:dyDescent="0.2">
      <c r="E120" s="13"/>
    </row>
    <row r="121" spans="2:5" ht="15" x14ac:dyDescent="0.25">
      <c r="B121" s="81">
        <v>45</v>
      </c>
      <c r="C121" s="81"/>
      <c r="D121" s="81" t="s">
        <v>173</v>
      </c>
      <c r="E121" s="82">
        <f>HLOOKUP($D$5,'Syndicats comptes 2022'!$E$4:$AF$168,115,0)</f>
        <v>1357985.4000000001</v>
      </c>
    </row>
    <row r="122" spans="2:5" x14ac:dyDescent="0.2">
      <c r="C122" s="8">
        <v>450</v>
      </c>
      <c r="D122" s="8" t="s">
        <v>171</v>
      </c>
      <c r="E122" s="13">
        <f>HLOOKUP($D$5,'Syndicats comptes 2022'!$E$4:$AF$168,116,0)</f>
        <v>0</v>
      </c>
    </row>
    <row r="123" spans="2:5" x14ac:dyDescent="0.2">
      <c r="C123" s="8">
        <v>451</v>
      </c>
      <c r="D123" s="8" t="s">
        <v>172</v>
      </c>
      <c r="E123" s="13">
        <f>HLOOKUP($D$5,'Syndicats comptes 2022'!$E$4:$AF$168,117,0)</f>
        <v>1357985.4000000001</v>
      </c>
    </row>
    <row r="124" spans="2:5" x14ac:dyDescent="0.2">
      <c r="E124" s="13"/>
    </row>
    <row r="125" spans="2:5" ht="15" x14ac:dyDescent="0.25">
      <c r="B125" s="81">
        <v>46</v>
      </c>
      <c r="C125" s="81"/>
      <c r="D125" s="81" t="s">
        <v>174</v>
      </c>
      <c r="E125" s="82">
        <f>HLOOKUP($D$5,'Syndicats comptes 2022'!$E$4:$AF$168,119,0)</f>
        <v>15067803.740000002</v>
      </c>
    </row>
    <row r="126" spans="2:5" x14ac:dyDescent="0.2">
      <c r="C126" s="8">
        <v>460</v>
      </c>
      <c r="D126" s="8" t="s">
        <v>175</v>
      </c>
      <c r="E126" s="13">
        <f>HLOOKUP($D$5,'Syndicats comptes 2022'!$E$4:$AF$168,120,0)</f>
        <v>0</v>
      </c>
    </row>
    <row r="127" spans="2:5" x14ac:dyDescent="0.2">
      <c r="C127" s="8">
        <v>461</v>
      </c>
      <c r="D127" s="8" t="s">
        <v>176</v>
      </c>
      <c r="E127" s="13">
        <f>HLOOKUP($D$5,'Syndicats comptes 2022'!$E$4:$AF$168,121,0)</f>
        <v>14364318.150000002</v>
      </c>
    </row>
    <row r="128" spans="2:5" x14ac:dyDescent="0.2">
      <c r="C128" s="8">
        <v>462</v>
      </c>
      <c r="D128" s="8" t="s">
        <v>112</v>
      </c>
      <c r="E128" s="13">
        <f>HLOOKUP($D$5,'Syndicats comptes 2022'!$E$4:$AF$168,122,0)</f>
        <v>0</v>
      </c>
    </row>
    <row r="129" spans="2:5" x14ac:dyDescent="0.2">
      <c r="C129" s="8">
        <v>463</v>
      </c>
      <c r="D129" s="8" t="s">
        <v>177</v>
      </c>
      <c r="E129" s="13">
        <f>HLOOKUP($D$5,'Syndicats comptes 2022'!$E$4:$AF$168,123,0)</f>
        <v>692161.64</v>
      </c>
    </row>
    <row r="130" spans="2:5" x14ac:dyDescent="0.2">
      <c r="C130" s="8">
        <v>469</v>
      </c>
      <c r="D130" s="8" t="s">
        <v>178</v>
      </c>
      <c r="E130" s="13">
        <f>HLOOKUP($D$5,'Syndicats comptes 2022'!$E$4:$AF$168,124,0)</f>
        <v>11323.95</v>
      </c>
    </row>
    <row r="131" spans="2:5" x14ac:dyDescent="0.2">
      <c r="E131" s="13"/>
    </row>
    <row r="132" spans="2:5" ht="15" x14ac:dyDescent="0.25">
      <c r="B132" s="81">
        <v>47</v>
      </c>
      <c r="C132" s="81"/>
      <c r="D132" s="81" t="s">
        <v>118</v>
      </c>
      <c r="E132" s="82">
        <f>HLOOKUP($D$5,'Syndicats comptes 2022'!$E$4:$AF$168,126,0)</f>
        <v>0</v>
      </c>
    </row>
    <row r="133" spans="2:5" x14ac:dyDescent="0.2">
      <c r="C133" s="8">
        <v>470</v>
      </c>
      <c r="D133" s="8" t="s">
        <v>179</v>
      </c>
      <c r="E133" s="13">
        <f>HLOOKUP($D$5,'Syndicats comptes 2022'!$E$4:$AF$168,127,0)</f>
        <v>0</v>
      </c>
    </row>
    <row r="134" spans="2:5" x14ac:dyDescent="0.2">
      <c r="E134" s="13"/>
    </row>
    <row r="135" spans="2:5" ht="15" x14ac:dyDescent="0.25">
      <c r="B135" s="81">
        <v>48</v>
      </c>
      <c r="C135" s="81"/>
      <c r="D135" s="81" t="s">
        <v>180</v>
      </c>
      <c r="E135" s="82">
        <f>HLOOKUP($D$5,'Syndicats comptes 2022'!$E$4:$AF$168,129,0)</f>
        <v>2071863.34</v>
      </c>
    </row>
    <row r="136" spans="2:5" x14ac:dyDescent="0.2">
      <c r="C136" s="8">
        <v>481</v>
      </c>
      <c r="D136" s="8" t="s">
        <v>181</v>
      </c>
      <c r="E136" s="13">
        <f>HLOOKUP($D$5,'Syndicats comptes 2022'!$E$4:$AF$168,130,0)</f>
        <v>0</v>
      </c>
    </row>
    <row r="137" spans="2:5" x14ac:dyDescent="0.2">
      <c r="C137" s="8">
        <v>482</v>
      </c>
      <c r="D137" s="8" t="s">
        <v>182</v>
      </c>
      <c r="E137" s="13">
        <f>HLOOKUP($D$5,'Syndicats comptes 2022'!$E$4:$AF$168,131,0)</f>
        <v>0</v>
      </c>
    </row>
    <row r="138" spans="2:5" x14ac:dyDescent="0.2">
      <c r="C138" s="8">
        <v>483</v>
      </c>
      <c r="D138" s="8" t="s">
        <v>183</v>
      </c>
      <c r="E138" s="13">
        <f>HLOOKUP($D$5,'Syndicats comptes 2022'!$E$4:$AF$168,132,0)</f>
        <v>0</v>
      </c>
    </row>
    <row r="139" spans="2:5" x14ac:dyDescent="0.2">
      <c r="C139" s="8">
        <v>484</v>
      </c>
      <c r="D139" s="8" t="s">
        <v>184</v>
      </c>
      <c r="E139" s="13">
        <f>HLOOKUP($D$5,'Syndicats comptes 2022'!$E$4:$AF$168,133,0)</f>
        <v>0</v>
      </c>
    </row>
    <row r="140" spans="2:5" x14ac:dyDescent="0.2">
      <c r="C140" s="8">
        <v>485</v>
      </c>
      <c r="D140" s="8" t="s">
        <v>185</v>
      </c>
      <c r="E140" s="13">
        <f>HLOOKUP($D$5,'Syndicats comptes 2022'!$E$4:$AF$168,134,0)</f>
        <v>0</v>
      </c>
    </row>
    <row r="141" spans="2:5" x14ac:dyDescent="0.2">
      <c r="C141" s="8">
        <v>486</v>
      </c>
      <c r="D141" s="8" t="s">
        <v>186</v>
      </c>
      <c r="E141" s="13">
        <f>HLOOKUP($D$5,'Syndicats comptes 2022'!$E$4:$AF$168,135,0)</f>
        <v>0</v>
      </c>
    </row>
    <row r="142" spans="2:5" x14ac:dyDescent="0.2">
      <c r="C142" s="8">
        <v>489</v>
      </c>
      <c r="D142" s="8" t="s">
        <v>187</v>
      </c>
      <c r="E142" s="13">
        <f>HLOOKUP($D$5,'Syndicats comptes 2022'!$E$4:$AF$168,136,0)</f>
        <v>2071863.34</v>
      </c>
    </row>
    <row r="143" spans="2:5" x14ac:dyDescent="0.2">
      <c r="E143" s="13"/>
    </row>
    <row r="144" spans="2:5" ht="15" x14ac:dyDescent="0.25">
      <c r="B144" s="81">
        <v>49</v>
      </c>
      <c r="C144" s="81"/>
      <c r="D144" s="81" t="s">
        <v>127</v>
      </c>
      <c r="E144" s="82">
        <f>HLOOKUP($D$5,'Syndicats comptes 2022'!$E$4:$AF$168,138,0)</f>
        <v>199087.79</v>
      </c>
    </row>
    <row r="145" spans="1:5" x14ac:dyDescent="0.2">
      <c r="C145" s="8">
        <v>490</v>
      </c>
      <c r="D145" s="8" t="s">
        <v>128</v>
      </c>
      <c r="E145" s="13">
        <f>HLOOKUP($D$5,'Syndicats comptes 2022'!$E$4:$AF$168,139,0)</f>
        <v>0</v>
      </c>
    </row>
    <row r="146" spans="1:5" x14ac:dyDescent="0.2">
      <c r="C146" s="8">
        <v>491</v>
      </c>
      <c r="D146" s="8" t="s">
        <v>129</v>
      </c>
      <c r="E146" s="13">
        <f>HLOOKUP($D$5,'Syndicats comptes 2022'!$E$4:$AF$168,140,0)</f>
        <v>350</v>
      </c>
    </row>
    <row r="147" spans="1:5" x14ac:dyDescent="0.2">
      <c r="C147" s="8">
        <v>492</v>
      </c>
      <c r="D147" s="8" t="s">
        <v>188</v>
      </c>
      <c r="E147" s="13">
        <f>HLOOKUP($D$5,'Syndicats comptes 2022'!$E$4:$AF$168,141,0)</f>
        <v>0</v>
      </c>
    </row>
    <row r="148" spans="1:5" x14ac:dyDescent="0.2">
      <c r="C148" s="8">
        <v>493</v>
      </c>
      <c r="D148" s="8" t="s">
        <v>189</v>
      </c>
      <c r="E148" s="13">
        <f>HLOOKUP($D$5,'Syndicats comptes 2022'!$E$4:$AF$168,142,0)</f>
        <v>0</v>
      </c>
    </row>
    <row r="149" spans="1:5" x14ac:dyDescent="0.2">
      <c r="C149" s="8">
        <v>494</v>
      </c>
      <c r="D149" s="8" t="s">
        <v>132</v>
      </c>
      <c r="E149" s="13">
        <f>HLOOKUP($D$5,'Syndicats comptes 2022'!$E$4:$AF$168,143,0)</f>
        <v>15392.1</v>
      </c>
    </row>
    <row r="150" spans="1:5" x14ac:dyDescent="0.2">
      <c r="C150" s="8">
        <v>495</v>
      </c>
      <c r="D150" s="8" t="s">
        <v>190</v>
      </c>
      <c r="E150" s="13">
        <f>HLOOKUP($D$5,'Syndicats comptes 2022'!$E$4:$AF$168,144,0)</f>
        <v>0</v>
      </c>
    </row>
    <row r="151" spans="1:5" x14ac:dyDescent="0.2">
      <c r="C151" s="8">
        <v>498</v>
      </c>
      <c r="D151" s="8" t="s">
        <v>191</v>
      </c>
      <c r="E151" s="13">
        <f>HLOOKUP($D$5,'Syndicats comptes 2022'!$E$4:$AF$168,145,0)</f>
        <v>183345.69</v>
      </c>
    </row>
    <row r="152" spans="1:5" x14ac:dyDescent="0.2">
      <c r="C152" s="8">
        <v>499</v>
      </c>
      <c r="D152" s="8" t="s">
        <v>135</v>
      </c>
      <c r="E152" s="13">
        <f>HLOOKUP($D$5,'Syndicats comptes 2022'!$E$4:$AF$168,146,0)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2022'!$E$4:$AF$168,151,0)</f>
        <v>615901.75</v>
      </c>
    </row>
    <row r="158" spans="1:5" x14ac:dyDescent="0.2">
      <c r="C158" s="8">
        <v>900</v>
      </c>
      <c r="D158" s="8" t="s">
        <v>195</v>
      </c>
      <c r="E158" s="13">
        <f>HLOOKUP($D$5,'Syndicats comptes 2022'!$E$4:$AF$168,152,0)</f>
        <v>648651.24</v>
      </c>
    </row>
    <row r="159" spans="1:5" x14ac:dyDescent="0.2">
      <c r="C159" s="8">
        <v>901</v>
      </c>
      <c r="D159" s="8" t="s">
        <v>196</v>
      </c>
      <c r="E159" s="13">
        <f>HLOOKUP($D$5,'Syndicats comptes 2022'!$E$4:$AF$168,153,0)</f>
        <v>-32749.489999999998</v>
      </c>
    </row>
    <row r="160" spans="1:5" x14ac:dyDescent="0.2">
      <c r="E160" s="13"/>
    </row>
    <row r="161" spans="4:5" ht="15" x14ac:dyDescent="0.25">
      <c r="D161" s="7" t="s">
        <v>197</v>
      </c>
      <c r="E161" s="13">
        <f>HLOOKUP($D$5,'Syndicats comptes 2022'!$E$4:$AF$168,155,0)</f>
        <v>615901.75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D5</xm:sqref>
        </x14:dataValidation>
      </x14:dataValidation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2022'!AF154</f>
        <v>615901.75</v>
      </c>
    </row>
    <row r="8" spans="1:3" x14ac:dyDescent="0.2">
      <c r="A8" s="101">
        <v>900</v>
      </c>
      <c r="B8" s="102" t="s">
        <v>218</v>
      </c>
      <c r="C8" s="103">
        <f>'Syndicats comptes 2022'!AF155</f>
        <v>648651.24</v>
      </c>
    </row>
    <row r="9" spans="1:3" x14ac:dyDescent="0.2">
      <c r="A9" s="101">
        <v>901</v>
      </c>
      <c r="B9" s="102" t="s">
        <v>219</v>
      </c>
      <c r="C9" s="103">
        <f>'Syndicats comptes 2022'!AF156</f>
        <v>-32749.489999999998</v>
      </c>
    </row>
  </sheetData>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tabSelected="1" workbookViewId="0">
      <selection activeCell="B15" sqref="B15"/>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208" t="s">
        <v>813</v>
      </c>
    </row>
    <row r="6" spans="1:3" ht="15.75" thickBot="1" x14ac:dyDescent="0.3">
      <c r="B6" s="96" t="s">
        <v>65</v>
      </c>
    </row>
    <row r="9" spans="1:3" ht="15" x14ac:dyDescent="0.25">
      <c r="A9" s="100" t="s">
        <v>215</v>
      </c>
      <c r="B9" s="100" t="s">
        <v>200</v>
      </c>
      <c r="C9" s="100" t="s">
        <v>852</v>
      </c>
    </row>
    <row r="10" spans="1:3" x14ac:dyDescent="0.2">
      <c r="A10" s="101">
        <v>90</v>
      </c>
      <c r="B10" s="102" t="s">
        <v>217</v>
      </c>
      <c r="C10" s="103">
        <f>HLOOKUP($B$6,'Syndicats comptes 2022'!$E$4:$AF$169,151,0)</f>
        <v>615901.75</v>
      </c>
    </row>
    <row r="11" spans="1:3" x14ac:dyDescent="0.2">
      <c r="A11" s="101">
        <v>900</v>
      </c>
      <c r="B11" s="102" t="s">
        <v>218</v>
      </c>
      <c r="C11" s="103">
        <f>HLOOKUP($B$6,'Syndicats comptes 2022'!$E$4:$AF$169,152,0)</f>
        <v>648651.24</v>
      </c>
    </row>
    <row r="12" spans="1:3" x14ac:dyDescent="0.2">
      <c r="A12" s="101">
        <v>901</v>
      </c>
      <c r="B12" s="102" t="s">
        <v>219</v>
      </c>
      <c r="C12" s="103">
        <f>HLOOKUP($B$6,'Syndicats comptes 2022'!$E$4:$AF$169,153,0)</f>
        <v>-32749.489999999998</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A7" sqref="A7"/>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2022'!AF6+'Syndicats comptes 2022'!AF16+'Syndicats comptes 2022'!AF28+'Syndicats comptes 2022'!AF40+'Syndicats comptes 2022'!AF44+'Syndicats comptes 2022'!AF54</f>
        <v>32266496.549999997</v>
      </c>
    </row>
    <row r="10" spans="1:3" x14ac:dyDescent="0.2">
      <c r="A10" s="101" t="s">
        <v>209</v>
      </c>
      <c r="B10" s="102" t="s">
        <v>203</v>
      </c>
      <c r="C10" s="103">
        <f>'Syndicats comptes 2022'!AF77+'Syndicats comptes 2022'!AF83+'Syndicats comptes 2022'!AF89+'Syndicats comptes 2022'!AF100+'Syndicats comptes 2022'!AF118+'Syndicats comptes 2022'!AF122+'Syndicats comptes 2022'!AF129</f>
        <v>32927407.500000004</v>
      </c>
    </row>
    <row r="11" spans="1:3" ht="15" x14ac:dyDescent="0.25">
      <c r="A11" s="102"/>
      <c r="B11" s="104" t="s">
        <v>204</v>
      </c>
      <c r="C11" s="105">
        <f>C10-C9</f>
        <v>660910.95000000671</v>
      </c>
    </row>
    <row r="12" spans="1:3" x14ac:dyDescent="0.2">
      <c r="A12" s="102"/>
      <c r="B12" s="102"/>
      <c r="C12" s="102"/>
    </row>
    <row r="13" spans="1:3" x14ac:dyDescent="0.2">
      <c r="A13" s="102">
        <v>34</v>
      </c>
      <c r="B13" s="102" t="s">
        <v>100</v>
      </c>
      <c r="C13" s="103">
        <f>'Syndicats comptes 2022'!AF32</f>
        <v>687799.49</v>
      </c>
    </row>
    <row r="14" spans="1:3" x14ac:dyDescent="0.2">
      <c r="A14" s="102">
        <v>44</v>
      </c>
      <c r="B14" s="102" t="s">
        <v>161</v>
      </c>
      <c r="C14" s="103">
        <f>'Syndicats comptes 2022'!AF106</f>
        <v>901678.85000000009</v>
      </c>
    </row>
    <row r="15" spans="1:3" ht="15" x14ac:dyDescent="0.25">
      <c r="A15" s="102"/>
      <c r="B15" s="104" t="s">
        <v>237</v>
      </c>
      <c r="C15" s="105">
        <f>C14-C13</f>
        <v>213879.3600000001</v>
      </c>
    </row>
    <row r="16" spans="1:3" x14ac:dyDescent="0.2">
      <c r="A16" s="102"/>
      <c r="B16" s="102"/>
      <c r="C16" s="102"/>
    </row>
    <row r="17" spans="1:3" ht="15" x14ac:dyDescent="0.25">
      <c r="A17" s="102"/>
      <c r="B17" s="104" t="s">
        <v>205</v>
      </c>
      <c r="C17" s="105">
        <f>C11+C15</f>
        <v>874790.31000000681</v>
      </c>
    </row>
    <row r="18" spans="1:3" x14ac:dyDescent="0.2">
      <c r="A18" s="102"/>
      <c r="B18" s="102"/>
      <c r="C18" s="102"/>
    </row>
    <row r="19" spans="1:3" x14ac:dyDescent="0.2">
      <c r="A19" s="102">
        <v>38</v>
      </c>
      <c r="B19" s="102" t="s">
        <v>120</v>
      </c>
      <c r="C19" s="103">
        <f>'Syndicats comptes 2022'!AF57</f>
        <v>2277000</v>
      </c>
    </row>
    <row r="20" spans="1:3" x14ac:dyDescent="0.2">
      <c r="A20" s="102">
        <v>48</v>
      </c>
      <c r="B20" s="102" t="s">
        <v>180</v>
      </c>
      <c r="C20" s="103">
        <f>'Syndicats comptes 2022'!AF132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669653.65000000689</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A7" sqref="A7"/>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790</v>
      </c>
    </row>
    <row r="8" spans="1:3" ht="15" x14ac:dyDescent="0.25">
      <c r="A8" s="100" t="s">
        <v>199</v>
      </c>
      <c r="B8" s="100" t="s">
        <v>200</v>
      </c>
      <c r="C8" s="100" t="s">
        <v>201</v>
      </c>
    </row>
    <row r="9" spans="1:3" x14ac:dyDescent="0.2">
      <c r="A9" s="101" t="s">
        <v>208</v>
      </c>
      <c r="B9" s="102" t="s">
        <v>202</v>
      </c>
      <c r="C9" s="103">
        <f>HLOOKUP($B$6,'Syndicats comptes 2022'!$E$4:$AF$168,164,0)</f>
        <v>108366.75</v>
      </c>
    </row>
    <row r="10" spans="1:3" x14ac:dyDescent="0.2">
      <c r="A10" s="101" t="s">
        <v>209</v>
      </c>
      <c r="B10" s="102" t="s">
        <v>203</v>
      </c>
      <c r="C10" s="103">
        <f>HLOOKUP($B$6,'Syndicats comptes 2022'!$E$4:$AF$168,165,0)</f>
        <v>108366.75</v>
      </c>
    </row>
    <row r="11" spans="1:3" ht="15" x14ac:dyDescent="0.25">
      <c r="A11" s="102"/>
      <c r="B11" s="104" t="s">
        <v>204</v>
      </c>
      <c r="C11" s="105">
        <f>C10-C9</f>
        <v>0</v>
      </c>
    </row>
    <row r="12" spans="1:3" x14ac:dyDescent="0.2">
      <c r="A12" s="102"/>
      <c r="B12" s="102"/>
      <c r="C12" s="102"/>
    </row>
    <row r="13" spans="1:3" x14ac:dyDescent="0.2">
      <c r="A13" s="102">
        <v>34</v>
      </c>
      <c r="B13" s="102" t="s">
        <v>100</v>
      </c>
      <c r="C13" s="103">
        <f>HLOOKUP($B$6,'Syndicats comptes 2022'!$E$4:$AF$168,29,0)</f>
        <v>0</v>
      </c>
    </row>
    <row r="14" spans="1:3" x14ac:dyDescent="0.2">
      <c r="A14" s="102">
        <v>44</v>
      </c>
      <c r="B14" s="102" t="s">
        <v>161</v>
      </c>
      <c r="C14" s="103">
        <f>HLOOKUP($B$6,'Syndicats comptes 2022'!$E$4:$AF$168,103,0)</f>
        <v>0</v>
      </c>
    </row>
    <row r="15" spans="1:3" ht="15" x14ac:dyDescent="0.25">
      <c r="A15" s="102"/>
      <c r="B15" s="104" t="s">
        <v>237</v>
      </c>
      <c r="C15" s="105">
        <f>C14-C13</f>
        <v>0</v>
      </c>
    </row>
    <row r="16" spans="1:3" x14ac:dyDescent="0.2">
      <c r="A16" s="102"/>
      <c r="B16" s="102"/>
      <c r="C16" s="102"/>
    </row>
    <row r="17" spans="1:3" ht="15" x14ac:dyDescent="0.25">
      <c r="A17" s="102"/>
      <c r="B17" s="104" t="s">
        <v>205</v>
      </c>
      <c r="C17" s="105">
        <f>C11+C15</f>
        <v>0</v>
      </c>
    </row>
    <row r="18" spans="1:3" x14ac:dyDescent="0.2">
      <c r="A18" s="102"/>
      <c r="B18" s="102"/>
      <c r="C18" s="102"/>
    </row>
    <row r="19" spans="1:3" x14ac:dyDescent="0.2">
      <c r="A19" s="102">
        <v>38</v>
      </c>
      <c r="B19" s="102" t="s">
        <v>120</v>
      </c>
      <c r="C19" s="103">
        <f>HLOOKUP($B$6,'Syndicats comptes 2022'!$E$4:$AF$168,54,0)</f>
        <v>0</v>
      </c>
    </row>
    <row r="20" spans="1:3" x14ac:dyDescent="0.2">
      <c r="A20" s="102">
        <v>48</v>
      </c>
      <c r="B20" s="102" t="s">
        <v>180</v>
      </c>
      <c r="C20" s="103">
        <f>HLOOKUP($B$6,'Syndicats comptes 2022'!$E$4:$AF$168,129,0)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2022'!$E$4:$AF$4</xm:f>
          </x14:formula1>
          <xm:sqref>B6</xm:sqref>
        </x14:dataValidation>
      </x14:dataValidations>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J200" activePane="bottomRight" state="frozen"/>
      <selection activeCell="A7" sqref="A7"/>
      <selection pane="topRight" activeCell="A7" sqref="A7"/>
      <selection pane="bottomLeft" activeCell="A7" sqref="A7"/>
      <selection pane="bottomRight" activeCell="A7" sqref="A7"/>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v>14</v>
      </c>
      <c r="T3" s="9">
        <v>15</v>
      </c>
      <c r="U3" s="9">
        <v>16</v>
      </c>
      <c r="V3" s="9">
        <v>17</v>
      </c>
      <c r="W3" s="9">
        <v>18</v>
      </c>
      <c r="X3" s="9">
        <v>19</v>
      </c>
      <c r="Y3" s="9">
        <v>20</v>
      </c>
      <c r="Z3" s="9">
        <v>21</v>
      </c>
      <c r="AA3" s="9">
        <v>22</v>
      </c>
      <c r="AB3" s="9">
        <v>23</v>
      </c>
      <c r="AC3" s="9">
        <v>24</v>
      </c>
      <c r="AD3" s="9">
        <v>25</v>
      </c>
      <c r="AE3" s="9">
        <v>26</v>
      </c>
      <c r="AF3" s="9">
        <v>27</v>
      </c>
      <c r="AG3" s="9"/>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915499.3</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3236632.1</v>
      </c>
      <c r="W5" s="119">
        <f t="shared" si="0"/>
        <v>1370270.22</v>
      </c>
      <c r="X5" s="119">
        <f t="shared" si="0"/>
        <v>28641.399999999998</v>
      </c>
      <c r="Y5" s="119">
        <f t="shared" si="0"/>
        <v>3631934.16</v>
      </c>
      <c r="Z5" s="119">
        <f t="shared" si="0"/>
        <v>24833608.269999996</v>
      </c>
      <c r="AA5" s="119">
        <f t="shared" si="0"/>
        <v>2230784.61</v>
      </c>
      <c r="AB5" s="119">
        <f t="shared" si="0"/>
        <v>6061166.0599999996</v>
      </c>
      <c r="AC5" s="119">
        <f t="shared" si="0"/>
        <v>349120.01</v>
      </c>
      <c r="AD5" s="119">
        <f t="shared" si="0"/>
        <v>154800.25</v>
      </c>
      <c r="AE5" s="119">
        <f t="shared" si="0"/>
        <v>8438276.0800000001</v>
      </c>
      <c r="AF5" s="119">
        <f t="shared" si="0"/>
        <v>817996.3</v>
      </c>
      <c r="AG5" s="119">
        <f t="shared" ref="AG5:AG13" si="1">SUM(F5:AF5)</f>
        <v>161081988.28999999</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125850.07</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3236632.1</v>
      </c>
      <c r="W6" s="121">
        <f t="shared" si="2"/>
        <v>15235.58</v>
      </c>
      <c r="X6" s="121">
        <f t="shared" si="2"/>
        <v>28641.399999999998</v>
      </c>
      <c r="Y6" s="121">
        <f t="shared" si="2"/>
        <v>3061072.16</v>
      </c>
      <c r="Z6" s="121">
        <f t="shared" si="2"/>
        <v>2691321.33</v>
      </c>
      <c r="AA6" s="121">
        <f t="shared" si="2"/>
        <v>449280.11</v>
      </c>
      <c r="AB6" s="121">
        <f t="shared" si="2"/>
        <v>3378690.4199999995</v>
      </c>
      <c r="AC6" s="121">
        <f t="shared" si="2"/>
        <v>349120.01</v>
      </c>
      <c r="AD6" s="121">
        <f t="shared" si="2"/>
        <v>154800.25</v>
      </c>
      <c r="AE6" s="121">
        <f t="shared" si="2"/>
        <v>643247.32999999996</v>
      </c>
      <c r="AF6" s="121">
        <f t="shared" si="2"/>
        <v>813679.3</v>
      </c>
      <c r="AG6" s="121">
        <f t="shared" si="1"/>
        <v>40502191.099999994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17483.32</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474758.55</v>
      </c>
      <c r="W7" s="111">
        <f t="shared" si="3"/>
        <v>0</v>
      </c>
      <c r="X7" s="111">
        <f t="shared" si="3"/>
        <v>26640.949999999997</v>
      </c>
      <c r="Y7" s="111">
        <f t="shared" si="3"/>
        <v>2205378.38</v>
      </c>
      <c r="Z7" s="111">
        <f t="shared" si="3"/>
        <v>1629095.26</v>
      </c>
      <c r="AA7" s="111">
        <f t="shared" si="3"/>
        <v>304397.27</v>
      </c>
      <c r="AB7" s="111">
        <f t="shared" si="3"/>
        <v>3283899.32</v>
      </c>
      <c r="AC7" s="111">
        <f t="shared" si="3"/>
        <v>348278.56</v>
      </c>
      <c r="AD7" s="111">
        <f t="shared" si="3"/>
        <v>123165.22</v>
      </c>
      <c r="AE7" s="111">
        <f t="shared" si="3"/>
        <v>314393.27999999997</v>
      </c>
      <c r="AF7" s="111">
        <f t="shared" si="3"/>
        <v>563663.05000000005</v>
      </c>
      <c r="AG7" s="111">
        <f t="shared" si="1"/>
        <v>22966020.910000004</v>
      </c>
      <c r="AH7" s="8">
        <v>4</v>
      </c>
    </row>
    <row r="8" spans="1:34" ht="15" x14ac:dyDescent="0.25">
      <c r="D8" s="8">
        <v>1000</v>
      </c>
      <c r="E8" s="8" t="s">
        <v>310</v>
      </c>
      <c r="F8" s="13">
        <v>0</v>
      </c>
      <c r="G8" s="13">
        <v>50.95</v>
      </c>
      <c r="H8" s="13">
        <v>0</v>
      </c>
      <c r="I8" s="13">
        <v>1967.7</v>
      </c>
      <c r="J8" s="13">
        <v>0</v>
      </c>
      <c r="K8" s="13">
        <v>1022.5</v>
      </c>
      <c r="L8" s="13">
        <v>634.79999999999995</v>
      </c>
      <c r="M8" s="13">
        <v>0</v>
      </c>
      <c r="N8" s="13">
        <v>723.95</v>
      </c>
      <c r="O8" s="13">
        <v>0</v>
      </c>
      <c r="P8" s="13">
        <v>13.9</v>
      </c>
      <c r="Q8" s="13">
        <v>20</v>
      </c>
      <c r="R8" s="13">
        <v>0</v>
      </c>
      <c r="S8" s="13">
        <v>7.95</v>
      </c>
      <c r="T8" s="13"/>
      <c r="U8" s="13"/>
      <c r="V8" s="13">
        <v>869.35</v>
      </c>
      <c r="W8" s="13">
        <v>0</v>
      </c>
      <c r="X8" s="13">
        <v>8.1</v>
      </c>
      <c r="Y8" s="13">
        <v>0</v>
      </c>
      <c r="Z8" s="13">
        <v>6362.61</v>
      </c>
      <c r="AA8" s="13">
        <v>583.20000000000005</v>
      </c>
      <c r="AB8" s="13">
        <v>0</v>
      </c>
      <c r="AC8" s="13">
        <v>166.2</v>
      </c>
      <c r="AD8" s="13">
        <v>96.15</v>
      </c>
      <c r="AE8" s="13">
        <v>1080.7</v>
      </c>
      <c r="AF8" s="13">
        <v>105</v>
      </c>
      <c r="AG8" s="99">
        <f t="shared" si="1"/>
        <v>13713.060000000001</v>
      </c>
      <c r="AH8" s="8">
        <v>5</v>
      </c>
    </row>
    <row r="9" spans="1:34" ht="15" x14ac:dyDescent="0.25">
      <c r="D9" s="8">
        <v>1001</v>
      </c>
      <c r="E9" s="8" t="s">
        <v>311</v>
      </c>
      <c r="F9" s="13">
        <v>0</v>
      </c>
      <c r="G9" s="13">
        <v>0</v>
      </c>
      <c r="H9" s="13">
        <v>0</v>
      </c>
      <c r="I9" s="13">
        <v>245431.26</v>
      </c>
      <c r="J9" s="13">
        <v>0</v>
      </c>
      <c r="K9" s="13">
        <v>400</v>
      </c>
      <c r="L9" s="13">
        <v>8011.02</v>
      </c>
      <c r="M9" s="13">
        <v>0</v>
      </c>
      <c r="N9" s="13">
        <v>0</v>
      </c>
      <c r="O9" s="13">
        <v>0</v>
      </c>
      <c r="P9" s="13">
        <v>583751.01</v>
      </c>
      <c r="Q9" s="13">
        <v>21472.55</v>
      </c>
      <c r="R9" s="13">
        <v>0</v>
      </c>
      <c r="S9" s="13">
        <v>33238.42</v>
      </c>
      <c r="T9" s="13"/>
      <c r="U9" s="13"/>
      <c r="V9" s="13">
        <v>0</v>
      </c>
      <c r="W9" s="13">
        <v>0</v>
      </c>
      <c r="X9" s="13">
        <v>0</v>
      </c>
      <c r="Y9" s="13">
        <v>5028.21</v>
      </c>
      <c r="Z9" s="13">
        <v>43640</v>
      </c>
      <c r="AA9" s="13">
        <v>0</v>
      </c>
      <c r="AB9" s="13">
        <v>0</v>
      </c>
      <c r="AC9" s="13">
        <v>0</v>
      </c>
      <c r="AD9" s="13">
        <v>0</v>
      </c>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v>17483.32</v>
      </c>
      <c r="K10" s="13">
        <v>195609.29</v>
      </c>
      <c r="L10" s="13">
        <v>74388.75</v>
      </c>
      <c r="M10" s="13">
        <v>1385841.96</v>
      </c>
      <c r="N10" s="13">
        <v>41473.360000000001</v>
      </c>
      <c r="O10" s="13">
        <v>69070.23</v>
      </c>
      <c r="P10" s="13">
        <v>2636037.58</v>
      </c>
      <c r="Q10" s="13">
        <v>-1163.47</v>
      </c>
      <c r="R10" s="13">
        <v>1716.24</v>
      </c>
      <c r="S10" s="13">
        <v>6810.75</v>
      </c>
      <c r="T10" s="13"/>
      <c r="U10" s="13"/>
      <c r="V10" s="13">
        <v>473889.2</v>
      </c>
      <c r="W10" s="13">
        <v>0</v>
      </c>
      <c r="X10" s="13">
        <v>26632.85</v>
      </c>
      <c r="Y10" s="13">
        <v>2200350.17</v>
      </c>
      <c r="Z10" s="13">
        <v>1579092.65</v>
      </c>
      <c r="AA10" s="13">
        <v>303814.07</v>
      </c>
      <c r="AB10" s="13">
        <v>3283899.32</v>
      </c>
      <c r="AC10" s="13">
        <v>348112.36</v>
      </c>
      <c r="AD10" s="13">
        <v>123069.07</v>
      </c>
      <c r="AE10" s="13">
        <v>158609.92000000001</v>
      </c>
      <c r="AF10" s="13">
        <v>563558.05000000005</v>
      </c>
      <c r="AG10" s="99">
        <f t="shared" si="1"/>
        <v>21856632.720000003</v>
      </c>
      <c r="AH10" s="8">
        <v>7</v>
      </c>
    </row>
    <row r="11" spans="1:34" ht="15" x14ac:dyDescent="0.25">
      <c r="D11" s="8">
        <v>1003</v>
      </c>
      <c r="E11" s="8" t="s">
        <v>312</v>
      </c>
      <c r="F11" s="13">
        <v>0</v>
      </c>
      <c r="G11" s="13">
        <v>0</v>
      </c>
      <c r="H11" s="13">
        <v>0</v>
      </c>
      <c r="I11" s="13">
        <v>0</v>
      </c>
      <c r="J11" s="13">
        <v>0</v>
      </c>
      <c r="K11" s="13">
        <v>0</v>
      </c>
      <c r="L11" s="13">
        <v>0</v>
      </c>
      <c r="M11" s="13">
        <v>0</v>
      </c>
      <c r="N11" s="13">
        <v>0</v>
      </c>
      <c r="O11" s="13">
        <v>0</v>
      </c>
      <c r="P11" s="13">
        <v>0</v>
      </c>
      <c r="Q11" s="13">
        <v>0</v>
      </c>
      <c r="R11" s="13">
        <v>0</v>
      </c>
      <c r="S11" s="13">
        <v>0</v>
      </c>
      <c r="T11" s="13"/>
      <c r="U11" s="13"/>
      <c r="V11" s="13">
        <v>0</v>
      </c>
      <c r="W11" s="13">
        <v>0</v>
      </c>
      <c r="X11" s="13">
        <v>0</v>
      </c>
      <c r="Y11" s="13">
        <v>0</v>
      </c>
      <c r="Z11" s="13">
        <v>0</v>
      </c>
      <c r="AA11" s="13">
        <v>0</v>
      </c>
      <c r="AB11" s="13">
        <v>0</v>
      </c>
      <c r="AC11" s="13">
        <v>0</v>
      </c>
      <c r="AD11" s="13">
        <v>0</v>
      </c>
      <c r="AE11" s="13">
        <v>24509.55</v>
      </c>
      <c r="AF11" s="13">
        <v>0</v>
      </c>
      <c r="AG11" s="99">
        <f t="shared" si="1"/>
        <v>24509.55</v>
      </c>
      <c r="AH11" s="8">
        <v>8</v>
      </c>
    </row>
    <row r="12" spans="1:34"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c r="U12" s="13"/>
      <c r="V12" s="13">
        <v>0</v>
      </c>
      <c r="W12" s="13">
        <v>0</v>
      </c>
      <c r="X12" s="13">
        <v>0</v>
      </c>
      <c r="Y12" s="13">
        <v>0</v>
      </c>
      <c r="Z12" s="13">
        <v>0</v>
      </c>
      <c r="AA12" s="13">
        <v>0</v>
      </c>
      <c r="AB12" s="13">
        <v>0</v>
      </c>
      <c r="AC12" s="13">
        <v>0</v>
      </c>
      <c r="AD12" s="13">
        <v>0</v>
      </c>
      <c r="AE12" s="13">
        <v>0</v>
      </c>
      <c r="AF12" s="13">
        <v>0</v>
      </c>
      <c r="AG12" s="99">
        <f t="shared" si="1"/>
        <v>0</v>
      </c>
      <c r="AH12" s="8">
        <v>9</v>
      </c>
    </row>
    <row r="13" spans="1:34"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c r="U13" s="13"/>
      <c r="V13" s="13">
        <v>0</v>
      </c>
      <c r="W13" s="13">
        <v>0</v>
      </c>
      <c r="X13" s="13">
        <v>0</v>
      </c>
      <c r="Y13" s="13">
        <v>0</v>
      </c>
      <c r="Z13" s="13">
        <v>0</v>
      </c>
      <c r="AA13" s="13">
        <v>0</v>
      </c>
      <c r="AB13" s="13">
        <v>0</v>
      </c>
      <c r="AC13" s="13">
        <v>0</v>
      </c>
      <c r="AD13" s="13">
        <v>0</v>
      </c>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108366.75</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10175.75</v>
      </c>
      <c r="W15" s="111">
        <f t="shared" si="4"/>
        <v>15235.58</v>
      </c>
      <c r="X15" s="111">
        <f t="shared" si="4"/>
        <v>1818.15</v>
      </c>
      <c r="Y15" s="111">
        <f t="shared" si="4"/>
        <v>285726.43</v>
      </c>
      <c r="Z15" s="111">
        <f t="shared" si="4"/>
        <v>702303.58000000007</v>
      </c>
      <c r="AA15" s="111">
        <f t="shared" si="4"/>
        <v>1.75</v>
      </c>
      <c r="AB15" s="111">
        <f t="shared" si="4"/>
        <v>67751.549999999988</v>
      </c>
      <c r="AC15" s="111">
        <f t="shared" si="4"/>
        <v>0</v>
      </c>
      <c r="AD15" s="111">
        <f t="shared" si="4"/>
        <v>30948.58</v>
      </c>
      <c r="AE15" s="111">
        <f t="shared" si="4"/>
        <v>261722.35</v>
      </c>
      <c r="AF15" s="111">
        <f t="shared" si="4"/>
        <v>150293.5</v>
      </c>
      <c r="AG15" s="111">
        <f t="shared" ref="AG15:AG23" si="5">SUM(F15:AF15)</f>
        <v>3979777.62</v>
      </c>
      <c r="AH15" s="8">
        <v>12</v>
      </c>
    </row>
    <row r="16" spans="1:34" ht="15" x14ac:dyDescent="0.25">
      <c r="D16" s="8">
        <v>1010</v>
      </c>
      <c r="E16" s="8" t="s">
        <v>816</v>
      </c>
      <c r="F16" s="13">
        <v>0</v>
      </c>
      <c r="G16" s="13">
        <v>131500.70000000001</v>
      </c>
      <c r="H16" s="13">
        <v>750</v>
      </c>
      <c r="I16" s="13">
        <v>1736187.06</v>
      </c>
      <c r="J16" s="13">
        <v>108366.75</v>
      </c>
      <c r="K16" s="13">
        <v>0</v>
      </c>
      <c r="L16" s="13">
        <v>0</v>
      </c>
      <c r="M16" s="13">
        <v>83217.899999999994</v>
      </c>
      <c r="N16" s="13">
        <v>0</v>
      </c>
      <c r="O16" s="13">
        <v>0</v>
      </c>
      <c r="P16" s="13">
        <v>283444.45</v>
      </c>
      <c r="Q16" s="13">
        <v>20819.5</v>
      </c>
      <c r="R16" s="13">
        <v>0</v>
      </c>
      <c r="S16" s="13">
        <v>1800</v>
      </c>
      <c r="T16" s="13"/>
      <c r="U16" s="13"/>
      <c r="V16" s="13">
        <v>10175.75</v>
      </c>
      <c r="W16" s="13">
        <v>0</v>
      </c>
      <c r="X16" s="13">
        <v>1818.15</v>
      </c>
      <c r="Y16" s="13">
        <v>285034.44</v>
      </c>
      <c r="Z16" s="13">
        <v>450001.27</v>
      </c>
      <c r="AA16" s="13">
        <v>0</v>
      </c>
      <c r="AB16" s="13">
        <v>47993.2</v>
      </c>
      <c r="AC16" s="13">
        <v>0</v>
      </c>
      <c r="AD16" s="13">
        <v>30948.58</v>
      </c>
      <c r="AE16" s="13">
        <v>261722.35</v>
      </c>
      <c r="AF16" s="13">
        <v>150293.5</v>
      </c>
      <c r="AG16" s="99">
        <f t="shared" si="5"/>
        <v>3604073.6</v>
      </c>
      <c r="AH16" s="8">
        <v>13</v>
      </c>
    </row>
    <row r="17" spans="3:34" ht="15" x14ac:dyDescent="0.25">
      <c r="D17" s="8">
        <v>1011</v>
      </c>
      <c r="E17" s="8" t="s">
        <v>396</v>
      </c>
      <c r="F17" s="13">
        <v>0</v>
      </c>
      <c r="G17" s="13">
        <v>0</v>
      </c>
      <c r="H17" s="13">
        <v>0</v>
      </c>
      <c r="I17" s="13">
        <v>0</v>
      </c>
      <c r="J17" s="13">
        <v>0</v>
      </c>
      <c r="K17" s="13">
        <v>0</v>
      </c>
      <c r="L17" s="13">
        <v>0</v>
      </c>
      <c r="M17" s="13">
        <v>0</v>
      </c>
      <c r="N17" s="13">
        <v>0</v>
      </c>
      <c r="O17" s="13">
        <v>80640.23</v>
      </c>
      <c r="P17" s="13">
        <v>0</v>
      </c>
      <c r="Q17" s="13">
        <v>0</v>
      </c>
      <c r="R17" s="13">
        <v>4920.95</v>
      </c>
      <c r="S17" s="13">
        <v>0</v>
      </c>
      <c r="T17" s="13"/>
      <c r="U17" s="13"/>
      <c r="V17" s="13">
        <v>0</v>
      </c>
      <c r="W17" s="13">
        <v>15235.58</v>
      </c>
      <c r="X17" s="13">
        <v>0</v>
      </c>
      <c r="Y17" s="13">
        <v>0</v>
      </c>
      <c r="Z17" s="13">
        <v>0</v>
      </c>
      <c r="AA17" s="13">
        <v>0</v>
      </c>
      <c r="AB17" s="13">
        <v>0</v>
      </c>
      <c r="AC17" s="13">
        <v>0</v>
      </c>
      <c r="AD17" s="13">
        <v>0</v>
      </c>
      <c r="AE17" s="13">
        <v>0</v>
      </c>
      <c r="AF17" s="13">
        <v>0</v>
      </c>
      <c r="AG17" s="99">
        <f t="shared" si="5"/>
        <v>100796.76</v>
      </c>
      <c r="AH17" s="8">
        <v>14</v>
      </c>
    </row>
    <row r="18" spans="3:34" ht="15" x14ac:dyDescent="0.25">
      <c r="D18" s="8">
        <v>1012</v>
      </c>
      <c r="E18" s="8" t="s">
        <v>316</v>
      </c>
      <c r="F18" s="13">
        <v>0</v>
      </c>
      <c r="G18" s="13">
        <v>0</v>
      </c>
      <c r="H18" s="13">
        <v>0</v>
      </c>
      <c r="I18" s="13">
        <v>0</v>
      </c>
      <c r="J18" s="13">
        <v>0</v>
      </c>
      <c r="K18" s="13">
        <v>0</v>
      </c>
      <c r="L18" s="13">
        <v>0</v>
      </c>
      <c r="M18" s="13">
        <v>0</v>
      </c>
      <c r="N18" s="13">
        <v>0</v>
      </c>
      <c r="O18" s="13">
        <v>0</v>
      </c>
      <c r="P18" s="13">
        <v>0</v>
      </c>
      <c r="Q18" s="13">
        <v>0</v>
      </c>
      <c r="R18" s="13">
        <v>0</v>
      </c>
      <c r="S18" s="13">
        <v>0</v>
      </c>
      <c r="T18" s="13"/>
      <c r="U18" s="13"/>
      <c r="V18" s="13">
        <v>0</v>
      </c>
      <c r="W18" s="13">
        <v>0</v>
      </c>
      <c r="X18" s="13">
        <v>0</v>
      </c>
      <c r="Y18" s="13">
        <v>0</v>
      </c>
      <c r="Z18" s="13">
        <v>0</v>
      </c>
      <c r="AA18" s="13">
        <v>0</v>
      </c>
      <c r="AB18" s="13">
        <v>0</v>
      </c>
      <c r="AC18" s="13">
        <v>0</v>
      </c>
      <c r="AD18" s="13">
        <v>0</v>
      </c>
      <c r="AE18" s="13">
        <v>0</v>
      </c>
      <c r="AF18" s="13">
        <v>0</v>
      </c>
      <c r="AG18" s="99">
        <f t="shared" si="5"/>
        <v>0</v>
      </c>
      <c r="AH18" s="8">
        <v>15</v>
      </c>
    </row>
    <row r="19" spans="3:34"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c r="U19" s="13"/>
      <c r="V19" s="13">
        <v>0</v>
      </c>
      <c r="W19" s="13">
        <v>0</v>
      </c>
      <c r="X19" s="13">
        <v>0</v>
      </c>
      <c r="Y19" s="13">
        <v>0</v>
      </c>
      <c r="Z19" s="13">
        <v>274383.84000000003</v>
      </c>
      <c r="AA19" s="13">
        <v>0</v>
      </c>
      <c r="AB19" s="13">
        <v>0</v>
      </c>
      <c r="AC19" s="13">
        <v>0</v>
      </c>
      <c r="AD19" s="13">
        <v>0</v>
      </c>
      <c r="AE19" s="13">
        <v>0</v>
      </c>
      <c r="AF19" s="13">
        <v>0</v>
      </c>
      <c r="AG19" s="99">
        <f t="shared" si="5"/>
        <v>274383.84000000003</v>
      </c>
      <c r="AH19" s="8">
        <v>16</v>
      </c>
    </row>
    <row r="20" spans="3:34"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c r="U20" s="13"/>
      <c r="V20" s="13">
        <v>0</v>
      </c>
      <c r="W20" s="13">
        <v>0</v>
      </c>
      <c r="X20" s="13">
        <v>0</v>
      </c>
      <c r="Y20" s="13">
        <v>0</v>
      </c>
      <c r="Z20" s="13">
        <v>-22081.53</v>
      </c>
      <c r="AA20" s="13">
        <v>0</v>
      </c>
      <c r="AB20" s="13">
        <v>0</v>
      </c>
      <c r="AC20" s="13">
        <v>0</v>
      </c>
      <c r="AD20" s="13">
        <v>0</v>
      </c>
      <c r="AE20" s="13">
        <v>0</v>
      </c>
      <c r="AF20" s="13">
        <v>0</v>
      </c>
      <c r="AG20" s="99">
        <f t="shared" si="5"/>
        <v>-22081.53</v>
      </c>
      <c r="AH20" s="8">
        <v>17</v>
      </c>
    </row>
    <row r="21" spans="3:34" ht="15" x14ac:dyDescent="0.25">
      <c r="D21" s="8">
        <v>1015</v>
      </c>
      <c r="E21" s="8" t="s">
        <v>320</v>
      </c>
      <c r="F21" s="13">
        <v>0</v>
      </c>
      <c r="G21" s="13">
        <v>0</v>
      </c>
      <c r="H21" s="13">
        <v>0</v>
      </c>
      <c r="I21" s="13">
        <v>0</v>
      </c>
      <c r="J21" s="13">
        <v>0</v>
      </c>
      <c r="K21" s="13">
        <v>0</v>
      </c>
      <c r="L21" s="13">
        <v>0</v>
      </c>
      <c r="M21" s="13">
        <v>0</v>
      </c>
      <c r="N21" s="13">
        <v>0</v>
      </c>
      <c r="O21" s="13">
        <v>0</v>
      </c>
      <c r="P21" s="13">
        <v>0</v>
      </c>
      <c r="Q21" s="13">
        <v>0</v>
      </c>
      <c r="R21" s="13">
        <v>0</v>
      </c>
      <c r="S21" s="13">
        <v>0</v>
      </c>
      <c r="T21" s="13"/>
      <c r="U21" s="13"/>
      <c r="V21" s="13">
        <v>0</v>
      </c>
      <c r="W21" s="13">
        <v>0</v>
      </c>
      <c r="X21" s="13">
        <v>0</v>
      </c>
      <c r="Y21" s="13">
        <v>0</v>
      </c>
      <c r="Z21" s="13">
        <v>0</v>
      </c>
      <c r="AA21" s="13">
        <v>0</v>
      </c>
      <c r="AB21" s="13">
        <v>0</v>
      </c>
      <c r="AC21" s="13">
        <v>0</v>
      </c>
      <c r="AD21" s="13">
        <v>0</v>
      </c>
      <c r="AE21" s="13">
        <v>0</v>
      </c>
      <c r="AF21" s="13">
        <v>0</v>
      </c>
      <c r="AG21" s="99">
        <f t="shared" si="5"/>
        <v>0</v>
      </c>
      <c r="AH21" s="8">
        <v>18</v>
      </c>
    </row>
    <row r="22" spans="3:34"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c r="U22" s="13"/>
      <c r="V22" s="13">
        <v>0</v>
      </c>
      <c r="W22" s="13">
        <v>0</v>
      </c>
      <c r="X22" s="13">
        <v>0</v>
      </c>
      <c r="Y22" s="13">
        <v>0</v>
      </c>
      <c r="Z22" s="13">
        <v>0</v>
      </c>
      <c r="AA22" s="13">
        <v>0</v>
      </c>
      <c r="AB22" s="13">
        <v>0</v>
      </c>
      <c r="AC22" s="13">
        <v>0</v>
      </c>
      <c r="AD22" s="13">
        <v>0</v>
      </c>
      <c r="AE22" s="13">
        <v>0</v>
      </c>
      <c r="AF22" s="13">
        <v>0</v>
      </c>
      <c r="AG22" s="99">
        <f t="shared" si="5"/>
        <v>0</v>
      </c>
      <c r="AH22" s="8">
        <v>19</v>
      </c>
    </row>
    <row r="23" spans="3:34" ht="15" x14ac:dyDescent="0.25">
      <c r="D23" s="8">
        <v>1019</v>
      </c>
      <c r="E23" s="8" t="s">
        <v>322</v>
      </c>
      <c r="F23" s="13">
        <v>0</v>
      </c>
      <c r="G23" s="13">
        <v>1575</v>
      </c>
      <c r="H23" s="13">
        <v>0</v>
      </c>
      <c r="I23" s="13">
        <v>0</v>
      </c>
      <c r="J23" s="13">
        <v>0</v>
      </c>
      <c r="K23" s="13">
        <v>0.4</v>
      </c>
      <c r="L23" s="13">
        <v>0.01</v>
      </c>
      <c r="M23" s="13">
        <v>55.1</v>
      </c>
      <c r="N23" s="13">
        <v>0</v>
      </c>
      <c r="O23" s="13">
        <v>0</v>
      </c>
      <c r="P23" s="13">
        <v>522.35</v>
      </c>
      <c r="Q23" s="13">
        <v>0</v>
      </c>
      <c r="R23" s="13">
        <v>0</v>
      </c>
      <c r="S23" s="13">
        <v>0</v>
      </c>
      <c r="T23" s="13"/>
      <c r="U23" s="13"/>
      <c r="V23" s="13">
        <v>0</v>
      </c>
      <c r="W23" s="13">
        <v>0</v>
      </c>
      <c r="X23" s="13">
        <v>0</v>
      </c>
      <c r="Y23" s="13">
        <v>691.99</v>
      </c>
      <c r="Z23" s="13">
        <v>0</v>
      </c>
      <c r="AA23" s="13">
        <v>1.75</v>
      </c>
      <c r="AB23" s="13">
        <v>19758.349999999999</v>
      </c>
      <c r="AC23" s="13">
        <v>0</v>
      </c>
      <c r="AD23" s="13">
        <v>0</v>
      </c>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c r="U26" s="13"/>
      <c r="V26" s="13">
        <v>0</v>
      </c>
      <c r="W26" s="13">
        <v>0</v>
      </c>
      <c r="X26" s="13">
        <v>0</v>
      </c>
      <c r="Y26" s="13">
        <v>282500</v>
      </c>
      <c r="Z26" s="13">
        <v>0</v>
      </c>
      <c r="AA26" s="13">
        <v>0</v>
      </c>
      <c r="AB26" s="13">
        <v>0</v>
      </c>
      <c r="AC26" s="13">
        <v>0</v>
      </c>
      <c r="AD26" s="13">
        <v>0</v>
      </c>
      <c r="AE26" s="13">
        <v>0</v>
      </c>
      <c r="AF26" s="13">
        <v>0</v>
      </c>
      <c r="AG26" s="99">
        <f t="shared" si="7"/>
        <v>282500</v>
      </c>
      <c r="AH26" s="8">
        <v>23</v>
      </c>
    </row>
    <row r="27" spans="3:34"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c r="U27" s="13"/>
      <c r="V27" s="13">
        <v>0</v>
      </c>
      <c r="W27" s="13">
        <v>0</v>
      </c>
      <c r="X27" s="13">
        <v>0</v>
      </c>
      <c r="Y27" s="13">
        <v>0</v>
      </c>
      <c r="Z27" s="13">
        <v>0</v>
      </c>
      <c r="AA27" s="13">
        <v>0</v>
      </c>
      <c r="AB27" s="13">
        <v>0</v>
      </c>
      <c r="AC27" s="13">
        <v>0</v>
      </c>
      <c r="AD27" s="13">
        <v>0</v>
      </c>
      <c r="AE27" s="13">
        <v>0</v>
      </c>
      <c r="AF27" s="13">
        <v>0</v>
      </c>
      <c r="AG27" s="99">
        <f t="shared" si="7"/>
        <v>0</v>
      </c>
      <c r="AH27" s="8">
        <v>24</v>
      </c>
    </row>
    <row r="28" spans="3:34"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c r="U28" s="13"/>
      <c r="V28" s="13">
        <v>0</v>
      </c>
      <c r="W28" s="13">
        <v>0</v>
      </c>
      <c r="X28" s="13">
        <v>0</v>
      </c>
      <c r="Y28" s="13">
        <v>0</v>
      </c>
      <c r="Z28" s="13">
        <v>0</v>
      </c>
      <c r="AA28" s="13">
        <v>0</v>
      </c>
      <c r="AB28" s="13">
        <v>0</v>
      </c>
      <c r="AC28" s="13">
        <v>0</v>
      </c>
      <c r="AD28" s="13">
        <v>0</v>
      </c>
      <c r="AE28" s="13">
        <v>0</v>
      </c>
      <c r="AF28" s="13">
        <v>0</v>
      </c>
      <c r="AG28" s="99">
        <f t="shared" si="7"/>
        <v>0</v>
      </c>
      <c r="AH28" s="8">
        <v>25</v>
      </c>
    </row>
    <row r="29" spans="3:34"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c r="U29" s="13"/>
      <c r="V29" s="13">
        <v>0</v>
      </c>
      <c r="W29" s="13">
        <v>0</v>
      </c>
      <c r="X29" s="13">
        <v>0</v>
      </c>
      <c r="Y29" s="13">
        <v>0</v>
      </c>
      <c r="Z29" s="13">
        <v>0</v>
      </c>
      <c r="AA29" s="13">
        <v>0</v>
      </c>
      <c r="AB29" s="13">
        <v>0</v>
      </c>
      <c r="AC29" s="13">
        <v>0</v>
      </c>
      <c r="AD29" s="13">
        <v>0</v>
      </c>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8699.4500000000007</v>
      </c>
      <c r="W31" s="111">
        <f t="shared" si="8"/>
        <v>0</v>
      </c>
      <c r="X31" s="111">
        <f t="shared" si="8"/>
        <v>182.3</v>
      </c>
      <c r="Y31" s="111">
        <f t="shared" si="8"/>
        <v>5467.35</v>
      </c>
      <c r="Z31" s="111">
        <f t="shared" si="8"/>
        <v>102312.49</v>
      </c>
      <c r="AA31" s="111">
        <f t="shared" si="8"/>
        <v>144881.09</v>
      </c>
      <c r="AB31" s="111">
        <f t="shared" si="8"/>
        <v>27039.55</v>
      </c>
      <c r="AC31" s="111">
        <f t="shared" si="8"/>
        <v>841.45</v>
      </c>
      <c r="AD31" s="111">
        <f t="shared" si="8"/>
        <v>686.45</v>
      </c>
      <c r="AE31" s="111">
        <f t="shared" si="8"/>
        <v>67131.7</v>
      </c>
      <c r="AF31" s="111">
        <f t="shared" si="8"/>
        <v>99722.75</v>
      </c>
      <c r="AG31" s="111">
        <f t="shared" ref="AG31:AG39" si="9">SUM(F31:AF31)</f>
        <v>2999011.7200000007</v>
      </c>
      <c r="AH31" s="8">
        <v>28</v>
      </c>
    </row>
    <row r="32" spans="3:34" ht="15" x14ac:dyDescent="0.25">
      <c r="D32" s="8">
        <v>1040</v>
      </c>
      <c r="E32" s="8" t="s">
        <v>61</v>
      </c>
      <c r="F32" s="13">
        <v>7372.14</v>
      </c>
      <c r="G32" s="13">
        <v>0</v>
      </c>
      <c r="H32" s="13">
        <v>0</v>
      </c>
      <c r="I32" s="13">
        <v>0</v>
      </c>
      <c r="J32" s="13">
        <v>0</v>
      </c>
      <c r="K32" s="13">
        <v>1560.2</v>
      </c>
      <c r="L32" s="13">
        <v>0</v>
      </c>
      <c r="M32" s="13">
        <v>0</v>
      </c>
      <c r="N32" s="13">
        <v>0</v>
      </c>
      <c r="O32" s="13">
        <v>0</v>
      </c>
      <c r="P32" s="13">
        <v>0</v>
      </c>
      <c r="Q32" s="13">
        <v>0</v>
      </c>
      <c r="R32" s="13">
        <v>0</v>
      </c>
      <c r="S32" s="13">
        <v>0</v>
      </c>
      <c r="T32" s="13"/>
      <c r="U32" s="13"/>
      <c r="V32" s="13">
        <v>0</v>
      </c>
      <c r="W32" s="13">
        <v>0</v>
      </c>
      <c r="X32" s="13">
        <v>182.3</v>
      </c>
      <c r="Y32" s="13">
        <v>0</v>
      </c>
      <c r="Z32" s="13">
        <v>0</v>
      </c>
      <c r="AA32" s="13">
        <v>0</v>
      </c>
      <c r="AB32" s="13">
        <v>0</v>
      </c>
      <c r="AC32" s="13">
        <v>0</v>
      </c>
      <c r="AD32" s="13">
        <v>0</v>
      </c>
      <c r="AE32" s="13">
        <v>0</v>
      </c>
      <c r="AF32" s="13">
        <v>0</v>
      </c>
      <c r="AG32" s="99">
        <f t="shared" si="9"/>
        <v>9114.64</v>
      </c>
      <c r="AH32" s="8">
        <v>29</v>
      </c>
    </row>
    <row r="33" spans="3:34" ht="15" x14ac:dyDescent="0.25">
      <c r="D33" s="8">
        <v>1041</v>
      </c>
      <c r="E33" s="8" t="s">
        <v>327</v>
      </c>
      <c r="F33" s="13">
        <v>5360.8</v>
      </c>
      <c r="G33" s="13">
        <v>1812100.96</v>
      </c>
      <c r="H33" s="13">
        <v>0</v>
      </c>
      <c r="I33" s="13">
        <v>120322.45</v>
      </c>
      <c r="J33" s="13">
        <v>0</v>
      </c>
      <c r="K33" s="13">
        <v>5640.6</v>
      </c>
      <c r="L33" s="13">
        <v>1264</v>
      </c>
      <c r="M33" s="13">
        <v>0</v>
      </c>
      <c r="N33" s="13">
        <v>63994.25</v>
      </c>
      <c r="O33" s="13">
        <v>0</v>
      </c>
      <c r="P33" s="13">
        <v>0</v>
      </c>
      <c r="Q33" s="13">
        <v>0</v>
      </c>
      <c r="R33" s="13">
        <v>0</v>
      </c>
      <c r="S33" s="13">
        <v>850.9</v>
      </c>
      <c r="T33" s="13"/>
      <c r="U33" s="13"/>
      <c r="V33" s="13">
        <v>0</v>
      </c>
      <c r="W33" s="13">
        <v>0</v>
      </c>
      <c r="X33" s="13">
        <v>0</v>
      </c>
      <c r="Y33" s="13">
        <v>5467.35</v>
      </c>
      <c r="Z33" s="13">
        <v>102312.49</v>
      </c>
      <c r="AA33" s="13">
        <v>144881.09</v>
      </c>
      <c r="AB33" s="13">
        <v>27039.55</v>
      </c>
      <c r="AC33" s="13">
        <v>0</v>
      </c>
      <c r="AD33" s="13">
        <v>686.45</v>
      </c>
      <c r="AE33" s="13">
        <v>67131.7</v>
      </c>
      <c r="AF33" s="13">
        <v>99722.75</v>
      </c>
      <c r="AG33" s="99">
        <f t="shared" si="9"/>
        <v>2456775.3400000003</v>
      </c>
      <c r="AH33" s="8">
        <v>30</v>
      </c>
    </row>
    <row r="34" spans="3:34" ht="15" x14ac:dyDescent="0.25">
      <c r="D34" s="8">
        <v>1042</v>
      </c>
      <c r="E34" s="8" t="s">
        <v>328</v>
      </c>
      <c r="F34" s="13">
        <v>0</v>
      </c>
      <c r="G34" s="13">
        <v>0</v>
      </c>
      <c r="H34" s="13">
        <v>0</v>
      </c>
      <c r="I34" s="13">
        <v>0</v>
      </c>
      <c r="J34" s="13">
        <v>0</v>
      </c>
      <c r="K34" s="13">
        <v>0</v>
      </c>
      <c r="L34" s="13">
        <v>0</v>
      </c>
      <c r="M34" s="13">
        <v>0</v>
      </c>
      <c r="N34" s="13">
        <v>0</v>
      </c>
      <c r="O34" s="13">
        <v>0</v>
      </c>
      <c r="P34" s="13">
        <v>0</v>
      </c>
      <c r="Q34" s="13">
        <v>0</v>
      </c>
      <c r="R34" s="13">
        <v>0</v>
      </c>
      <c r="S34" s="13">
        <v>0</v>
      </c>
      <c r="T34" s="13"/>
      <c r="U34" s="13"/>
      <c r="V34" s="13">
        <v>0</v>
      </c>
      <c r="W34" s="13">
        <v>0</v>
      </c>
      <c r="X34" s="13">
        <v>0</v>
      </c>
      <c r="Y34" s="13">
        <v>0</v>
      </c>
      <c r="Z34" s="13">
        <v>0</v>
      </c>
      <c r="AA34" s="13">
        <v>0</v>
      </c>
      <c r="AB34" s="13">
        <v>0</v>
      </c>
      <c r="AC34" s="13">
        <v>841.45</v>
      </c>
      <c r="AD34" s="13">
        <v>0</v>
      </c>
      <c r="AE34" s="13">
        <v>0</v>
      </c>
      <c r="AF34" s="13">
        <v>0</v>
      </c>
      <c r="AG34" s="99">
        <f t="shared" si="9"/>
        <v>841.45</v>
      </c>
      <c r="AH34" s="8">
        <v>31</v>
      </c>
    </row>
    <row r="35" spans="3:34" ht="15" x14ac:dyDescent="0.25">
      <c r="D35" s="8">
        <v>1043</v>
      </c>
      <c r="E35" s="8" t="s">
        <v>329</v>
      </c>
      <c r="F35" s="13">
        <v>0</v>
      </c>
      <c r="G35" s="13">
        <v>100234.68</v>
      </c>
      <c r="H35" s="13">
        <v>0</v>
      </c>
      <c r="I35" s="13">
        <v>0</v>
      </c>
      <c r="J35" s="13">
        <v>0</v>
      </c>
      <c r="K35" s="13">
        <v>0</v>
      </c>
      <c r="L35" s="13">
        <v>386037.25</v>
      </c>
      <c r="M35" s="13">
        <v>0</v>
      </c>
      <c r="N35" s="13">
        <v>0</v>
      </c>
      <c r="O35" s="13">
        <v>0</v>
      </c>
      <c r="P35" s="13">
        <v>0</v>
      </c>
      <c r="Q35" s="13">
        <v>0</v>
      </c>
      <c r="R35" s="13">
        <v>0</v>
      </c>
      <c r="S35" s="13">
        <v>0</v>
      </c>
      <c r="T35" s="13"/>
      <c r="U35" s="13"/>
      <c r="V35" s="13">
        <v>99.45</v>
      </c>
      <c r="W35" s="13">
        <v>0</v>
      </c>
      <c r="X35" s="13">
        <v>0</v>
      </c>
      <c r="Y35" s="13">
        <v>0</v>
      </c>
      <c r="Z35" s="13">
        <v>0</v>
      </c>
      <c r="AA35" s="13">
        <v>0</v>
      </c>
      <c r="AB35" s="13">
        <v>0</v>
      </c>
      <c r="AC35" s="13">
        <v>0</v>
      </c>
      <c r="AD35" s="13">
        <v>0</v>
      </c>
      <c r="AE35" s="13">
        <v>0</v>
      </c>
      <c r="AF35" s="13">
        <v>0</v>
      </c>
      <c r="AG35" s="99">
        <f t="shared" si="9"/>
        <v>486371.38</v>
      </c>
      <c r="AH35" s="8">
        <v>32</v>
      </c>
    </row>
    <row r="36" spans="3:34" ht="15" x14ac:dyDescent="0.25">
      <c r="D36" s="8">
        <v>1044</v>
      </c>
      <c r="E36" s="8" t="s">
        <v>330</v>
      </c>
      <c r="F36" s="13">
        <v>32661.66</v>
      </c>
      <c r="G36" s="13">
        <v>0</v>
      </c>
      <c r="H36" s="13">
        <v>0</v>
      </c>
      <c r="I36" s="13">
        <v>0</v>
      </c>
      <c r="J36" s="13">
        <v>0</v>
      </c>
      <c r="K36" s="13">
        <v>4647.25</v>
      </c>
      <c r="L36" s="13">
        <v>0</v>
      </c>
      <c r="M36" s="13">
        <v>0</v>
      </c>
      <c r="N36" s="13">
        <v>0</v>
      </c>
      <c r="O36" s="13">
        <v>0</v>
      </c>
      <c r="P36" s="13">
        <v>0</v>
      </c>
      <c r="Q36" s="13">
        <v>0</v>
      </c>
      <c r="R36" s="13">
        <v>0</v>
      </c>
      <c r="S36" s="13">
        <v>0</v>
      </c>
      <c r="T36" s="13"/>
      <c r="U36" s="13"/>
      <c r="V36" s="13">
        <v>0</v>
      </c>
      <c r="W36" s="13">
        <v>0</v>
      </c>
      <c r="X36" s="13">
        <v>0</v>
      </c>
      <c r="Y36" s="13">
        <v>0</v>
      </c>
      <c r="Z36" s="13">
        <v>0</v>
      </c>
      <c r="AA36" s="13">
        <v>0</v>
      </c>
      <c r="AB36" s="13">
        <v>0</v>
      </c>
      <c r="AC36" s="13">
        <v>0</v>
      </c>
      <c r="AD36" s="13">
        <v>0</v>
      </c>
      <c r="AE36" s="13">
        <v>0</v>
      </c>
      <c r="AF36" s="13">
        <v>0</v>
      </c>
      <c r="AG36" s="99">
        <f t="shared" si="9"/>
        <v>37308.910000000003</v>
      </c>
      <c r="AH36" s="8">
        <v>33</v>
      </c>
    </row>
    <row r="37" spans="3:34" ht="15" x14ac:dyDescent="0.25">
      <c r="D37" s="8">
        <v>1045</v>
      </c>
      <c r="E37" s="8" t="s">
        <v>331</v>
      </c>
      <c r="F37" s="13">
        <v>0</v>
      </c>
      <c r="G37" s="13">
        <v>0</v>
      </c>
      <c r="H37" s="13">
        <v>0</v>
      </c>
      <c r="I37" s="13">
        <v>0</v>
      </c>
      <c r="J37" s="13">
        <v>0</v>
      </c>
      <c r="K37" s="13">
        <v>0</v>
      </c>
      <c r="L37" s="13">
        <v>0</v>
      </c>
      <c r="M37" s="13">
        <v>0</v>
      </c>
      <c r="N37" s="13">
        <v>0</v>
      </c>
      <c r="O37" s="13">
        <v>0</v>
      </c>
      <c r="P37" s="13">
        <v>0</v>
      </c>
      <c r="Q37" s="13">
        <v>0</v>
      </c>
      <c r="R37" s="13">
        <v>0</v>
      </c>
      <c r="S37" s="13">
        <v>0</v>
      </c>
      <c r="T37" s="13"/>
      <c r="U37" s="13"/>
      <c r="V37" s="13">
        <v>8600</v>
      </c>
      <c r="W37" s="13">
        <v>0</v>
      </c>
      <c r="X37" s="13">
        <v>0</v>
      </c>
      <c r="Y37" s="13">
        <v>0</v>
      </c>
      <c r="Z37" s="13">
        <v>0</v>
      </c>
      <c r="AA37" s="13">
        <v>0</v>
      </c>
      <c r="AB37" s="13">
        <v>0</v>
      </c>
      <c r="AC37" s="13">
        <v>0</v>
      </c>
      <c r="AD37" s="13">
        <v>0</v>
      </c>
      <c r="AE37" s="13">
        <v>0</v>
      </c>
      <c r="AF37" s="13">
        <v>0</v>
      </c>
      <c r="AG37" s="99">
        <f t="shared" si="9"/>
        <v>8600</v>
      </c>
      <c r="AH37" s="8">
        <v>34</v>
      </c>
    </row>
    <row r="38" spans="3:34" ht="15" x14ac:dyDescent="0.25">
      <c r="D38" s="8">
        <v>1046</v>
      </c>
      <c r="E38" s="8" t="s">
        <v>332</v>
      </c>
      <c r="F38" s="13">
        <v>0</v>
      </c>
      <c r="G38" s="13">
        <v>0</v>
      </c>
      <c r="H38" s="13">
        <v>0</v>
      </c>
      <c r="I38" s="13">
        <v>0</v>
      </c>
      <c r="J38" s="13">
        <v>0</v>
      </c>
      <c r="K38" s="13">
        <v>0</v>
      </c>
      <c r="L38" s="13">
        <v>0</v>
      </c>
      <c r="M38" s="13">
        <v>0</v>
      </c>
      <c r="N38" s="13">
        <v>0</v>
      </c>
      <c r="O38" s="13">
        <v>0</v>
      </c>
      <c r="P38" s="13">
        <v>0</v>
      </c>
      <c r="Q38" s="13">
        <v>0</v>
      </c>
      <c r="R38" s="13">
        <v>0</v>
      </c>
      <c r="S38" s="13">
        <v>0</v>
      </c>
      <c r="T38" s="13"/>
      <c r="U38" s="13"/>
      <c r="V38" s="13">
        <v>0</v>
      </c>
      <c r="W38" s="13">
        <v>0</v>
      </c>
      <c r="X38" s="13">
        <v>0</v>
      </c>
      <c r="Y38" s="13">
        <v>0</v>
      </c>
      <c r="Z38" s="13">
        <v>0</v>
      </c>
      <c r="AA38" s="13">
        <v>0</v>
      </c>
      <c r="AB38" s="13">
        <v>0</v>
      </c>
      <c r="AC38" s="13">
        <v>0</v>
      </c>
      <c r="AD38" s="13">
        <v>0</v>
      </c>
      <c r="AE38" s="13">
        <v>0</v>
      </c>
      <c r="AF38" s="13">
        <v>0</v>
      </c>
      <c r="AG38" s="99">
        <f t="shared" si="9"/>
        <v>0</v>
      </c>
      <c r="AH38" s="8">
        <v>35</v>
      </c>
    </row>
    <row r="39" spans="3:34" ht="15" x14ac:dyDescent="0.25">
      <c r="D39" s="8">
        <v>1049</v>
      </c>
      <c r="E39" s="8" t="s">
        <v>333</v>
      </c>
      <c r="F39" s="13">
        <v>0</v>
      </c>
      <c r="G39" s="13">
        <v>0</v>
      </c>
      <c r="H39" s="13">
        <v>0</v>
      </c>
      <c r="I39" s="13">
        <v>0</v>
      </c>
      <c r="J39" s="13">
        <v>0</v>
      </c>
      <c r="K39" s="13">
        <v>0</v>
      </c>
      <c r="L39" s="13">
        <v>0</v>
      </c>
      <c r="M39" s="13">
        <v>0</v>
      </c>
      <c r="N39" s="13">
        <v>0</v>
      </c>
      <c r="O39" s="13">
        <v>0</v>
      </c>
      <c r="P39" s="13">
        <v>0</v>
      </c>
      <c r="Q39" s="13">
        <v>0</v>
      </c>
      <c r="R39" s="13">
        <v>0</v>
      </c>
      <c r="S39" s="13">
        <v>0</v>
      </c>
      <c r="T39" s="13"/>
      <c r="U39" s="13"/>
      <c r="V39" s="13">
        <v>0</v>
      </c>
      <c r="W39" s="13">
        <v>0</v>
      </c>
      <c r="X39" s="13">
        <v>0</v>
      </c>
      <c r="Y39" s="13">
        <v>0</v>
      </c>
      <c r="Z39" s="13">
        <v>0</v>
      </c>
      <c r="AA39" s="13">
        <v>0</v>
      </c>
      <c r="AB39" s="13">
        <v>0</v>
      </c>
      <c r="AC39" s="13">
        <v>0</v>
      </c>
      <c r="AD39" s="13">
        <v>0</v>
      </c>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c r="U42" s="13"/>
      <c r="V42" s="13">
        <v>0</v>
      </c>
      <c r="W42" s="13">
        <v>0</v>
      </c>
      <c r="X42" s="13">
        <v>0</v>
      </c>
      <c r="Y42" s="13">
        <v>0</v>
      </c>
      <c r="Z42" s="13">
        <v>0</v>
      </c>
      <c r="AA42" s="13">
        <v>0</v>
      </c>
      <c r="AB42" s="13">
        <v>0</v>
      </c>
      <c r="AC42" s="13">
        <v>0</v>
      </c>
      <c r="AD42" s="13">
        <v>0</v>
      </c>
      <c r="AE42" s="13">
        <v>0</v>
      </c>
      <c r="AF42" s="13">
        <v>0</v>
      </c>
      <c r="AG42" s="99">
        <f t="shared" si="11"/>
        <v>0</v>
      </c>
      <c r="AH42" s="8">
        <v>39</v>
      </c>
    </row>
    <row r="43" spans="3:34" ht="15" x14ac:dyDescent="0.25">
      <c r="D43" s="8">
        <v>1061</v>
      </c>
      <c r="E43" s="8" t="s">
        <v>335</v>
      </c>
      <c r="F43" s="13">
        <v>0</v>
      </c>
      <c r="G43" s="13">
        <v>0</v>
      </c>
      <c r="H43" s="13">
        <v>0</v>
      </c>
      <c r="I43" s="13">
        <v>0</v>
      </c>
      <c r="J43" s="13">
        <v>0</v>
      </c>
      <c r="K43" s="13">
        <v>0</v>
      </c>
      <c r="L43" s="13">
        <v>0</v>
      </c>
      <c r="M43" s="13">
        <v>0</v>
      </c>
      <c r="N43" s="13">
        <v>0</v>
      </c>
      <c r="O43" s="13">
        <v>0</v>
      </c>
      <c r="P43" s="13">
        <v>0</v>
      </c>
      <c r="Q43" s="13">
        <v>0</v>
      </c>
      <c r="R43" s="13">
        <v>0</v>
      </c>
      <c r="S43" s="13">
        <v>0</v>
      </c>
      <c r="T43" s="13"/>
      <c r="U43" s="13"/>
      <c r="V43" s="13">
        <v>0</v>
      </c>
      <c r="W43" s="13">
        <v>0</v>
      </c>
      <c r="X43" s="13">
        <v>0</v>
      </c>
      <c r="Y43" s="13">
        <v>0</v>
      </c>
      <c r="Z43" s="13">
        <v>0</v>
      </c>
      <c r="AA43" s="13">
        <v>0</v>
      </c>
      <c r="AB43" s="13">
        <v>0</v>
      </c>
      <c r="AC43" s="13">
        <v>0</v>
      </c>
      <c r="AD43" s="13">
        <v>0</v>
      </c>
      <c r="AE43" s="13">
        <v>0</v>
      </c>
      <c r="AF43" s="13">
        <v>0</v>
      </c>
      <c r="AG43" s="99">
        <f t="shared" si="11"/>
        <v>0</v>
      </c>
      <c r="AH43" s="8">
        <v>40</v>
      </c>
    </row>
    <row r="44" spans="3:34"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c r="U44" s="13"/>
      <c r="V44" s="13">
        <v>0</v>
      </c>
      <c r="W44" s="13">
        <v>0</v>
      </c>
      <c r="X44" s="13">
        <v>0</v>
      </c>
      <c r="Y44" s="13">
        <v>0</v>
      </c>
      <c r="Z44" s="13">
        <v>0</v>
      </c>
      <c r="AA44" s="13">
        <v>0</v>
      </c>
      <c r="AB44" s="13">
        <v>0</v>
      </c>
      <c r="AC44" s="13">
        <v>0</v>
      </c>
      <c r="AD44" s="13">
        <v>0</v>
      </c>
      <c r="AE44" s="13">
        <v>0</v>
      </c>
      <c r="AF44" s="13">
        <v>0</v>
      </c>
      <c r="AG44" s="99">
        <f t="shared" si="11"/>
        <v>0</v>
      </c>
      <c r="AH44" s="8">
        <v>41</v>
      </c>
    </row>
    <row r="45" spans="3:34" ht="15" x14ac:dyDescent="0.25">
      <c r="D45" s="8">
        <v>1063</v>
      </c>
      <c r="E45" s="8" t="s">
        <v>337</v>
      </c>
      <c r="F45" s="13">
        <v>0</v>
      </c>
      <c r="G45" s="13">
        <v>0</v>
      </c>
      <c r="H45" s="13">
        <v>0</v>
      </c>
      <c r="I45" s="13">
        <v>0</v>
      </c>
      <c r="J45" s="13">
        <v>0</v>
      </c>
      <c r="K45" s="13">
        <v>0</v>
      </c>
      <c r="L45" s="13">
        <v>0</v>
      </c>
      <c r="M45" s="13">
        <v>0</v>
      </c>
      <c r="N45" s="13">
        <v>0</v>
      </c>
      <c r="O45" s="13">
        <v>0</v>
      </c>
      <c r="P45" s="13">
        <v>0</v>
      </c>
      <c r="Q45" s="13">
        <v>0</v>
      </c>
      <c r="R45" s="13">
        <v>0</v>
      </c>
      <c r="S45" s="13">
        <v>0</v>
      </c>
      <c r="T45" s="13"/>
      <c r="U45" s="13"/>
      <c r="V45" s="13">
        <v>0</v>
      </c>
      <c r="W45" s="13">
        <v>0</v>
      </c>
      <c r="X45" s="13">
        <v>0</v>
      </c>
      <c r="Y45" s="13">
        <v>0</v>
      </c>
      <c r="Z45" s="13">
        <v>0</v>
      </c>
      <c r="AA45" s="13">
        <v>0</v>
      </c>
      <c r="AB45" s="13">
        <v>0</v>
      </c>
      <c r="AC45" s="13">
        <v>0</v>
      </c>
      <c r="AD45" s="13">
        <v>0</v>
      </c>
      <c r="AE45" s="13">
        <v>0</v>
      </c>
      <c r="AF45" s="13">
        <v>0</v>
      </c>
      <c r="AG45" s="99">
        <f t="shared" si="11"/>
        <v>0</v>
      </c>
      <c r="AH45" s="8">
        <v>42</v>
      </c>
    </row>
    <row r="46" spans="3:34"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c r="U46" s="13"/>
      <c r="V46" s="13">
        <v>0</v>
      </c>
      <c r="W46" s="13">
        <v>0</v>
      </c>
      <c r="X46" s="13">
        <v>0</v>
      </c>
      <c r="Y46" s="13">
        <v>0</v>
      </c>
      <c r="Z46" s="13">
        <v>0</v>
      </c>
      <c r="AA46" s="13">
        <v>0</v>
      </c>
      <c r="AB46" s="13">
        <v>0</v>
      </c>
      <c r="AC46" s="13">
        <v>0</v>
      </c>
      <c r="AD46" s="13">
        <v>0</v>
      </c>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700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7275172.5</v>
      </c>
      <c r="AH48" s="8">
        <v>45</v>
      </c>
    </row>
    <row r="49" spans="3:34" ht="15" x14ac:dyDescent="0.25">
      <c r="D49" s="8">
        <v>1070</v>
      </c>
      <c r="E49" s="8" t="s">
        <v>339</v>
      </c>
      <c r="F49" s="13">
        <v>0</v>
      </c>
      <c r="G49" s="13">
        <v>0</v>
      </c>
      <c r="H49" s="13">
        <v>0</v>
      </c>
      <c r="I49" s="13">
        <v>0</v>
      </c>
      <c r="J49" s="13">
        <v>0</v>
      </c>
      <c r="K49" s="13">
        <v>0</v>
      </c>
      <c r="L49" s="13">
        <v>0</v>
      </c>
      <c r="M49" s="13">
        <v>0</v>
      </c>
      <c r="N49" s="13">
        <v>0</v>
      </c>
      <c r="O49" s="13">
        <v>0</v>
      </c>
      <c r="P49" s="13">
        <v>272.5</v>
      </c>
      <c r="Q49" s="13">
        <v>0</v>
      </c>
      <c r="R49" s="13">
        <v>0</v>
      </c>
      <c r="S49" s="13">
        <v>0</v>
      </c>
      <c r="T49" s="13"/>
      <c r="U49" s="13"/>
      <c r="V49" s="13">
        <v>700</v>
      </c>
      <c r="W49" s="13">
        <v>0</v>
      </c>
      <c r="X49" s="13">
        <v>0</v>
      </c>
      <c r="Y49" s="13">
        <v>0</v>
      </c>
      <c r="Z49" s="13">
        <v>200</v>
      </c>
      <c r="AA49" s="13">
        <v>0</v>
      </c>
      <c r="AB49" s="13">
        <v>0</v>
      </c>
      <c r="AC49" s="13">
        <v>0</v>
      </c>
      <c r="AD49" s="13">
        <v>0</v>
      </c>
      <c r="AE49" s="13">
        <v>0</v>
      </c>
      <c r="AF49" s="13">
        <v>0</v>
      </c>
      <c r="AG49" s="99">
        <f>SUM(F49:AF49)</f>
        <v>1172.5</v>
      </c>
      <c r="AH49" s="8">
        <v>46</v>
      </c>
    </row>
    <row r="50" spans="3:34" ht="15" x14ac:dyDescent="0.25">
      <c r="D50" s="8">
        <v>1071</v>
      </c>
      <c r="E50" s="8" t="s">
        <v>340</v>
      </c>
      <c r="F50" s="13">
        <v>0</v>
      </c>
      <c r="G50" s="13">
        <v>192000</v>
      </c>
      <c r="H50" s="13">
        <v>0</v>
      </c>
      <c r="I50" s="13">
        <v>800000</v>
      </c>
      <c r="J50" s="13">
        <v>0</v>
      </c>
      <c r="K50" s="13">
        <v>0</v>
      </c>
      <c r="L50" s="13">
        <v>0</v>
      </c>
      <c r="M50" s="13">
        <v>0</v>
      </c>
      <c r="N50" s="13">
        <v>0</v>
      </c>
      <c r="O50" s="13">
        <v>0</v>
      </c>
      <c r="P50" s="13">
        <v>6000000</v>
      </c>
      <c r="Q50" s="13">
        <v>0</v>
      </c>
      <c r="R50" s="13">
        <v>0</v>
      </c>
      <c r="S50" s="13">
        <v>0</v>
      </c>
      <c r="T50" s="13"/>
      <c r="U50" s="13"/>
      <c r="V50" s="13">
        <v>0</v>
      </c>
      <c r="W50" s="13">
        <v>0</v>
      </c>
      <c r="X50" s="13">
        <v>0</v>
      </c>
      <c r="Y50" s="13">
        <v>282000</v>
      </c>
      <c r="Z50" s="13">
        <v>0</v>
      </c>
      <c r="AA50" s="13">
        <v>0</v>
      </c>
      <c r="AB50" s="13">
        <v>0</v>
      </c>
      <c r="AC50" s="13">
        <v>0</v>
      </c>
      <c r="AD50" s="13">
        <v>0</v>
      </c>
      <c r="AE50" s="13">
        <v>0</v>
      </c>
      <c r="AF50" s="13">
        <v>0</v>
      </c>
      <c r="AG50" s="99">
        <f>SUM(F50:AF50)</f>
        <v>7274000</v>
      </c>
      <c r="AH50" s="8">
        <v>47</v>
      </c>
    </row>
    <row r="51" spans="3:34"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c r="U51" s="13"/>
      <c r="V51" s="13">
        <v>0</v>
      </c>
      <c r="W51" s="13">
        <v>0</v>
      </c>
      <c r="X51" s="13">
        <v>0</v>
      </c>
      <c r="Y51" s="13">
        <v>0</v>
      </c>
      <c r="Z51" s="13">
        <v>0</v>
      </c>
      <c r="AA51" s="13">
        <v>0</v>
      </c>
      <c r="AB51" s="13">
        <v>0</v>
      </c>
      <c r="AC51" s="13">
        <v>0</v>
      </c>
      <c r="AD51" s="13">
        <v>0</v>
      </c>
      <c r="AE51" s="13">
        <v>0</v>
      </c>
      <c r="AF51" s="13">
        <v>0</v>
      </c>
      <c r="AG51" s="99">
        <f>SUM(F51:AF51)</f>
        <v>0</v>
      </c>
      <c r="AH51" s="8">
        <v>48</v>
      </c>
    </row>
    <row r="52" spans="3:34"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c r="U52" s="13"/>
      <c r="V52" s="13">
        <v>0</v>
      </c>
      <c r="W52" s="13">
        <v>0</v>
      </c>
      <c r="X52" s="13">
        <v>0</v>
      </c>
      <c r="Y52" s="13">
        <v>0</v>
      </c>
      <c r="Z52" s="13">
        <v>0</v>
      </c>
      <c r="AA52" s="13">
        <v>0</v>
      </c>
      <c r="AB52" s="13">
        <v>0</v>
      </c>
      <c r="AC52" s="13">
        <v>0</v>
      </c>
      <c r="AD52" s="13">
        <v>0</v>
      </c>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2742298.35</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2999708.35</v>
      </c>
      <c r="AH54" s="8">
        <v>51</v>
      </c>
    </row>
    <row r="55" spans="3:34" ht="15" x14ac:dyDescent="0.25">
      <c r="D55" s="8">
        <v>1080</v>
      </c>
      <c r="E55" s="8" t="s">
        <v>344</v>
      </c>
      <c r="F55" s="13">
        <v>0</v>
      </c>
      <c r="G55" s="13">
        <v>0</v>
      </c>
      <c r="H55" s="13">
        <v>0</v>
      </c>
      <c r="I55" s="13">
        <v>0</v>
      </c>
      <c r="J55" s="13">
        <v>0</v>
      </c>
      <c r="K55" s="13">
        <v>0</v>
      </c>
      <c r="L55" s="13">
        <v>0</v>
      </c>
      <c r="M55" s="13">
        <v>0</v>
      </c>
      <c r="N55" s="13">
        <v>0</v>
      </c>
      <c r="O55" s="13">
        <v>0</v>
      </c>
      <c r="P55" s="13">
        <v>0</v>
      </c>
      <c r="Q55" s="13">
        <v>0</v>
      </c>
      <c r="R55" s="13">
        <v>0</v>
      </c>
      <c r="S55" s="13">
        <v>0</v>
      </c>
      <c r="T55" s="13"/>
      <c r="U55" s="13"/>
      <c r="V55" s="13">
        <v>0</v>
      </c>
      <c r="W55" s="13">
        <v>0</v>
      </c>
      <c r="X55" s="13">
        <v>0</v>
      </c>
      <c r="Y55" s="13">
        <v>0</v>
      </c>
      <c r="Z55" s="13">
        <v>257410</v>
      </c>
      <c r="AA55" s="13">
        <v>0</v>
      </c>
      <c r="AB55" s="13">
        <v>0</v>
      </c>
      <c r="AC55" s="13">
        <v>0</v>
      </c>
      <c r="AD55" s="13">
        <v>0</v>
      </c>
      <c r="AE55" s="13">
        <v>0</v>
      </c>
      <c r="AF55" s="13">
        <v>0</v>
      </c>
      <c r="AG55" s="99">
        <f t="shared" si="14"/>
        <v>257410</v>
      </c>
      <c r="AH55" s="8">
        <v>52</v>
      </c>
    </row>
    <row r="56" spans="3:34" ht="15" x14ac:dyDescent="0.25">
      <c r="D56" s="8">
        <v>1084</v>
      </c>
      <c r="E56" s="8" t="s">
        <v>345</v>
      </c>
      <c r="F56" s="13">
        <v>0</v>
      </c>
      <c r="G56" s="13">
        <v>0</v>
      </c>
      <c r="H56" s="13">
        <v>0</v>
      </c>
      <c r="I56" s="13">
        <v>0</v>
      </c>
      <c r="J56" s="13">
        <v>0</v>
      </c>
      <c r="K56" s="13">
        <v>0</v>
      </c>
      <c r="L56" s="13">
        <v>0</v>
      </c>
      <c r="M56" s="13">
        <v>0</v>
      </c>
      <c r="N56" s="13">
        <v>0</v>
      </c>
      <c r="O56" s="13">
        <v>0</v>
      </c>
      <c r="P56" s="13">
        <v>0</v>
      </c>
      <c r="Q56" s="13">
        <v>0</v>
      </c>
      <c r="R56" s="13">
        <v>0</v>
      </c>
      <c r="S56" s="13">
        <v>0</v>
      </c>
      <c r="T56" s="13"/>
      <c r="U56" s="13"/>
      <c r="V56" s="13">
        <v>2319265.25</v>
      </c>
      <c r="W56" s="13">
        <v>0</v>
      </c>
      <c r="X56" s="13">
        <v>0</v>
      </c>
      <c r="Y56" s="13">
        <v>0</v>
      </c>
      <c r="Z56" s="13">
        <v>0</v>
      </c>
      <c r="AA56" s="13">
        <v>0</v>
      </c>
      <c r="AB56" s="13">
        <v>0</v>
      </c>
      <c r="AC56" s="13">
        <v>0</v>
      </c>
      <c r="AD56" s="13">
        <v>0</v>
      </c>
      <c r="AE56" s="13">
        <v>0</v>
      </c>
      <c r="AF56" s="13">
        <v>0</v>
      </c>
      <c r="AG56" s="99">
        <f t="shared" si="14"/>
        <v>2319265.25</v>
      </c>
      <c r="AH56" s="8">
        <v>53</v>
      </c>
    </row>
    <row r="57" spans="3:34"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c r="U57" s="13"/>
      <c r="V57" s="13">
        <v>0</v>
      </c>
      <c r="W57" s="13">
        <v>0</v>
      </c>
      <c r="X57" s="13">
        <v>0</v>
      </c>
      <c r="Y57" s="13">
        <v>0</v>
      </c>
      <c r="Z57" s="13">
        <v>0</v>
      </c>
      <c r="AA57" s="13">
        <v>0</v>
      </c>
      <c r="AB57" s="13">
        <v>0</v>
      </c>
      <c r="AC57" s="13">
        <v>0</v>
      </c>
      <c r="AD57" s="13">
        <v>0</v>
      </c>
      <c r="AE57" s="13">
        <v>0</v>
      </c>
      <c r="AF57" s="13">
        <v>0</v>
      </c>
      <c r="AG57" s="99">
        <f t="shared" si="14"/>
        <v>0</v>
      </c>
      <c r="AH57" s="8">
        <v>54</v>
      </c>
    </row>
    <row r="58" spans="3:34" ht="15" x14ac:dyDescent="0.25">
      <c r="D58" s="8">
        <v>1087</v>
      </c>
      <c r="E58" s="8" t="s">
        <v>347</v>
      </c>
      <c r="F58" s="13">
        <v>0</v>
      </c>
      <c r="G58" s="13">
        <v>0</v>
      </c>
      <c r="H58" s="13">
        <v>0</v>
      </c>
      <c r="I58" s="13">
        <v>0</v>
      </c>
      <c r="J58" s="13">
        <v>0</v>
      </c>
      <c r="K58" s="13">
        <v>0</v>
      </c>
      <c r="L58" s="13">
        <v>0</v>
      </c>
      <c r="M58" s="13">
        <v>0</v>
      </c>
      <c r="N58" s="13">
        <v>0</v>
      </c>
      <c r="O58" s="13">
        <v>0</v>
      </c>
      <c r="P58" s="13">
        <v>0</v>
      </c>
      <c r="Q58" s="13">
        <v>0</v>
      </c>
      <c r="R58" s="13">
        <v>0</v>
      </c>
      <c r="S58" s="13">
        <v>0</v>
      </c>
      <c r="T58" s="13"/>
      <c r="U58" s="13"/>
      <c r="V58" s="13">
        <v>423033.1</v>
      </c>
      <c r="W58" s="13">
        <v>0</v>
      </c>
      <c r="X58" s="13">
        <v>0</v>
      </c>
      <c r="Y58" s="13">
        <v>0</v>
      </c>
      <c r="Z58" s="13">
        <v>0</v>
      </c>
      <c r="AA58" s="13">
        <v>0</v>
      </c>
      <c r="AB58" s="13">
        <v>0</v>
      </c>
      <c r="AC58" s="13">
        <v>0</v>
      </c>
      <c r="AD58" s="13">
        <v>0</v>
      </c>
      <c r="AE58" s="13">
        <v>0</v>
      </c>
      <c r="AF58" s="13">
        <v>0</v>
      </c>
      <c r="AG58" s="99">
        <f t="shared" si="14"/>
        <v>423033.1</v>
      </c>
      <c r="AH58" s="8">
        <v>55</v>
      </c>
    </row>
    <row r="59" spans="3:34"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c r="U59" s="13"/>
      <c r="V59" s="13">
        <v>0</v>
      </c>
      <c r="W59" s="13">
        <v>0</v>
      </c>
      <c r="X59" s="13">
        <v>0</v>
      </c>
      <c r="Y59" s="13">
        <v>0</v>
      </c>
      <c r="Z59" s="13">
        <v>0</v>
      </c>
      <c r="AA59" s="13">
        <v>0</v>
      </c>
      <c r="AB59" s="13">
        <v>0</v>
      </c>
      <c r="AC59" s="13">
        <v>0</v>
      </c>
      <c r="AD59" s="13">
        <v>0</v>
      </c>
      <c r="AE59" s="13">
        <v>0</v>
      </c>
      <c r="AF59" s="13">
        <v>0</v>
      </c>
      <c r="AG59" s="99">
        <f t="shared" si="14"/>
        <v>0</v>
      </c>
      <c r="AH59" s="8">
        <v>56</v>
      </c>
    </row>
    <row r="60" spans="3:34"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c r="U60" s="13"/>
      <c r="V60" s="13">
        <v>0</v>
      </c>
      <c r="W60" s="13">
        <v>0</v>
      </c>
      <c r="X60" s="13">
        <v>0</v>
      </c>
      <c r="Y60" s="13">
        <v>0</v>
      </c>
      <c r="Z60" s="13">
        <v>0</v>
      </c>
      <c r="AA60" s="13">
        <v>0</v>
      </c>
      <c r="AB60" s="13">
        <v>0</v>
      </c>
      <c r="AC60" s="13">
        <v>0</v>
      </c>
      <c r="AD60" s="13">
        <v>0</v>
      </c>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c r="U63" s="13"/>
      <c r="V63" s="13">
        <v>0</v>
      </c>
      <c r="W63" s="13">
        <v>0</v>
      </c>
      <c r="X63" s="13">
        <v>0</v>
      </c>
      <c r="Y63" s="13">
        <v>0</v>
      </c>
      <c r="Z63" s="13">
        <v>0</v>
      </c>
      <c r="AA63" s="13">
        <v>0</v>
      </c>
      <c r="AB63" s="13">
        <v>0</v>
      </c>
      <c r="AC63" s="13">
        <v>0</v>
      </c>
      <c r="AD63" s="13">
        <v>0</v>
      </c>
      <c r="AE63" s="13">
        <v>0</v>
      </c>
      <c r="AF63" s="13">
        <v>0</v>
      </c>
      <c r="AG63" s="99">
        <f>SUM(F63:AF63)</f>
        <v>0</v>
      </c>
      <c r="AH63" s="8">
        <v>60</v>
      </c>
    </row>
    <row r="64" spans="3:34"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c r="U64" s="13"/>
      <c r="V64" s="13">
        <v>0</v>
      </c>
      <c r="W64" s="13">
        <v>0</v>
      </c>
      <c r="X64" s="13">
        <v>0</v>
      </c>
      <c r="Y64" s="13">
        <v>0</v>
      </c>
      <c r="Z64" s="13">
        <v>0</v>
      </c>
      <c r="AA64" s="13">
        <v>0</v>
      </c>
      <c r="AB64" s="13">
        <v>0</v>
      </c>
      <c r="AC64" s="13">
        <v>0</v>
      </c>
      <c r="AD64" s="13">
        <v>0</v>
      </c>
      <c r="AE64" s="13">
        <v>0</v>
      </c>
      <c r="AF64" s="13">
        <v>0</v>
      </c>
      <c r="AG64" s="99">
        <f>SUM(F64:AF64)</f>
        <v>0</v>
      </c>
      <c r="AH64" s="8">
        <v>61</v>
      </c>
    </row>
    <row r="65" spans="2:34"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c r="U65" s="13"/>
      <c r="V65" s="13">
        <v>0</v>
      </c>
      <c r="W65" s="13">
        <v>0</v>
      </c>
      <c r="X65" s="13">
        <v>0</v>
      </c>
      <c r="Y65" s="13">
        <v>0</v>
      </c>
      <c r="Z65" s="13">
        <v>0</v>
      </c>
      <c r="AA65" s="13">
        <v>0</v>
      </c>
      <c r="AB65" s="13">
        <v>0</v>
      </c>
      <c r="AC65" s="13">
        <v>0</v>
      </c>
      <c r="AD65" s="13">
        <v>0</v>
      </c>
      <c r="AE65" s="13">
        <v>0</v>
      </c>
      <c r="AF65" s="13">
        <v>0</v>
      </c>
      <c r="AG65" s="99">
        <f>SUM(F65:AF65)</f>
        <v>0</v>
      </c>
      <c r="AH65" s="8">
        <v>62</v>
      </c>
    </row>
    <row r="66" spans="2:34"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c r="U66" s="13"/>
      <c r="V66" s="13">
        <v>0</v>
      </c>
      <c r="W66" s="13">
        <v>0</v>
      </c>
      <c r="X66" s="13">
        <v>0</v>
      </c>
      <c r="Y66" s="13">
        <v>0</v>
      </c>
      <c r="Z66" s="13">
        <v>0</v>
      </c>
      <c r="AA66" s="13">
        <v>0</v>
      </c>
      <c r="AB66" s="13">
        <v>0</v>
      </c>
      <c r="AC66" s="13">
        <v>0</v>
      </c>
      <c r="AD66" s="13">
        <v>0</v>
      </c>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789649.23</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120579797.19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147932</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119436426.71000001</v>
      </c>
      <c r="AH69" s="8">
        <v>66</v>
      </c>
    </row>
    <row r="70" spans="2:34" ht="15" x14ac:dyDescent="0.25">
      <c r="D70" s="8">
        <v>1400</v>
      </c>
      <c r="E70" s="8" t="s">
        <v>354</v>
      </c>
      <c r="F70" s="13">
        <v>0</v>
      </c>
      <c r="G70" s="13">
        <v>0</v>
      </c>
      <c r="H70" s="13">
        <v>0</v>
      </c>
      <c r="I70" s="13">
        <v>0</v>
      </c>
      <c r="J70" s="13">
        <v>147932</v>
      </c>
      <c r="K70" s="13">
        <v>0</v>
      </c>
      <c r="L70" s="13">
        <v>0</v>
      </c>
      <c r="M70" s="13">
        <v>0</v>
      </c>
      <c r="N70" s="13">
        <v>0</v>
      </c>
      <c r="O70" s="13">
        <v>0</v>
      </c>
      <c r="P70" s="13">
        <v>0</v>
      </c>
      <c r="Q70" s="13">
        <v>0</v>
      </c>
      <c r="R70" s="13">
        <v>24800</v>
      </c>
      <c r="S70" s="13">
        <v>0</v>
      </c>
      <c r="T70" s="13"/>
      <c r="U70" s="13"/>
      <c r="V70" s="13">
        <v>0</v>
      </c>
      <c r="W70" s="13">
        <v>0</v>
      </c>
      <c r="X70" s="13">
        <v>0</v>
      </c>
      <c r="Y70" s="13">
        <v>16120</v>
      </c>
      <c r="Z70" s="13">
        <v>0</v>
      </c>
      <c r="AA70" s="13">
        <v>0</v>
      </c>
      <c r="AB70" s="13">
        <v>0</v>
      </c>
      <c r="AC70" s="13">
        <v>0</v>
      </c>
      <c r="AD70" s="13">
        <v>0</v>
      </c>
      <c r="AE70" s="13">
        <v>0</v>
      </c>
      <c r="AF70" s="13">
        <v>4317</v>
      </c>
      <c r="AG70" s="99">
        <f t="shared" si="17"/>
        <v>193169</v>
      </c>
      <c r="AH70" s="8">
        <v>67</v>
      </c>
    </row>
    <row r="71" spans="2:34" ht="15" x14ac:dyDescent="0.25">
      <c r="D71" s="8">
        <v>1401</v>
      </c>
      <c r="E71" s="8" t="s">
        <v>355</v>
      </c>
      <c r="F71" s="13">
        <v>0</v>
      </c>
      <c r="G71" s="13">
        <v>0</v>
      </c>
      <c r="H71" s="13">
        <v>0</v>
      </c>
      <c r="I71" s="13">
        <v>321913.7</v>
      </c>
      <c r="J71" s="13">
        <v>0</v>
      </c>
      <c r="K71" s="13">
        <v>0</v>
      </c>
      <c r="L71" s="13">
        <v>0</v>
      </c>
      <c r="M71" s="13">
        <v>0</v>
      </c>
      <c r="N71" s="13">
        <v>0</v>
      </c>
      <c r="O71" s="13">
        <v>0</v>
      </c>
      <c r="P71" s="13">
        <v>0</v>
      </c>
      <c r="Q71" s="13">
        <v>0</v>
      </c>
      <c r="R71" s="13">
        <v>0</v>
      </c>
      <c r="S71" s="13">
        <v>0</v>
      </c>
      <c r="T71" s="13"/>
      <c r="U71" s="13"/>
      <c r="V71" s="13">
        <v>0</v>
      </c>
      <c r="W71" s="13">
        <v>0</v>
      </c>
      <c r="X71" s="13">
        <v>0</v>
      </c>
      <c r="Y71" s="13">
        <v>0</v>
      </c>
      <c r="Z71" s="13">
        <v>0</v>
      </c>
      <c r="AA71" s="13">
        <v>0</v>
      </c>
      <c r="AB71" s="13">
        <v>0</v>
      </c>
      <c r="AC71" s="13">
        <v>0</v>
      </c>
      <c r="AD71" s="13">
        <v>0</v>
      </c>
      <c r="AE71" s="13">
        <v>0</v>
      </c>
      <c r="AF71" s="13">
        <v>0</v>
      </c>
      <c r="AG71" s="99">
        <f t="shared" si="17"/>
        <v>321913.7</v>
      </c>
      <c r="AH71" s="8">
        <v>68</v>
      </c>
    </row>
    <row r="72" spans="2:34" ht="15" x14ac:dyDescent="0.25">
      <c r="D72" s="8">
        <v>1402</v>
      </c>
      <c r="E72" s="8" t="s">
        <v>356</v>
      </c>
      <c r="F72" s="13">
        <v>0</v>
      </c>
      <c r="G72" s="13">
        <v>75652.44</v>
      </c>
      <c r="H72" s="13">
        <v>0</v>
      </c>
      <c r="I72" s="13">
        <v>0</v>
      </c>
      <c r="J72" s="13">
        <v>0</v>
      </c>
      <c r="K72" s="13">
        <v>0</v>
      </c>
      <c r="L72" s="13">
        <v>0</v>
      </c>
      <c r="M72" s="13">
        <v>0</v>
      </c>
      <c r="N72" s="13">
        <v>0</v>
      </c>
      <c r="O72" s="13">
        <v>0</v>
      </c>
      <c r="P72" s="13">
        <v>0</v>
      </c>
      <c r="Q72" s="13">
        <v>0</v>
      </c>
      <c r="R72" s="13">
        <v>0</v>
      </c>
      <c r="S72" s="13">
        <v>0</v>
      </c>
      <c r="T72" s="13"/>
      <c r="U72" s="13"/>
      <c r="V72" s="13">
        <v>0</v>
      </c>
      <c r="W72" s="13">
        <v>0</v>
      </c>
      <c r="X72" s="13">
        <v>0</v>
      </c>
      <c r="Y72" s="13">
        <v>0</v>
      </c>
      <c r="Z72" s="13">
        <v>0</v>
      </c>
      <c r="AA72" s="13">
        <v>0</v>
      </c>
      <c r="AB72" s="13">
        <v>0</v>
      </c>
      <c r="AC72" s="13">
        <v>0</v>
      </c>
      <c r="AD72" s="13">
        <v>0</v>
      </c>
      <c r="AE72" s="13">
        <v>0</v>
      </c>
      <c r="AF72" s="13">
        <v>0</v>
      </c>
      <c r="AG72" s="99">
        <f t="shared" si="17"/>
        <v>75652.44</v>
      </c>
      <c r="AH72" s="8">
        <v>69</v>
      </c>
    </row>
    <row r="73" spans="2:34" ht="15" x14ac:dyDescent="0.25">
      <c r="D73" s="8">
        <v>1403</v>
      </c>
      <c r="E73" s="8" t="s">
        <v>357</v>
      </c>
      <c r="F73" s="13">
        <v>0</v>
      </c>
      <c r="G73" s="13">
        <v>57927432.75</v>
      </c>
      <c r="H73" s="13">
        <v>0</v>
      </c>
      <c r="I73" s="13">
        <v>1510371.15</v>
      </c>
      <c r="J73" s="13">
        <v>0</v>
      </c>
      <c r="K73" s="13">
        <v>0</v>
      </c>
      <c r="L73" s="13">
        <v>0</v>
      </c>
      <c r="M73" s="13">
        <v>2569539.7999999998</v>
      </c>
      <c r="N73" s="13">
        <v>0</v>
      </c>
      <c r="O73" s="13">
        <v>0</v>
      </c>
      <c r="P73" s="13">
        <v>0</v>
      </c>
      <c r="Q73" s="13">
        <v>0</v>
      </c>
      <c r="R73" s="13">
        <v>0</v>
      </c>
      <c r="S73" s="13">
        <v>0</v>
      </c>
      <c r="T73" s="13"/>
      <c r="U73" s="13"/>
      <c r="V73" s="13">
        <v>0</v>
      </c>
      <c r="W73" s="13">
        <v>0</v>
      </c>
      <c r="X73" s="13">
        <v>0</v>
      </c>
      <c r="Y73" s="13">
        <v>83740</v>
      </c>
      <c r="Z73" s="13">
        <v>1397540.65</v>
      </c>
      <c r="AA73" s="13">
        <v>1487193.65</v>
      </c>
      <c r="AB73" s="13">
        <v>196480</v>
      </c>
      <c r="AC73" s="13">
        <v>0</v>
      </c>
      <c r="AD73" s="13">
        <v>0</v>
      </c>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v>0</v>
      </c>
      <c r="K74" s="13">
        <v>3222700.25</v>
      </c>
      <c r="L74" s="13">
        <v>190500</v>
      </c>
      <c r="M74" s="13">
        <v>0</v>
      </c>
      <c r="N74" s="13">
        <v>0</v>
      </c>
      <c r="O74" s="13">
        <v>0</v>
      </c>
      <c r="P74" s="13">
        <v>48887.1</v>
      </c>
      <c r="Q74" s="13">
        <v>41297.199999999997</v>
      </c>
      <c r="R74" s="13">
        <v>0</v>
      </c>
      <c r="S74" s="13">
        <v>2200</v>
      </c>
      <c r="T74" s="13"/>
      <c r="U74" s="13"/>
      <c r="V74" s="13">
        <v>0</v>
      </c>
      <c r="W74" s="13">
        <v>1355034.64</v>
      </c>
      <c r="X74" s="13">
        <v>0</v>
      </c>
      <c r="Y74" s="13">
        <v>471001</v>
      </c>
      <c r="Z74" s="13">
        <v>20560582.379999999</v>
      </c>
      <c r="AA74" s="13">
        <v>220697.05</v>
      </c>
      <c r="AB74" s="13">
        <v>1077790</v>
      </c>
      <c r="AC74" s="13">
        <v>0</v>
      </c>
      <c r="AD74" s="13">
        <v>0</v>
      </c>
      <c r="AE74" s="13">
        <v>7733645.4500000002</v>
      </c>
      <c r="AF74" s="13">
        <v>0</v>
      </c>
      <c r="AG74" s="99">
        <f t="shared" si="17"/>
        <v>44275312.32</v>
      </c>
      <c r="AH74" s="8">
        <v>71</v>
      </c>
    </row>
    <row r="75" spans="2:34" ht="15" x14ac:dyDescent="0.25">
      <c r="D75" s="8">
        <v>1405</v>
      </c>
      <c r="E75" s="8" t="s">
        <v>359</v>
      </c>
      <c r="F75" s="13">
        <v>0</v>
      </c>
      <c r="G75" s="13">
        <v>0</v>
      </c>
      <c r="H75" s="13">
        <v>0</v>
      </c>
      <c r="I75" s="13">
        <v>0</v>
      </c>
      <c r="J75" s="13">
        <v>0</v>
      </c>
      <c r="K75" s="13">
        <v>0</v>
      </c>
      <c r="L75" s="13">
        <v>0</v>
      </c>
      <c r="M75" s="13">
        <v>0</v>
      </c>
      <c r="N75" s="13">
        <v>0</v>
      </c>
      <c r="O75" s="13">
        <v>0</v>
      </c>
      <c r="P75" s="13">
        <v>0</v>
      </c>
      <c r="Q75" s="13">
        <v>0</v>
      </c>
      <c r="R75" s="13">
        <v>0</v>
      </c>
      <c r="S75" s="13">
        <v>0</v>
      </c>
      <c r="T75" s="13"/>
      <c r="U75" s="13"/>
      <c r="V75" s="13">
        <v>0</v>
      </c>
      <c r="W75" s="13">
        <v>0</v>
      </c>
      <c r="X75" s="13">
        <v>0</v>
      </c>
      <c r="Y75" s="13">
        <v>0</v>
      </c>
      <c r="Z75" s="13">
        <v>0</v>
      </c>
      <c r="AA75" s="13">
        <v>0</v>
      </c>
      <c r="AB75" s="13">
        <v>0</v>
      </c>
      <c r="AC75" s="13">
        <v>0</v>
      </c>
      <c r="AD75" s="13">
        <v>0</v>
      </c>
      <c r="AE75" s="13">
        <v>0</v>
      </c>
      <c r="AF75" s="13">
        <v>0</v>
      </c>
      <c r="AG75" s="99">
        <f t="shared" si="17"/>
        <v>0</v>
      </c>
      <c r="AH75" s="8">
        <v>72</v>
      </c>
    </row>
    <row r="76" spans="2:34" ht="15" x14ac:dyDescent="0.25">
      <c r="D76" s="8">
        <v>1406</v>
      </c>
      <c r="E76" s="8" t="s">
        <v>360</v>
      </c>
      <c r="F76" s="13">
        <v>0</v>
      </c>
      <c r="G76" s="13">
        <v>453577.12</v>
      </c>
      <c r="H76" s="13">
        <v>1</v>
      </c>
      <c r="I76" s="13">
        <v>493946.1</v>
      </c>
      <c r="J76" s="13">
        <v>0</v>
      </c>
      <c r="K76" s="13">
        <v>143158.81</v>
      </c>
      <c r="L76" s="13">
        <v>256770</v>
      </c>
      <c r="M76" s="13">
        <v>0</v>
      </c>
      <c r="N76" s="13">
        <v>0</v>
      </c>
      <c r="O76" s="13">
        <v>0</v>
      </c>
      <c r="P76" s="13">
        <v>0</v>
      </c>
      <c r="Q76" s="13">
        <v>0</v>
      </c>
      <c r="R76" s="13">
        <v>0</v>
      </c>
      <c r="S76" s="13">
        <v>0</v>
      </c>
      <c r="T76" s="13"/>
      <c r="U76" s="13"/>
      <c r="V76" s="13">
        <v>0</v>
      </c>
      <c r="W76" s="13">
        <v>0</v>
      </c>
      <c r="X76" s="13">
        <v>0</v>
      </c>
      <c r="Y76" s="13">
        <v>1</v>
      </c>
      <c r="Z76" s="13">
        <v>184161.91</v>
      </c>
      <c r="AA76" s="13">
        <v>100</v>
      </c>
      <c r="AB76" s="13">
        <v>21325.3</v>
      </c>
      <c r="AC76" s="13">
        <v>0</v>
      </c>
      <c r="AD76" s="13">
        <v>0</v>
      </c>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v>0</v>
      </c>
      <c r="K77" s="13">
        <v>0</v>
      </c>
      <c r="L77" s="13">
        <v>0</v>
      </c>
      <c r="M77" s="13">
        <v>1138461.42</v>
      </c>
      <c r="N77" s="13">
        <v>0</v>
      </c>
      <c r="O77" s="13">
        <v>0</v>
      </c>
      <c r="P77" s="13">
        <v>4982329.05</v>
      </c>
      <c r="Q77" s="13">
        <v>0</v>
      </c>
      <c r="R77" s="13">
        <v>0</v>
      </c>
      <c r="S77" s="13">
        <v>0</v>
      </c>
      <c r="T77" s="13"/>
      <c r="U77" s="13"/>
      <c r="V77" s="13">
        <v>0</v>
      </c>
      <c r="W77" s="13">
        <v>0</v>
      </c>
      <c r="X77" s="13">
        <v>0</v>
      </c>
      <c r="Y77" s="13">
        <v>0</v>
      </c>
      <c r="Z77" s="13">
        <v>0</v>
      </c>
      <c r="AA77" s="13">
        <v>0</v>
      </c>
      <c r="AB77" s="13">
        <v>1386880.34</v>
      </c>
      <c r="AC77" s="13">
        <v>0</v>
      </c>
      <c r="AD77" s="13">
        <v>0</v>
      </c>
      <c r="AE77" s="13">
        <v>0</v>
      </c>
      <c r="AF77" s="13">
        <v>0</v>
      </c>
      <c r="AG77" s="99">
        <f t="shared" si="17"/>
        <v>7783656.709999999</v>
      </c>
      <c r="AH77" s="8">
        <v>74</v>
      </c>
    </row>
    <row r="78" spans="2:34"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c r="U78" s="13"/>
      <c r="V78" s="13">
        <v>0</v>
      </c>
      <c r="W78" s="13">
        <v>0</v>
      </c>
      <c r="X78" s="13">
        <v>0</v>
      </c>
      <c r="Y78" s="13">
        <v>0</v>
      </c>
      <c r="Z78" s="13">
        <v>0</v>
      </c>
      <c r="AA78" s="13">
        <v>0</v>
      </c>
      <c r="AB78" s="13">
        <v>0</v>
      </c>
      <c r="AC78" s="13">
        <v>0</v>
      </c>
      <c r="AD78" s="13">
        <v>0</v>
      </c>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641717.23</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1143368.4800000002</v>
      </c>
      <c r="AH80" s="8">
        <v>77</v>
      </c>
    </row>
    <row r="81" spans="3:34" ht="15" x14ac:dyDescent="0.25">
      <c r="D81" s="17">
        <v>1420</v>
      </c>
      <c r="E81" s="17" t="s">
        <v>363</v>
      </c>
      <c r="F81" s="13">
        <v>0</v>
      </c>
      <c r="G81" s="13">
        <v>0</v>
      </c>
      <c r="H81" s="13">
        <v>0</v>
      </c>
      <c r="I81" s="13">
        <v>14000</v>
      </c>
      <c r="J81" s="13">
        <v>0</v>
      </c>
      <c r="K81" s="13">
        <v>0</v>
      </c>
      <c r="L81" s="13">
        <v>0</v>
      </c>
      <c r="M81" s="13">
        <v>44</v>
      </c>
      <c r="N81" s="13">
        <v>0</v>
      </c>
      <c r="O81" s="13">
        <v>0</v>
      </c>
      <c r="P81" s="13">
        <v>8100</v>
      </c>
      <c r="Q81" s="13">
        <v>0</v>
      </c>
      <c r="R81" s="13">
        <v>0</v>
      </c>
      <c r="S81" s="13">
        <v>0</v>
      </c>
      <c r="T81" s="13"/>
      <c r="U81" s="13"/>
      <c r="V81" s="13">
        <v>0</v>
      </c>
      <c r="W81" s="13">
        <v>0</v>
      </c>
      <c r="X81" s="13">
        <v>0</v>
      </c>
      <c r="Y81" s="13">
        <v>0</v>
      </c>
      <c r="Z81" s="13">
        <v>0</v>
      </c>
      <c r="AA81" s="13">
        <v>0</v>
      </c>
      <c r="AB81" s="13">
        <v>0</v>
      </c>
      <c r="AC81" s="13">
        <v>0</v>
      </c>
      <c r="AD81" s="13">
        <v>0</v>
      </c>
      <c r="AE81" s="13">
        <v>0</v>
      </c>
      <c r="AF81" s="13">
        <v>0</v>
      </c>
      <c r="AG81" s="99">
        <f>SUM(F81:AF81)</f>
        <v>22144</v>
      </c>
      <c r="AH81" s="8">
        <v>78</v>
      </c>
    </row>
    <row r="82" spans="3:34"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c r="U82" s="13"/>
      <c r="V82" s="13">
        <v>0</v>
      </c>
      <c r="W82" s="13">
        <v>0</v>
      </c>
      <c r="X82" s="13">
        <v>0</v>
      </c>
      <c r="Y82" s="13">
        <v>0</v>
      </c>
      <c r="Z82" s="13">
        <v>0</v>
      </c>
      <c r="AA82" s="13">
        <v>0</v>
      </c>
      <c r="AB82" s="13">
        <v>0</v>
      </c>
      <c r="AC82" s="13">
        <v>0</v>
      </c>
      <c r="AD82" s="13">
        <v>0</v>
      </c>
      <c r="AE82" s="13">
        <v>0</v>
      </c>
      <c r="AF82" s="13">
        <v>0</v>
      </c>
      <c r="AG82" s="99">
        <f>SUM(F82:AF82)</f>
        <v>0</v>
      </c>
      <c r="AH82" s="8">
        <v>79</v>
      </c>
    </row>
    <row r="83" spans="3:34" ht="15" x14ac:dyDescent="0.25">
      <c r="D83" s="17">
        <v>1427</v>
      </c>
      <c r="E83" s="17" t="s">
        <v>576</v>
      </c>
      <c r="F83" s="13">
        <v>0</v>
      </c>
      <c r="G83" s="13">
        <v>0</v>
      </c>
      <c r="H83" s="13">
        <v>0</v>
      </c>
      <c r="I83" s="13">
        <v>0</v>
      </c>
      <c r="J83" s="13">
        <v>0</v>
      </c>
      <c r="K83" s="13">
        <v>0</v>
      </c>
      <c r="L83" s="13">
        <v>0</v>
      </c>
      <c r="M83" s="13">
        <v>0</v>
      </c>
      <c r="N83" s="13">
        <v>0</v>
      </c>
      <c r="O83" s="13">
        <v>0</v>
      </c>
      <c r="P83" s="13">
        <v>358505.15</v>
      </c>
      <c r="Q83" s="13">
        <v>0</v>
      </c>
      <c r="R83" s="13">
        <v>0</v>
      </c>
      <c r="S83" s="13">
        <v>0</v>
      </c>
      <c r="T83" s="13"/>
      <c r="U83" s="13"/>
      <c r="V83" s="13">
        <v>0</v>
      </c>
      <c r="W83" s="13">
        <v>0</v>
      </c>
      <c r="X83" s="13">
        <v>0</v>
      </c>
      <c r="Y83" s="13">
        <v>0</v>
      </c>
      <c r="Z83" s="13">
        <v>0</v>
      </c>
      <c r="AA83" s="13">
        <v>0</v>
      </c>
      <c r="AB83" s="13">
        <v>0</v>
      </c>
      <c r="AC83" s="13">
        <v>0</v>
      </c>
      <c r="AD83" s="13">
        <v>0</v>
      </c>
      <c r="AE83" s="13">
        <v>0</v>
      </c>
      <c r="AF83" s="13">
        <v>0</v>
      </c>
      <c r="AG83" s="99">
        <f>SUM(F83:AF83)</f>
        <v>358505.15</v>
      </c>
      <c r="AH83" s="8">
        <v>80</v>
      </c>
    </row>
    <row r="84" spans="3:34" ht="15" x14ac:dyDescent="0.25">
      <c r="D84" s="17">
        <v>1429</v>
      </c>
      <c r="E84" s="17" t="s">
        <v>462</v>
      </c>
      <c r="F84" s="13">
        <v>0</v>
      </c>
      <c r="G84" s="13">
        <v>0</v>
      </c>
      <c r="H84" s="13">
        <v>0</v>
      </c>
      <c r="I84" s="18">
        <v>0</v>
      </c>
      <c r="J84" s="13">
        <v>641717.23</v>
      </c>
      <c r="K84" s="13">
        <v>0</v>
      </c>
      <c r="L84" s="13">
        <v>0</v>
      </c>
      <c r="M84" s="13">
        <v>47488.3</v>
      </c>
      <c r="N84" s="13">
        <v>0</v>
      </c>
      <c r="O84" s="13">
        <v>0</v>
      </c>
      <c r="P84" s="13">
        <v>0</v>
      </c>
      <c r="Q84" s="13">
        <v>0</v>
      </c>
      <c r="R84" s="13">
        <v>0</v>
      </c>
      <c r="S84" s="13">
        <v>0</v>
      </c>
      <c r="T84" s="13"/>
      <c r="U84" s="13"/>
      <c r="V84" s="13">
        <v>0</v>
      </c>
      <c r="W84" s="13">
        <v>0</v>
      </c>
      <c r="X84" s="13">
        <v>0</v>
      </c>
      <c r="Y84" s="13">
        <v>0</v>
      </c>
      <c r="Z84" s="13">
        <v>0</v>
      </c>
      <c r="AA84" s="13">
        <v>73513.8</v>
      </c>
      <c r="AB84" s="13">
        <v>0</v>
      </c>
      <c r="AC84" s="13">
        <v>0</v>
      </c>
      <c r="AD84" s="13">
        <v>0</v>
      </c>
      <c r="AE84" s="13">
        <v>0</v>
      </c>
      <c r="AF84" s="13">
        <v>0</v>
      </c>
      <c r="AG84" s="99">
        <f>SUM(F84:AF84)</f>
        <v>762719.33000000007</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c r="U87" s="13"/>
      <c r="V87" s="13">
        <v>0</v>
      </c>
      <c r="W87" s="13">
        <v>0</v>
      </c>
      <c r="X87" s="13">
        <v>0</v>
      </c>
      <c r="Y87" s="13">
        <v>0</v>
      </c>
      <c r="Z87" s="13">
        <v>0</v>
      </c>
      <c r="AA87" s="13">
        <v>0</v>
      </c>
      <c r="AB87" s="13">
        <v>0</v>
      </c>
      <c r="AC87" s="13">
        <v>0</v>
      </c>
      <c r="AD87" s="13">
        <v>0</v>
      </c>
      <c r="AE87" s="13">
        <v>0</v>
      </c>
      <c r="AF87" s="13">
        <v>0</v>
      </c>
      <c r="AG87" s="99">
        <f t="shared" si="22"/>
        <v>0</v>
      </c>
      <c r="AH87" s="8">
        <v>84</v>
      </c>
    </row>
    <row r="88" spans="3:34"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c r="U88" s="13"/>
      <c r="V88" s="13">
        <v>0</v>
      </c>
      <c r="W88" s="13">
        <v>0</v>
      </c>
      <c r="X88" s="13">
        <v>0</v>
      </c>
      <c r="Y88" s="13">
        <v>0</v>
      </c>
      <c r="Z88" s="13">
        <v>0</v>
      </c>
      <c r="AA88" s="13">
        <v>0</v>
      </c>
      <c r="AB88" s="13">
        <v>0</v>
      </c>
      <c r="AC88" s="13">
        <v>0</v>
      </c>
      <c r="AD88" s="13">
        <v>0</v>
      </c>
      <c r="AE88" s="13">
        <v>0</v>
      </c>
      <c r="AF88" s="13">
        <v>0</v>
      </c>
      <c r="AG88" s="99">
        <f t="shared" si="22"/>
        <v>0</v>
      </c>
      <c r="AH88" s="8">
        <v>85</v>
      </c>
    </row>
    <row r="89" spans="3:34" ht="15" x14ac:dyDescent="0.25">
      <c r="D89" s="8">
        <v>1442</v>
      </c>
      <c r="E89" s="8" t="s">
        <v>366</v>
      </c>
      <c r="F89" s="13">
        <v>0</v>
      </c>
      <c r="G89" s="13">
        <v>0</v>
      </c>
      <c r="H89" s="13">
        <v>0</v>
      </c>
      <c r="I89" s="13">
        <v>0</v>
      </c>
      <c r="J89" s="13">
        <v>0</v>
      </c>
      <c r="K89" s="13">
        <v>0</v>
      </c>
      <c r="L89" s="13">
        <v>0</v>
      </c>
      <c r="M89" s="13">
        <v>0</v>
      </c>
      <c r="N89" s="13">
        <v>0</v>
      </c>
      <c r="O89" s="13">
        <v>0</v>
      </c>
      <c r="P89" s="13">
        <v>0</v>
      </c>
      <c r="Q89" s="13">
        <v>0</v>
      </c>
      <c r="R89" s="13">
        <v>0</v>
      </c>
      <c r="S89" s="13">
        <v>0</v>
      </c>
      <c r="T89" s="13"/>
      <c r="U89" s="13"/>
      <c r="V89" s="13">
        <v>0</v>
      </c>
      <c r="W89" s="13">
        <v>0</v>
      </c>
      <c r="X89" s="13">
        <v>0</v>
      </c>
      <c r="Y89" s="13">
        <v>0</v>
      </c>
      <c r="Z89" s="13">
        <v>0</v>
      </c>
      <c r="AA89" s="13">
        <v>0</v>
      </c>
      <c r="AB89" s="13">
        <v>0</v>
      </c>
      <c r="AC89" s="13">
        <v>0</v>
      </c>
      <c r="AD89" s="13">
        <v>0</v>
      </c>
      <c r="AE89" s="13">
        <v>0</v>
      </c>
      <c r="AF89" s="13">
        <v>0</v>
      </c>
      <c r="AG89" s="99">
        <f t="shared" si="22"/>
        <v>0</v>
      </c>
      <c r="AH89" s="8">
        <v>86</v>
      </c>
    </row>
    <row r="90" spans="3:34"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c r="U90" s="13"/>
      <c r="V90" s="13">
        <v>0</v>
      </c>
      <c r="W90" s="13">
        <v>0</v>
      </c>
      <c r="X90" s="13">
        <v>0</v>
      </c>
      <c r="Y90" s="13">
        <v>0</v>
      </c>
      <c r="Z90" s="13">
        <v>0</v>
      </c>
      <c r="AA90" s="13">
        <v>0</v>
      </c>
      <c r="AB90" s="13">
        <v>0</v>
      </c>
      <c r="AC90" s="13">
        <v>0</v>
      </c>
      <c r="AD90" s="13">
        <v>0</v>
      </c>
      <c r="AE90" s="13">
        <v>0</v>
      </c>
      <c r="AF90" s="13">
        <v>0</v>
      </c>
      <c r="AG90" s="99">
        <f t="shared" si="22"/>
        <v>0</v>
      </c>
      <c r="AH90" s="8">
        <v>87</v>
      </c>
    </row>
    <row r="91" spans="3:34"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c r="U91" s="13"/>
      <c r="V91" s="13">
        <v>0</v>
      </c>
      <c r="W91" s="13">
        <v>0</v>
      </c>
      <c r="X91" s="13">
        <v>0</v>
      </c>
      <c r="Y91" s="13">
        <v>0</v>
      </c>
      <c r="Z91" s="13">
        <v>0</v>
      </c>
      <c r="AA91" s="13">
        <v>0</v>
      </c>
      <c r="AB91" s="13">
        <v>0</v>
      </c>
      <c r="AC91" s="13">
        <v>0</v>
      </c>
      <c r="AD91" s="13">
        <v>0</v>
      </c>
      <c r="AE91" s="13">
        <v>0</v>
      </c>
      <c r="AF91" s="13">
        <v>0</v>
      </c>
      <c r="AG91" s="99">
        <f t="shared" si="22"/>
        <v>0</v>
      </c>
      <c r="AH91" s="8">
        <v>88</v>
      </c>
    </row>
    <row r="92" spans="3:34" ht="15" x14ac:dyDescent="0.25">
      <c r="D92" s="8">
        <v>1445</v>
      </c>
      <c r="E92" s="8" t="s">
        <v>370</v>
      </c>
      <c r="F92" s="13">
        <v>0</v>
      </c>
      <c r="G92" s="13">
        <v>0</v>
      </c>
      <c r="H92" s="13">
        <v>0</v>
      </c>
      <c r="I92" s="13">
        <v>0</v>
      </c>
      <c r="J92" s="13">
        <v>0</v>
      </c>
      <c r="K92" s="13">
        <v>0</v>
      </c>
      <c r="L92" s="13">
        <v>0</v>
      </c>
      <c r="M92" s="13">
        <v>0</v>
      </c>
      <c r="N92" s="13">
        <v>0</v>
      </c>
      <c r="O92" s="13">
        <v>0</v>
      </c>
      <c r="P92" s="13">
        <v>0</v>
      </c>
      <c r="Q92" s="13">
        <v>0</v>
      </c>
      <c r="R92" s="13">
        <v>0</v>
      </c>
      <c r="S92" s="13">
        <v>0</v>
      </c>
      <c r="T92" s="13"/>
      <c r="U92" s="13"/>
      <c r="V92" s="13">
        <v>0</v>
      </c>
      <c r="W92" s="13">
        <v>0</v>
      </c>
      <c r="X92" s="13">
        <v>0</v>
      </c>
      <c r="Y92" s="13">
        <v>0</v>
      </c>
      <c r="Z92" s="13">
        <v>0</v>
      </c>
      <c r="AA92" s="13">
        <v>0</v>
      </c>
      <c r="AB92" s="13">
        <v>0</v>
      </c>
      <c r="AC92" s="13">
        <v>0</v>
      </c>
      <c r="AD92" s="13">
        <v>0</v>
      </c>
      <c r="AE92" s="13">
        <v>0</v>
      </c>
      <c r="AF92" s="13">
        <v>0</v>
      </c>
      <c r="AG92" s="99">
        <f t="shared" si="22"/>
        <v>0</v>
      </c>
      <c r="AH92" s="8">
        <v>89</v>
      </c>
    </row>
    <row r="93" spans="3:34" ht="15" x14ac:dyDescent="0.25">
      <c r="D93" s="8">
        <v>1446</v>
      </c>
      <c r="E93" s="8" t="s">
        <v>371</v>
      </c>
      <c r="F93" s="13">
        <v>0</v>
      </c>
      <c r="G93" s="13">
        <v>0</v>
      </c>
      <c r="H93" s="13">
        <v>0</v>
      </c>
      <c r="I93" s="13">
        <v>0</v>
      </c>
      <c r="J93" s="13">
        <v>0</v>
      </c>
      <c r="K93" s="13">
        <v>0</v>
      </c>
      <c r="L93" s="13">
        <v>0</v>
      </c>
      <c r="M93" s="13">
        <v>0</v>
      </c>
      <c r="N93" s="13">
        <v>0</v>
      </c>
      <c r="O93" s="13">
        <v>0</v>
      </c>
      <c r="P93" s="13">
        <v>0</v>
      </c>
      <c r="Q93" s="13">
        <v>0</v>
      </c>
      <c r="R93" s="13">
        <v>0</v>
      </c>
      <c r="S93" s="13">
        <v>0</v>
      </c>
      <c r="T93" s="13"/>
      <c r="U93" s="13"/>
      <c r="V93" s="13">
        <v>0</v>
      </c>
      <c r="W93" s="13">
        <v>0</v>
      </c>
      <c r="X93" s="13">
        <v>0</v>
      </c>
      <c r="Y93" s="13">
        <v>0</v>
      </c>
      <c r="Z93" s="13">
        <v>0</v>
      </c>
      <c r="AA93" s="13">
        <v>0</v>
      </c>
      <c r="AB93" s="13">
        <v>0</v>
      </c>
      <c r="AC93" s="13">
        <v>0</v>
      </c>
      <c r="AD93" s="13">
        <v>0</v>
      </c>
      <c r="AE93" s="13">
        <v>0</v>
      </c>
      <c r="AF93" s="13">
        <v>0</v>
      </c>
      <c r="AG93" s="99">
        <f t="shared" si="22"/>
        <v>0</v>
      </c>
      <c r="AH93" s="8">
        <v>90</v>
      </c>
    </row>
    <row r="94" spans="3:34"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c r="U94" s="13"/>
      <c r="V94" s="13">
        <v>0</v>
      </c>
      <c r="W94" s="13">
        <v>0</v>
      </c>
      <c r="X94" s="13">
        <v>0</v>
      </c>
      <c r="Y94" s="13">
        <v>0</v>
      </c>
      <c r="Z94" s="13">
        <v>0</v>
      </c>
      <c r="AA94" s="13">
        <v>0</v>
      </c>
      <c r="AB94" s="13">
        <v>0</v>
      </c>
      <c r="AC94" s="13">
        <v>0</v>
      </c>
      <c r="AD94" s="13">
        <v>0</v>
      </c>
      <c r="AE94" s="13">
        <v>0</v>
      </c>
      <c r="AF94" s="13">
        <v>0</v>
      </c>
      <c r="AG94" s="99">
        <f t="shared" si="22"/>
        <v>0</v>
      </c>
      <c r="AH94" s="8">
        <v>91</v>
      </c>
    </row>
    <row r="95" spans="3:34"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c r="U95" s="13"/>
      <c r="V95" s="13">
        <v>0</v>
      </c>
      <c r="W95" s="13">
        <v>0</v>
      </c>
      <c r="X95" s="13">
        <v>0</v>
      </c>
      <c r="Y95" s="13">
        <v>0</v>
      </c>
      <c r="Z95" s="13">
        <v>0</v>
      </c>
      <c r="AA95" s="13">
        <v>0</v>
      </c>
      <c r="AB95" s="13">
        <v>0</v>
      </c>
      <c r="AC95" s="13">
        <v>0</v>
      </c>
      <c r="AD95" s="13">
        <v>0</v>
      </c>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c r="U98" s="13"/>
      <c r="V98" s="13">
        <v>0</v>
      </c>
      <c r="W98" s="13">
        <v>0</v>
      </c>
      <c r="X98" s="13">
        <v>0</v>
      </c>
      <c r="Y98" s="13">
        <v>0</v>
      </c>
      <c r="Z98" s="13">
        <v>0</v>
      </c>
      <c r="AA98" s="13">
        <v>0</v>
      </c>
      <c r="AB98" s="13">
        <v>0</v>
      </c>
      <c r="AC98" s="13">
        <v>0</v>
      </c>
      <c r="AD98" s="13">
        <v>0</v>
      </c>
      <c r="AE98" s="13">
        <v>0</v>
      </c>
      <c r="AF98" s="13">
        <v>0</v>
      </c>
      <c r="AG98" s="99">
        <f t="shared" si="24"/>
        <v>0</v>
      </c>
      <c r="AH98" s="8">
        <v>95</v>
      </c>
    </row>
    <row r="99" spans="3:34"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c r="U99" s="13"/>
      <c r="V99" s="13">
        <v>0</v>
      </c>
      <c r="W99" s="13">
        <v>0</v>
      </c>
      <c r="X99" s="13">
        <v>0</v>
      </c>
      <c r="Y99" s="13">
        <v>0</v>
      </c>
      <c r="Z99" s="13">
        <v>0</v>
      </c>
      <c r="AA99" s="13">
        <v>0</v>
      </c>
      <c r="AB99" s="13">
        <v>0</v>
      </c>
      <c r="AC99" s="13">
        <v>0</v>
      </c>
      <c r="AD99" s="13">
        <v>0</v>
      </c>
      <c r="AE99" s="13">
        <v>0</v>
      </c>
      <c r="AF99" s="13">
        <v>0</v>
      </c>
      <c r="AG99" s="99">
        <f t="shared" si="24"/>
        <v>0</v>
      </c>
      <c r="AH99" s="8">
        <v>96</v>
      </c>
    </row>
    <row r="100" spans="3:34" ht="15" x14ac:dyDescent="0.25">
      <c r="D100" s="8">
        <v>1452</v>
      </c>
      <c r="E100" s="8" t="s">
        <v>377</v>
      </c>
      <c r="F100" s="13">
        <v>0</v>
      </c>
      <c r="G100" s="13">
        <v>0</v>
      </c>
      <c r="H100" s="13">
        <v>0</v>
      </c>
      <c r="I100" s="13">
        <v>0</v>
      </c>
      <c r="J100" s="13">
        <v>0</v>
      </c>
      <c r="K100" s="13">
        <v>0</v>
      </c>
      <c r="L100" s="13">
        <v>0</v>
      </c>
      <c r="M100" s="13">
        <v>0</v>
      </c>
      <c r="N100" s="13">
        <v>0</v>
      </c>
      <c r="O100" s="13">
        <v>0</v>
      </c>
      <c r="P100" s="13">
        <v>0</v>
      </c>
      <c r="Q100" s="13">
        <v>0</v>
      </c>
      <c r="R100" s="13">
        <v>0</v>
      </c>
      <c r="S100" s="13">
        <v>0</v>
      </c>
      <c r="T100" s="13"/>
      <c r="U100" s="13"/>
      <c r="V100" s="13">
        <v>0</v>
      </c>
      <c r="W100" s="13">
        <v>0</v>
      </c>
      <c r="X100" s="13">
        <v>0</v>
      </c>
      <c r="Y100" s="13">
        <v>0</v>
      </c>
      <c r="Z100" s="13">
        <v>0</v>
      </c>
      <c r="AA100" s="13">
        <v>0</v>
      </c>
      <c r="AB100" s="13">
        <v>0</v>
      </c>
      <c r="AC100" s="13">
        <v>0</v>
      </c>
      <c r="AD100" s="13">
        <v>0</v>
      </c>
      <c r="AE100" s="13">
        <v>0</v>
      </c>
      <c r="AF100" s="13">
        <v>0</v>
      </c>
      <c r="AG100" s="99">
        <f t="shared" si="24"/>
        <v>0</v>
      </c>
      <c r="AH100" s="8">
        <v>97</v>
      </c>
    </row>
    <row r="101" spans="3:34"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c r="U101" s="13"/>
      <c r="V101" s="13">
        <v>0</v>
      </c>
      <c r="W101" s="13">
        <v>0</v>
      </c>
      <c r="X101" s="13">
        <v>0</v>
      </c>
      <c r="Y101" s="13">
        <v>0</v>
      </c>
      <c r="Z101" s="13">
        <v>0</v>
      </c>
      <c r="AA101" s="13">
        <v>0</v>
      </c>
      <c r="AB101" s="13">
        <v>0</v>
      </c>
      <c r="AC101" s="13">
        <v>0</v>
      </c>
      <c r="AD101" s="13">
        <v>0</v>
      </c>
      <c r="AE101" s="13">
        <v>0</v>
      </c>
      <c r="AF101" s="13">
        <v>0</v>
      </c>
      <c r="AG101" s="99">
        <f t="shared" si="24"/>
        <v>0</v>
      </c>
      <c r="AH101" s="8">
        <v>98</v>
      </c>
    </row>
    <row r="102" spans="3:34" ht="15" x14ac:dyDescent="0.25">
      <c r="D102" s="8">
        <v>1454</v>
      </c>
      <c r="E102" s="8" t="s">
        <v>379</v>
      </c>
      <c r="F102" s="13">
        <v>0</v>
      </c>
      <c r="G102" s="13">
        <v>0</v>
      </c>
      <c r="H102" s="13">
        <v>0</v>
      </c>
      <c r="I102" s="13">
        <v>0</v>
      </c>
      <c r="J102" s="13">
        <v>0</v>
      </c>
      <c r="K102" s="13">
        <v>0</v>
      </c>
      <c r="L102" s="13">
        <v>0</v>
      </c>
      <c r="M102" s="13">
        <v>0</v>
      </c>
      <c r="N102" s="13">
        <v>0</v>
      </c>
      <c r="O102" s="13">
        <v>0</v>
      </c>
      <c r="P102" s="13">
        <v>0</v>
      </c>
      <c r="Q102" s="13">
        <v>0</v>
      </c>
      <c r="R102" s="13">
        <v>0</v>
      </c>
      <c r="S102" s="13">
        <v>0</v>
      </c>
      <c r="T102" s="13"/>
      <c r="U102" s="13"/>
      <c r="V102" s="13">
        <v>0</v>
      </c>
      <c r="W102" s="13">
        <v>0</v>
      </c>
      <c r="X102" s="13">
        <v>0</v>
      </c>
      <c r="Y102" s="13">
        <v>0</v>
      </c>
      <c r="Z102" s="13">
        <v>0</v>
      </c>
      <c r="AA102" s="13">
        <v>0</v>
      </c>
      <c r="AB102" s="13">
        <v>0</v>
      </c>
      <c r="AC102" s="13">
        <v>0</v>
      </c>
      <c r="AD102" s="13">
        <v>0</v>
      </c>
      <c r="AE102" s="13">
        <v>0</v>
      </c>
      <c r="AF102" s="13">
        <v>0</v>
      </c>
      <c r="AG102" s="99">
        <f t="shared" si="24"/>
        <v>0</v>
      </c>
      <c r="AH102" s="8">
        <v>99</v>
      </c>
    </row>
    <row r="103" spans="3:34" ht="15" x14ac:dyDescent="0.25">
      <c r="D103" s="8">
        <v>1455</v>
      </c>
      <c r="E103" s="8" t="s">
        <v>380</v>
      </c>
      <c r="F103" s="13">
        <v>0</v>
      </c>
      <c r="G103" s="13">
        <v>0</v>
      </c>
      <c r="H103" s="13">
        <v>0</v>
      </c>
      <c r="I103" s="13">
        <v>0</v>
      </c>
      <c r="J103" s="13">
        <v>0</v>
      </c>
      <c r="K103" s="13">
        <v>0</v>
      </c>
      <c r="L103" s="13">
        <v>0</v>
      </c>
      <c r="M103" s="13">
        <v>0</v>
      </c>
      <c r="N103" s="13">
        <v>0</v>
      </c>
      <c r="O103" s="13">
        <v>0</v>
      </c>
      <c r="P103" s="13">
        <v>0</v>
      </c>
      <c r="Q103" s="13">
        <v>0</v>
      </c>
      <c r="R103" s="13">
        <v>0</v>
      </c>
      <c r="S103" s="13">
        <v>0</v>
      </c>
      <c r="T103" s="13"/>
      <c r="U103" s="13"/>
      <c r="V103" s="13">
        <v>0</v>
      </c>
      <c r="W103" s="13">
        <v>0</v>
      </c>
      <c r="X103" s="13">
        <v>0</v>
      </c>
      <c r="Y103" s="13">
        <v>0</v>
      </c>
      <c r="Z103" s="13">
        <v>2</v>
      </c>
      <c r="AA103" s="13">
        <v>0</v>
      </c>
      <c r="AB103" s="13">
        <v>0</v>
      </c>
      <c r="AC103" s="13">
        <v>0</v>
      </c>
      <c r="AD103" s="13">
        <v>0</v>
      </c>
      <c r="AE103" s="13">
        <v>0</v>
      </c>
      <c r="AF103" s="13">
        <v>0</v>
      </c>
      <c r="AG103" s="99">
        <f t="shared" si="24"/>
        <v>2</v>
      </c>
      <c r="AH103" s="8">
        <v>100</v>
      </c>
    </row>
    <row r="104" spans="3:34"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c r="U104" s="13"/>
      <c r="V104" s="13">
        <v>0</v>
      </c>
      <c r="W104" s="13">
        <v>0</v>
      </c>
      <c r="X104" s="13">
        <v>0</v>
      </c>
      <c r="Y104" s="13">
        <v>0</v>
      </c>
      <c r="Z104" s="13">
        <v>0</v>
      </c>
      <c r="AA104" s="13">
        <v>0</v>
      </c>
      <c r="AB104" s="13">
        <v>0</v>
      </c>
      <c r="AC104" s="13">
        <v>0</v>
      </c>
      <c r="AD104" s="13">
        <v>0</v>
      </c>
      <c r="AE104" s="13">
        <v>0</v>
      </c>
      <c r="AF104" s="13">
        <v>0</v>
      </c>
      <c r="AG104" s="99">
        <f t="shared" si="24"/>
        <v>0</v>
      </c>
      <c r="AH104" s="8">
        <v>101</v>
      </c>
    </row>
    <row r="105" spans="3:34"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c r="U105" s="13"/>
      <c r="V105" s="13">
        <v>0</v>
      </c>
      <c r="W105" s="13">
        <v>0</v>
      </c>
      <c r="X105" s="13">
        <v>0</v>
      </c>
      <c r="Y105" s="13">
        <v>0</v>
      </c>
      <c r="Z105" s="13">
        <v>0</v>
      </c>
      <c r="AA105" s="13">
        <v>0</v>
      </c>
      <c r="AB105" s="13">
        <v>0</v>
      </c>
      <c r="AC105" s="13">
        <v>0</v>
      </c>
      <c r="AD105" s="13">
        <v>0</v>
      </c>
      <c r="AE105" s="13">
        <v>0</v>
      </c>
      <c r="AF105" s="13">
        <v>0</v>
      </c>
      <c r="AG105" s="99">
        <f t="shared" si="24"/>
        <v>0</v>
      </c>
      <c r="AH105" s="8">
        <v>102</v>
      </c>
    </row>
    <row r="106" spans="3:34"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c r="U106" s="13"/>
      <c r="V106" s="13">
        <v>0</v>
      </c>
      <c r="W106" s="13">
        <v>0</v>
      </c>
      <c r="X106" s="13">
        <v>0</v>
      </c>
      <c r="Y106" s="13">
        <v>0</v>
      </c>
      <c r="Z106" s="13">
        <v>0</v>
      </c>
      <c r="AA106" s="13">
        <v>0</v>
      </c>
      <c r="AB106" s="13">
        <v>0</v>
      </c>
      <c r="AC106" s="13">
        <v>0</v>
      </c>
      <c r="AD106" s="13">
        <v>0</v>
      </c>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c r="U109" s="13"/>
      <c r="V109" s="13">
        <v>0</v>
      </c>
      <c r="W109" s="13">
        <v>0</v>
      </c>
      <c r="X109" s="13">
        <v>0</v>
      </c>
      <c r="Y109" s="13">
        <v>0</v>
      </c>
      <c r="Z109" s="13">
        <v>0</v>
      </c>
      <c r="AA109" s="13">
        <v>0</v>
      </c>
      <c r="AB109" s="13">
        <v>0</v>
      </c>
      <c r="AC109" s="13">
        <v>0</v>
      </c>
      <c r="AD109" s="13">
        <v>0</v>
      </c>
      <c r="AE109" s="13">
        <v>0</v>
      </c>
      <c r="AF109" s="13">
        <v>0</v>
      </c>
      <c r="AG109" s="99">
        <f t="shared" si="26"/>
        <v>0</v>
      </c>
      <c r="AH109" s="8">
        <v>106</v>
      </c>
    </row>
    <row r="110" spans="3:34" ht="15" x14ac:dyDescent="0.25">
      <c r="D110" s="8">
        <v>1461</v>
      </c>
      <c r="E110" s="8" t="s">
        <v>392</v>
      </c>
      <c r="F110" s="13">
        <v>0</v>
      </c>
      <c r="G110" s="13">
        <v>0</v>
      </c>
      <c r="H110" s="13">
        <v>0</v>
      </c>
      <c r="I110" s="13">
        <v>0</v>
      </c>
      <c r="J110" s="13">
        <v>0</v>
      </c>
      <c r="K110" s="13">
        <v>0</v>
      </c>
      <c r="L110" s="13">
        <v>0</v>
      </c>
      <c r="M110" s="13">
        <v>0</v>
      </c>
      <c r="N110" s="13">
        <v>0</v>
      </c>
      <c r="O110" s="13">
        <v>0</v>
      </c>
      <c r="P110" s="13">
        <v>0</v>
      </c>
      <c r="Q110" s="13">
        <v>0</v>
      </c>
      <c r="R110" s="13">
        <v>0</v>
      </c>
      <c r="S110" s="13">
        <v>0</v>
      </c>
      <c r="T110" s="13"/>
      <c r="U110" s="13"/>
      <c r="V110" s="13">
        <v>0</v>
      </c>
      <c r="W110" s="13">
        <v>0</v>
      </c>
      <c r="X110" s="13">
        <v>0</v>
      </c>
      <c r="Y110" s="13">
        <v>0</v>
      </c>
      <c r="Z110" s="13">
        <v>0</v>
      </c>
      <c r="AA110" s="13">
        <v>0</v>
      </c>
      <c r="AB110" s="13">
        <v>0</v>
      </c>
      <c r="AC110" s="13">
        <v>0</v>
      </c>
      <c r="AD110" s="13">
        <v>0</v>
      </c>
      <c r="AE110" s="13">
        <v>0</v>
      </c>
      <c r="AF110" s="13">
        <v>0</v>
      </c>
      <c r="AG110" s="99">
        <f t="shared" si="26"/>
        <v>0</v>
      </c>
      <c r="AH110" s="8">
        <v>107</v>
      </c>
    </row>
    <row r="111" spans="3:34" ht="15" x14ac:dyDescent="0.25">
      <c r="D111" s="8">
        <v>1462</v>
      </c>
      <c r="E111" s="8" t="s">
        <v>384</v>
      </c>
      <c r="F111" s="13">
        <v>0</v>
      </c>
      <c r="G111" s="13">
        <v>0</v>
      </c>
      <c r="H111" s="13">
        <v>0</v>
      </c>
      <c r="I111" s="13">
        <v>0</v>
      </c>
      <c r="J111" s="13">
        <v>0</v>
      </c>
      <c r="K111" s="13">
        <v>0</v>
      </c>
      <c r="L111" s="13">
        <v>0</v>
      </c>
      <c r="M111" s="13">
        <v>0</v>
      </c>
      <c r="N111" s="13">
        <v>0</v>
      </c>
      <c r="O111" s="13">
        <v>0</v>
      </c>
      <c r="P111" s="13">
        <v>0</v>
      </c>
      <c r="Q111" s="13">
        <v>0</v>
      </c>
      <c r="R111" s="13">
        <v>0</v>
      </c>
      <c r="S111" s="13">
        <v>0</v>
      </c>
      <c r="T111" s="13"/>
      <c r="U111" s="13"/>
      <c r="V111" s="13">
        <v>0</v>
      </c>
      <c r="W111" s="13">
        <v>0</v>
      </c>
      <c r="X111" s="13">
        <v>0</v>
      </c>
      <c r="Y111" s="13">
        <v>0</v>
      </c>
      <c r="Z111" s="13">
        <v>0</v>
      </c>
      <c r="AA111" s="13">
        <v>0</v>
      </c>
      <c r="AB111" s="13">
        <v>0</v>
      </c>
      <c r="AC111" s="13">
        <v>0</v>
      </c>
      <c r="AD111" s="13">
        <v>0</v>
      </c>
      <c r="AE111" s="13">
        <v>0</v>
      </c>
      <c r="AF111" s="13">
        <v>0</v>
      </c>
      <c r="AG111" s="99">
        <f t="shared" si="26"/>
        <v>0</v>
      </c>
      <c r="AH111" s="8">
        <v>108</v>
      </c>
    </row>
    <row r="112" spans="3:34"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c r="U112" s="13"/>
      <c r="V112" s="13">
        <v>0</v>
      </c>
      <c r="W112" s="13">
        <v>0</v>
      </c>
      <c r="X112" s="13">
        <v>0</v>
      </c>
      <c r="Y112" s="13">
        <v>0</v>
      </c>
      <c r="Z112" s="13">
        <v>0</v>
      </c>
      <c r="AA112" s="13">
        <v>0</v>
      </c>
      <c r="AB112" s="13">
        <v>0</v>
      </c>
      <c r="AC112" s="13">
        <v>0</v>
      </c>
      <c r="AD112" s="13">
        <v>0</v>
      </c>
      <c r="AE112" s="13">
        <v>0</v>
      </c>
      <c r="AF112" s="13">
        <v>0</v>
      </c>
      <c r="AG112" s="99">
        <f t="shared" si="26"/>
        <v>0</v>
      </c>
      <c r="AH112" s="8">
        <v>109</v>
      </c>
    </row>
    <row r="113" spans="1:34"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c r="U113" s="13"/>
      <c r="V113" s="13">
        <v>0</v>
      </c>
      <c r="W113" s="13">
        <v>0</v>
      </c>
      <c r="X113" s="13">
        <v>0</v>
      </c>
      <c r="Y113" s="13">
        <v>0</v>
      </c>
      <c r="Z113" s="13">
        <v>0</v>
      </c>
      <c r="AA113" s="13">
        <v>0</v>
      </c>
      <c r="AB113" s="13">
        <v>0</v>
      </c>
      <c r="AC113" s="13">
        <v>0</v>
      </c>
      <c r="AD113" s="13">
        <v>0</v>
      </c>
      <c r="AE113" s="13">
        <v>0</v>
      </c>
      <c r="AF113" s="13">
        <v>0</v>
      </c>
      <c r="AG113" s="99">
        <f t="shared" si="26"/>
        <v>0</v>
      </c>
      <c r="AH113" s="8">
        <v>110</v>
      </c>
    </row>
    <row r="114" spans="1:34" ht="15" x14ac:dyDescent="0.25">
      <c r="D114" s="8">
        <v>1465</v>
      </c>
      <c r="E114" s="8" t="s">
        <v>387</v>
      </c>
      <c r="F114" s="13">
        <v>0</v>
      </c>
      <c r="G114" s="13">
        <v>0</v>
      </c>
      <c r="H114" s="13">
        <v>0</v>
      </c>
      <c r="I114" s="13">
        <v>0</v>
      </c>
      <c r="J114" s="13">
        <v>0</v>
      </c>
      <c r="K114" s="13">
        <v>0</v>
      </c>
      <c r="L114" s="13">
        <v>0</v>
      </c>
      <c r="M114" s="13">
        <v>0</v>
      </c>
      <c r="N114" s="13">
        <v>0</v>
      </c>
      <c r="O114" s="13">
        <v>0</v>
      </c>
      <c r="P114" s="13">
        <v>0</v>
      </c>
      <c r="Q114" s="13">
        <v>0</v>
      </c>
      <c r="R114" s="13">
        <v>0</v>
      </c>
      <c r="S114" s="13">
        <v>0</v>
      </c>
      <c r="T114" s="13"/>
      <c r="U114" s="13"/>
      <c r="V114" s="13">
        <v>0</v>
      </c>
      <c r="W114" s="13">
        <v>0</v>
      </c>
      <c r="X114" s="13">
        <v>0</v>
      </c>
      <c r="Y114" s="13">
        <v>0</v>
      </c>
      <c r="Z114" s="13">
        <v>0</v>
      </c>
      <c r="AA114" s="13">
        <v>0</v>
      </c>
      <c r="AB114" s="13">
        <v>0</v>
      </c>
      <c r="AC114" s="13">
        <v>0</v>
      </c>
      <c r="AD114" s="13">
        <v>0</v>
      </c>
      <c r="AE114" s="13">
        <v>0</v>
      </c>
      <c r="AF114" s="13">
        <v>0</v>
      </c>
      <c r="AG114" s="99">
        <f t="shared" si="26"/>
        <v>0</v>
      </c>
      <c r="AH114" s="8">
        <v>111</v>
      </c>
    </row>
    <row r="115" spans="1:34" ht="15" x14ac:dyDescent="0.25">
      <c r="D115" s="8">
        <v>1466</v>
      </c>
      <c r="E115" s="8" t="s">
        <v>393</v>
      </c>
      <c r="F115" s="13">
        <v>0</v>
      </c>
      <c r="G115" s="13">
        <v>0</v>
      </c>
      <c r="H115" s="13">
        <v>0</v>
      </c>
      <c r="I115" s="13">
        <v>0</v>
      </c>
      <c r="J115" s="13">
        <v>0</v>
      </c>
      <c r="K115" s="13">
        <v>0</v>
      </c>
      <c r="L115" s="13">
        <v>0</v>
      </c>
      <c r="M115" s="13">
        <v>0</v>
      </c>
      <c r="N115" s="13">
        <v>0</v>
      </c>
      <c r="O115" s="13">
        <v>0</v>
      </c>
      <c r="P115" s="13">
        <v>0</v>
      </c>
      <c r="Q115" s="13">
        <v>0</v>
      </c>
      <c r="R115" s="13">
        <v>0</v>
      </c>
      <c r="S115" s="13">
        <v>0</v>
      </c>
      <c r="T115" s="13"/>
      <c r="U115" s="13"/>
      <c r="V115" s="13">
        <v>0</v>
      </c>
      <c r="W115" s="13">
        <v>0</v>
      </c>
      <c r="X115" s="13">
        <v>0</v>
      </c>
      <c r="Y115" s="13">
        <v>0</v>
      </c>
      <c r="Z115" s="13">
        <v>0</v>
      </c>
      <c r="AA115" s="13">
        <v>0</v>
      </c>
      <c r="AB115" s="13">
        <v>0</v>
      </c>
      <c r="AC115" s="13">
        <v>0</v>
      </c>
      <c r="AD115" s="13">
        <v>0</v>
      </c>
      <c r="AE115" s="13">
        <v>0</v>
      </c>
      <c r="AF115" s="13">
        <v>0</v>
      </c>
      <c r="AG115" s="99">
        <f t="shared" si="26"/>
        <v>0</v>
      </c>
      <c r="AH115" s="8">
        <v>112</v>
      </c>
    </row>
    <row r="116" spans="1:34"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c r="U116" s="13"/>
      <c r="V116" s="13">
        <v>0</v>
      </c>
      <c r="W116" s="13">
        <v>0</v>
      </c>
      <c r="X116" s="13">
        <v>0</v>
      </c>
      <c r="Y116" s="13">
        <v>0</v>
      </c>
      <c r="Z116" s="13">
        <v>0</v>
      </c>
      <c r="AA116" s="13">
        <v>0</v>
      </c>
      <c r="AB116" s="13">
        <v>0</v>
      </c>
      <c r="AC116" s="13">
        <v>0</v>
      </c>
      <c r="AD116" s="13">
        <v>0</v>
      </c>
      <c r="AE116" s="13">
        <v>0</v>
      </c>
      <c r="AF116" s="13">
        <v>0</v>
      </c>
      <c r="AG116" s="99">
        <f t="shared" si="26"/>
        <v>0</v>
      </c>
      <c r="AH116" s="8">
        <v>113</v>
      </c>
    </row>
    <row r="117" spans="1:34"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c r="U117" s="13"/>
      <c r="V117" s="13">
        <v>0</v>
      </c>
      <c r="W117" s="13">
        <v>0</v>
      </c>
      <c r="X117" s="13">
        <v>0</v>
      </c>
      <c r="Y117" s="13">
        <v>0</v>
      </c>
      <c r="Z117" s="13">
        <v>0</v>
      </c>
      <c r="AA117" s="13">
        <v>0</v>
      </c>
      <c r="AB117" s="13">
        <v>0</v>
      </c>
      <c r="AC117" s="13">
        <v>0</v>
      </c>
      <c r="AD117" s="13">
        <v>0</v>
      </c>
      <c r="AE117" s="13">
        <v>0</v>
      </c>
      <c r="AF117" s="13">
        <v>0</v>
      </c>
      <c r="AG117" s="99">
        <f t="shared" si="26"/>
        <v>0</v>
      </c>
      <c r="AH117" s="8">
        <v>114</v>
      </c>
    </row>
    <row r="118" spans="1:34"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c r="U118" s="13"/>
      <c r="V118" s="13">
        <v>0</v>
      </c>
      <c r="W118" s="13">
        <v>0</v>
      </c>
      <c r="X118" s="13">
        <v>0</v>
      </c>
      <c r="Y118" s="13">
        <v>0</v>
      </c>
      <c r="Z118" s="13">
        <v>0</v>
      </c>
      <c r="AA118" s="13">
        <v>0</v>
      </c>
      <c r="AB118" s="13">
        <v>0</v>
      </c>
      <c r="AC118" s="13">
        <v>0</v>
      </c>
      <c r="AD118" s="13">
        <v>0</v>
      </c>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915499.3</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3236632.0999999996</v>
      </c>
      <c r="W121" s="124">
        <f t="shared" si="27"/>
        <v>1370270.22</v>
      </c>
      <c r="X121" s="124">
        <f t="shared" si="27"/>
        <v>28641.4</v>
      </c>
      <c r="Y121" s="124">
        <f t="shared" si="27"/>
        <v>3631934.16</v>
      </c>
      <c r="Z121" s="124">
        <f t="shared" si="27"/>
        <v>24833608.27</v>
      </c>
      <c r="AA121" s="124">
        <f t="shared" si="27"/>
        <v>2230784.6100000003</v>
      </c>
      <c r="AB121" s="124">
        <f t="shared" si="27"/>
        <v>6061166.0600000005</v>
      </c>
      <c r="AC121" s="124">
        <f t="shared" si="27"/>
        <v>349120.01</v>
      </c>
      <c r="AD121" s="124">
        <f t="shared" si="27"/>
        <v>154800.25</v>
      </c>
      <c r="AE121" s="124">
        <f t="shared" si="27"/>
        <v>8438276.0800000001</v>
      </c>
      <c r="AF121" s="124">
        <f t="shared" si="27"/>
        <v>817996.29999999993</v>
      </c>
      <c r="AG121" s="22">
        <f t="shared" ref="AG121:AG131" si="28">SUM(F121:AF121)</f>
        <v>161081988.29000002</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915499.3</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2664958.42</v>
      </c>
      <c r="W122" s="126">
        <f t="shared" si="29"/>
        <v>1355070.47</v>
      </c>
      <c r="X122" s="126">
        <f t="shared" si="29"/>
        <v>667.75</v>
      </c>
      <c r="Y122" s="126">
        <f t="shared" si="29"/>
        <v>812322.41999999993</v>
      </c>
      <c r="Z122" s="126">
        <f t="shared" si="29"/>
        <v>21862837.810000002</v>
      </c>
      <c r="AA122" s="126">
        <f t="shared" si="29"/>
        <v>1926725.09</v>
      </c>
      <c r="AB122" s="126">
        <f t="shared" si="29"/>
        <v>4006694.71</v>
      </c>
      <c r="AC122" s="126">
        <f t="shared" si="29"/>
        <v>0</v>
      </c>
      <c r="AD122" s="126">
        <f t="shared" si="29"/>
        <v>154800.25</v>
      </c>
      <c r="AE122" s="126">
        <f t="shared" si="29"/>
        <v>7876609.7599999998</v>
      </c>
      <c r="AF122" s="126">
        <f t="shared" si="29"/>
        <v>251227.1</v>
      </c>
      <c r="AG122" s="126">
        <f t="shared" si="28"/>
        <v>56072026.220000006</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54219.3</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23258.42</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5063414.0299999993</v>
      </c>
      <c r="AH123" s="8">
        <v>120</v>
      </c>
    </row>
    <row r="124" spans="1:34" ht="15" x14ac:dyDescent="0.25">
      <c r="D124" s="8">
        <v>2000</v>
      </c>
      <c r="E124" s="8" t="s">
        <v>395</v>
      </c>
      <c r="F124" s="13">
        <v>79417.45</v>
      </c>
      <c r="G124" s="13">
        <v>237516.81</v>
      </c>
      <c r="H124" s="13">
        <v>0</v>
      </c>
      <c r="I124" s="13">
        <v>1446373.59</v>
      </c>
      <c r="J124" s="13">
        <v>54219.3</v>
      </c>
      <c r="K124" s="13">
        <v>65814.240000000005</v>
      </c>
      <c r="L124" s="13">
        <v>93004.95</v>
      </c>
      <c r="M124" s="13">
        <v>108342.77</v>
      </c>
      <c r="N124" s="13">
        <v>0</v>
      </c>
      <c r="O124" s="13">
        <v>0</v>
      </c>
      <c r="P124" s="13">
        <v>122000.05</v>
      </c>
      <c r="Q124" s="13">
        <v>807.75</v>
      </c>
      <c r="R124" s="13">
        <v>0</v>
      </c>
      <c r="S124" s="13">
        <v>0</v>
      </c>
      <c r="T124" s="13"/>
      <c r="U124" s="13"/>
      <c r="V124" s="13">
        <v>23258.42</v>
      </c>
      <c r="W124" s="13">
        <v>0</v>
      </c>
      <c r="X124" s="13">
        <v>0</v>
      </c>
      <c r="Y124" s="13">
        <v>44394.85</v>
      </c>
      <c r="Z124" s="13">
        <v>842523.41</v>
      </c>
      <c r="AA124" s="13">
        <v>0</v>
      </c>
      <c r="AB124" s="13">
        <v>159802.84</v>
      </c>
      <c r="AC124" s="13">
        <v>0</v>
      </c>
      <c r="AD124" s="13">
        <v>0</v>
      </c>
      <c r="AE124" s="13">
        <v>100806.99</v>
      </c>
      <c r="AF124" s="13">
        <v>0</v>
      </c>
      <c r="AG124" s="99">
        <f t="shared" si="28"/>
        <v>3378283.4200000004</v>
      </c>
      <c r="AH124" s="8">
        <v>121</v>
      </c>
    </row>
    <row r="125" spans="1:34" ht="15" x14ac:dyDescent="0.25">
      <c r="D125" s="8">
        <v>2001</v>
      </c>
      <c r="E125" s="8" t="s">
        <v>396</v>
      </c>
      <c r="F125" s="13">
        <v>0</v>
      </c>
      <c r="G125" s="13">
        <v>-24132.799999999999</v>
      </c>
      <c r="H125" s="13">
        <v>0</v>
      </c>
      <c r="I125" s="13">
        <v>0</v>
      </c>
      <c r="J125" s="13">
        <v>0</v>
      </c>
      <c r="K125" s="13">
        <v>0.05</v>
      </c>
      <c r="L125" s="13">
        <v>0</v>
      </c>
      <c r="M125" s="13">
        <v>13.36</v>
      </c>
      <c r="N125" s="13">
        <v>10123.75</v>
      </c>
      <c r="O125" s="13">
        <v>0</v>
      </c>
      <c r="P125" s="13">
        <v>0</v>
      </c>
      <c r="Q125" s="13">
        <v>0</v>
      </c>
      <c r="R125" s="13">
        <v>0</v>
      </c>
      <c r="S125" s="13">
        <v>0</v>
      </c>
      <c r="T125" s="13"/>
      <c r="U125" s="13"/>
      <c r="V125" s="13">
        <v>0</v>
      </c>
      <c r="W125" s="13">
        <v>0</v>
      </c>
      <c r="X125" s="13">
        <v>0</v>
      </c>
      <c r="Y125" s="13">
        <v>0</v>
      </c>
      <c r="Z125" s="13">
        <v>-33625.35</v>
      </c>
      <c r="AA125" s="13">
        <v>0</v>
      </c>
      <c r="AB125" s="13">
        <v>0</v>
      </c>
      <c r="AC125" s="13">
        <v>0</v>
      </c>
      <c r="AD125" s="13">
        <v>0</v>
      </c>
      <c r="AE125" s="13">
        <v>0</v>
      </c>
      <c r="AF125" s="13">
        <v>0</v>
      </c>
      <c r="AG125" s="99">
        <f t="shared" si="28"/>
        <v>-47620.99</v>
      </c>
      <c r="AH125" s="8">
        <v>122</v>
      </c>
    </row>
    <row r="126" spans="1:34" ht="15" x14ac:dyDescent="0.25">
      <c r="D126" s="8">
        <v>2002</v>
      </c>
      <c r="E126" s="8" t="s">
        <v>397</v>
      </c>
      <c r="F126" s="13">
        <v>0</v>
      </c>
      <c r="G126" s="13">
        <v>-14626.45</v>
      </c>
      <c r="H126" s="13">
        <v>0</v>
      </c>
      <c r="I126" s="13">
        <v>0</v>
      </c>
      <c r="J126" s="13">
        <v>0</v>
      </c>
      <c r="K126" s="13">
        <v>0</v>
      </c>
      <c r="L126" s="13">
        <v>0</v>
      </c>
      <c r="M126" s="13">
        <v>0</v>
      </c>
      <c r="N126" s="13">
        <v>0</v>
      </c>
      <c r="O126" s="13">
        <v>0</v>
      </c>
      <c r="P126" s="13">
        <v>0</v>
      </c>
      <c r="Q126" s="13">
        <v>0</v>
      </c>
      <c r="R126" s="13">
        <v>0</v>
      </c>
      <c r="S126" s="13">
        <v>0</v>
      </c>
      <c r="T126" s="13"/>
      <c r="U126" s="13"/>
      <c r="V126" s="13">
        <v>0</v>
      </c>
      <c r="W126" s="13">
        <v>0</v>
      </c>
      <c r="X126" s="13">
        <v>0</v>
      </c>
      <c r="Y126" s="13">
        <v>-41208.199999999997</v>
      </c>
      <c r="Z126" s="13">
        <v>0</v>
      </c>
      <c r="AA126" s="13">
        <v>0</v>
      </c>
      <c r="AB126" s="13">
        <v>0</v>
      </c>
      <c r="AC126" s="13">
        <v>0</v>
      </c>
      <c r="AD126" s="13">
        <v>0</v>
      </c>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v>0</v>
      </c>
      <c r="K127" s="13">
        <v>0</v>
      </c>
      <c r="L127" s="13">
        <v>0</v>
      </c>
      <c r="M127" s="13">
        <v>0</v>
      </c>
      <c r="N127" s="13">
        <v>0</v>
      </c>
      <c r="O127" s="13">
        <v>0</v>
      </c>
      <c r="P127" s="13">
        <v>0</v>
      </c>
      <c r="Q127" s="13">
        <v>0</v>
      </c>
      <c r="R127" s="13">
        <v>0</v>
      </c>
      <c r="S127" s="13">
        <v>0</v>
      </c>
      <c r="T127" s="13"/>
      <c r="U127" s="13"/>
      <c r="V127" s="13">
        <v>0</v>
      </c>
      <c r="W127" s="13">
        <v>0</v>
      </c>
      <c r="X127" s="13">
        <v>0</v>
      </c>
      <c r="Y127" s="13">
        <v>0</v>
      </c>
      <c r="Z127" s="13">
        <v>0</v>
      </c>
      <c r="AA127" s="13">
        <v>0</v>
      </c>
      <c r="AB127" s="13">
        <v>0</v>
      </c>
      <c r="AC127" s="13">
        <v>0</v>
      </c>
      <c r="AD127" s="13">
        <v>0</v>
      </c>
      <c r="AE127" s="13">
        <v>0</v>
      </c>
      <c r="AF127" s="13">
        <v>0</v>
      </c>
      <c r="AG127" s="99">
        <f t="shared" si="28"/>
        <v>0</v>
      </c>
      <c r="AH127" s="8">
        <v>124</v>
      </c>
    </row>
    <row r="128" spans="1:34" ht="15" x14ac:dyDescent="0.25">
      <c r="D128" s="8">
        <v>2004</v>
      </c>
      <c r="E128" s="8" t="s">
        <v>399</v>
      </c>
      <c r="F128" s="13">
        <v>0</v>
      </c>
      <c r="G128" s="13">
        <v>0</v>
      </c>
      <c r="H128" s="13">
        <v>0</v>
      </c>
      <c r="I128" s="13">
        <v>1378746.3</v>
      </c>
      <c r="J128" s="13">
        <v>0</v>
      </c>
      <c r="K128" s="13">
        <v>0</v>
      </c>
      <c r="L128" s="13">
        <v>0</v>
      </c>
      <c r="M128" s="13">
        <v>0</v>
      </c>
      <c r="N128" s="13">
        <v>0</v>
      </c>
      <c r="O128" s="13">
        <v>18000</v>
      </c>
      <c r="P128" s="13">
        <v>0</v>
      </c>
      <c r="Q128" s="13">
        <v>0</v>
      </c>
      <c r="R128" s="13">
        <v>0</v>
      </c>
      <c r="S128" s="13">
        <v>0</v>
      </c>
      <c r="T128" s="13"/>
      <c r="U128" s="13"/>
      <c r="V128" s="13">
        <v>0</v>
      </c>
      <c r="W128" s="13">
        <v>0</v>
      </c>
      <c r="X128" s="13">
        <v>0</v>
      </c>
      <c r="Y128" s="13">
        <v>0</v>
      </c>
      <c r="Z128" s="13">
        <v>0</v>
      </c>
      <c r="AA128" s="13">
        <v>0</v>
      </c>
      <c r="AB128" s="13">
        <v>0</v>
      </c>
      <c r="AC128" s="13">
        <v>0</v>
      </c>
      <c r="AD128" s="13">
        <v>0</v>
      </c>
      <c r="AE128" s="13">
        <v>0</v>
      </c>
      <c r="AF128" s="13">
        <v>0</v>
      </c>
      <c r="AG128" s="99">
        <f t="shared" si="28"/>
        <v>1396746.3</v>
      </c>
      <c r="AH128" s="8">
        <v>125</v>
      </c>
    </row>
    <row r="129" spans="3:34" ht="15" x14ac:dyDescent="0.25">
      <c r="D129" s="8">
        <v>2005</v>
      </c>
      <c r="E129" s="8" t="s">
        <v>320</v>
      </c>
      <c r="F129" s="13">
        <v>0</v>
      </c>
      <c r="G129" s="13">
        <v>0</v>
      </c>
      <c r="H129" s="13">
        <v>0</v>
      </c>
      <c r="I129" s="13">
        <v>0</v>
      </c>
      <c r="J129" s="13">
        <v>0</v>
      </c>
      <c r="K129" s="13">
        <v>0</v>
      </c>
      <c r="L129" s="13">
        <v>290832.68</v>
      </c>
      <c r="M129" s="13">
        <v>0</v>
      </c>
      <c r="N129" s="13">
        <v>0</v>
      </c>
      <c r="O129" s="13">
        <v>0</v>
      </c>
      <c r="P129" s="13">
        <v>0</v>
      </c>
      <c r="Q129" s="13">
        <v>0</v>
      </c>
      <c r="R129" s="13">
        <v>0</v>
      </c>
      <c r="S129" s="13">
        <v>0</v>
      </c>
      <c r="T129" s="13"/>
      <c r="U129" s="13"/>
      <c r="V129" s="13">
        <v>0</v>
      </c>
      <c r="W129" s="13">
        <v>0</v>
      </c>
      <c r="X129" s="13">
        <v>0</v>
      </c>
      <c r="Y129" s="13">
        <v>0</v>
      </c>
      <c r="Z129" s="13">
        <v>0</v>
      </c>
      <c r="AA129" s="13">
        <v>0</v>
      </c>
      <c r="AB129" s="13">
        <v>0</v>
      </c>
      <c r="AC129" s="13">
        <v>0</v>
      </c>
      <c r="AD129" s="13">
        <v>0</v>
      </c>
      <c r="AE129" s="13">
        <v>0</v>
      </c>
      <c r="AF129" s="13">
        <v>0</v>
      </c>
      <c r="AG129" s="99">
        <f t="shared" si="28"/>
        <v>290832.68</v>
      </c>
      <c r="AH129" s="8">
        <v>126</v>
      </c>
    </row>
    <row r="130" spans="3:34" ht="15" x14ac:dyDescent="0.25">
      <c r="D130" s="8">
        <v>2006</v>
      </c>
      <c r="E130" s="8" t="s">
        <v>444</v>
      </c>
      <c r="F130" s="13">
        <v>0</v>
      </c>
      <c r="G130" s="13">
        <v>0</v>
      </c>
      <c r="H130" s="13">
        <v>0</v>
      </c>
      <c r="I130" s="13">
        <v>60069.95</v>
      </c>
      <c r="J130" s="13">
        <v>0</v>
      </c>
      <c r="K130" s="13">
        <v>0</v>
      </c>
      <c r="L130" s="13">
        <v>0</v>
      </c>
      <c r="M130" s="13">
        <v>0</v>
      </c>
      <c r="N130" s="13">
        <v>0</v>
      </c>
      <c r="O130" s="13">
        <v>0</v>
      </c>
      <c r="P130" s="13">
        <v>0</v>
      </c>
      <c r="Q130" s="13">
        <v>0</v>
      </c>
      <c r="R130" s="13">
        <v>0</v>
      </c>
      <c r="S130" s="13">
        <v>0</v>
      </c>
      <c r="T130" s="13"/>
      <c r="U130" s="13"/>
      <c r="V130" s="13">
        <v>0</v>
      </c>
      <c r="W130" s="13">
        <v>0</v>
      </c>
      <c r="X130" s="13">
        <v>0</v>
      </c>
      <c r="Y130" s="13">
        <v>0</v>
      </c>
      <c r="Z130" s="13">
        <v>0</v>
      </c>
      <c r="AA130" s="13">
        <v>0</v>
      </c>
      <c r="AB130" s="13">
        <v>0</v>
      </c>
      <c r="AC130" s="13">
        <v>0</v>
      </c>
      <c r="AD130" s="13">
        <v>0</v>
      </c>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c r="U131" s="13"/>
      <c r="V131" s="13">
        <v>0</v>
      </c>
      <c r="W131" s="13">
        <v>0</v>
      </c>
      <c r="X131" s="13">
        <v>0</v>
      </c>
      <c r="Y131" s="13">
        <v>0</v>
      </c>
      <c r="Z131" s="13">
        <v>0</v>
      </c>
      <c r="AA131" s="13">
        <v>0</v>
      </c>
      <c r="AB131" s="13">
        <v>0</v>
      </c>
      <c r="AC131" s="13">
        <v>0</v>
      </c>
      <c r="AD131" s="13">
        <v>0</v>
      </c>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v>0</v>
      </c>
      <c r="K134" s="13">
        <v>0</v>
      </c>
      <c r="L134" s="13">
        <v>0</v>
      </c>
      <c r="M134" s="13">
        <v>1028506.16</v>
      </c>
      <c r="N134" s="13">
        <v>0</v>
      </c>
      <c r="O134" s="13">
        <v>0</v>
      </c>
      <c r="P134" s="13">
        <v>0</v>
      </c>
      <c r="Q134" s="13">
        <v>0</v>
      </c>
      <c r="R134" s="13">
        <v>0</v>
      </c>
      <c r="S134" s="13">
        <v>0</v>
      </c>
      <c r="T134" s="13"/>
      <c r="U134" s="13"/>
      <c r="V134" s="13">
        <v>0</v>
      </c>
      <c r="W134" s="13">
        <v>504806.42</v>
      </c>
      <c r="X134" s="13">
        <v>0</v>
      </c>
      <c r="Y134" s="13">
        <v>506686.67</v>
      </c>
      <c r="Z134" s="13">
        <v>7512158.1299999999</v>
      </c>
      <c r="AA134" s="13">
        <v>0</v>
      </c>
      <c r="AB134" s="13">
        <v>0</v>
      </c>
      <c r="AC134" s="13">
        <v>0</v>
      </c>
      <c r="AD134" s="13">
        <v>0</v>
      </c>
      <c r="AE134" s="13">
        <v>0</v>
      </c>
      <c r="AF134" s="13">
        <v>0</v>
      </c>
      <c r="AG134" s="99">
        <f t="shared" si="32"/>
        <v>9552157.379999999</v>
      </c>
      <c r="AH134" s="8">
        <v>131</v>
      </c>
    </row>
    <row r="135" spans="3:34" ht="15" x14ac:dyDescent="0.25">
      <c r="D135" s="8">
        <v>2011</v>
      </c>
      <c r="E135" s="8" t="s">
        <v>403</v>
      </c>
      <c r="F135" s="13">
        <v>0</v>
      </c>
      <c r="G135" s="13">
        <v>0</v>
      </c>
      <c r="H135" s="13">
        <v>0</v>
      </c>
      <c r="I135" s="13">
        <v>0</v>
      </c>
      <c r="J135" s="13">
        <v>0</v>
      </c>
      <c r="K135" s="13">
        <v>0</v>
      </c>
      <c r="L135" s="13">
        <v>0</v>
      </c>
      <c r="M135" s="13">
        <v>0</v>
      </c>
      <c r="N135" s="13">
        <v>0</v>
      </c>
      <c r="O135" s="13">
        <v>0</v>
      </c>
      <c r="P135" s="13">
        <v>0</v>
      </c>
      <c r="Q135" s="13">
        <v>0</v>
      </c>
      <c r="R135" s="13">
        <v>0</v>
      </c>
      <c r="S135" s="13">
        <v>0</v>
      </c>
      <c r="T135" s="13"/>
      <c r="U135" s="13"/>
      <c r="V135" s="13">
        <v>0</v>
      </c>
      <c r="W135" s="13">
        <v>350264.05</v>
      </c>
      <c r="X135" s="13">
        <v>0</v>
      </c>
      <c r="Y135" s="13">
        <v>0</v>
      </c>
      <c r="Z135" s="13">
        <v>0</v>
      </c>
      <c r="AA135" s="13">
        <v>0</v>
      </c>
      <c r="AB135" s="13">
        <v>0</v>
      </c>
      <c r="AC135" s="13">
        <v>0</v>
      </c>
      <c r="AD135" s="13">
        <v>0</v>
      </c>
      <c r="AE135" s="13">
        <v>0</v>
      </c>
      <c r="AF135" s="13">
        <v>0</v>
      </c>
      <c r="AG135" s="99">
        <f t="shared" si="32"/>
        <v>350264.05</v>
      </c>
      <c r="AH135" s="8">
        <v>132</v>
      </c>
    </row>
    <row r="136" spans="3:34"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c r="U136" s="13"/>
      <c r="V136" s="13">
        <v>0</v>
      </c>
      <c r="W136" s="13">
        <v>0</v>
      </c>
      <c r="X136" s="13">
        <v>0</v>
      </c>
      <c r="Y136" s="13">
        <v>0</v>
      </c>
      <c r="Z136" s="13">
        <v>0</v>
      </c>
      <c r="AA136" s="13">
        <v>0</v>
      </c>
      <c r="AB136" s="13">
        <v>0</v>
      </c>
      <c r="AC136" s="13">
        <v>0</v>
      </c>
      <c r="AD136" s="13">
        <v>0</v>
      </c>
      <c r="AE136" s="13">
        <v>0</v>
      </c>
      <c r="AF136" s="13">
        <v>0</v>
      </c>
      <c r="AG136" s="99">
        <f t="shared" si="32"/>
        <v>0</v>
      </c>
      <c r="AH136" s="8">
        <v>133</v>
      </c>
    </row>
    <row r="137" spans="3:34"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c r="U137" s="13"/>
      <c r="V137" s="13">
        <v>0</v>
      </c>
      <c r="W137" s="13">
        <v>0</v>
      </c>
      <c r="X137" s="13">
        <v>0</v>
      </c>
      <c r="Y137" s="13">
        <v>0</v>
      </c>
      <c r="Z137" s="13">
        <v>0</v>
      </c>
      <c r="AA137" s="13">
        <v>0</v>
      </c>
      <c r="AB137" s="13">
        <v>0</v>
      </c>
      <c r="AC137" s="13">
        <v>0</v>
      </c>
      <c r="AD137" s="13">
        <v>0</v>
      </c>
      <c r="AE137" s="13">
        <v>0</v>
      </c>
      <c r="AF137" s="13">
        <v>0</v>
      </c>
      <c r="AG137" s="99">
        <f t="shared" si="32"/>
        <v>0</v>
      </c>
      <c r="AH137" s="8">
        <v>134</v>
      </c>
    </row>
    <row r="138" spans="3:34" ht="15" x14ac:dyDescent="0.25">
      <c r="D138" s="8">
        <v>2014</v>
      </c>
      <c r="E138" s="8" t="s">
        <v>407</v>
      </c>
      <c r="F138" s="13">
        <v>0</v>
      </c>
      <c r="G138" s="13">
        <v>0</v>
      </c>
      <c r="H138" s="13">
        <v>0</v>
      </c>
      <c r="I138" s="13">
        <v>0</v>
      </c>
      <c r="J138" s="13">
        <v>0</v>
      </c>
      <c r="K138" s="13">
        <v>319920</v>
      </c>
      <c r="L138" s="13">
        <v>0</v>
      </c>
      <c r="M138" s="13">
        <v>0</v>
      </c>
      <c r="N138" s="13">
        <v>0</v>
      </c>
      <c r="O138" s="13">
        <v>0</v>
      </c>
      <c r="P138" s="13">
        <v>0</v>
      </c>
      <c r="Q138" s="13">
        <v>0</v>
      </c>
      <c r="R138" s="13">
        <v>0</v>
      </c>
      <c r="S138" s="13">
        <v>0</v>
      </c>
      <c r="T138" s="13"/>
      <c r="U138" s="13"/>
      <c r="V138" s="13">
        <v>0</v>
      </c>
      <c r="W138" s="13">
        <v>0</v>
      </c>
      <c r="X138" s="13">
        <v>0</v>
      </c>
      <c r="Y138" s="13">
        <v>105040</v>
      </c>
      <c r="Z138" s="13">
        <v>0</v>
      </c>
      <c r="AA138" s="13">
        <v>0</v>
      </c>
      <c r="AB138" s="13">
        <v>180500</v>
      </c>
      <c r="AC138" s="13">
        <v>0</v>
      </c>
      <c r="AD138" s="13">
        <v>0</v>
      </c>
      <c r="AE138" s="13">
        <v>250000</v>
      </c>
      <c r="AF138" s="13">
        <v>0</v>
      </c>
      <c r="AG138" s="99">
        <f t="shared" si="32"/>
        <v>855460</v>
      </c>
      <c r="AH138" s="8">
        <v>135</v>
      </c>
    </row>
    <row r="139" spans="3:34"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c r="U139" s="13"/>
      <c r="V139" s="13">
        <v>0</v>
      </c>
      <c r="W139" s="13">
        <v>0</v>
      </c>
      <c r="X139" s="13">
        <v>0</v>
      </c>
      <c r="Y139" s="13">
        <v>0</v>
      </c>
      <c r="Z139" s="13">
        <v>0</v>
      </c>
      <c r="AA139" s="13">
        <v>0</v>
      </c>
      <c r="AB139" s="13">
        <v>0</v>
      </c>
      <c r="AC139" s="13">
        <v>0</v>
      </c>
      <c r="AD139" s="13">
        <v>0</v>
      </c>
      <c r="AE139" s="13">
        <v>0</v>
      </c>
      <c r="AF139" s="13">
        <v>0</v>
      </c>
      <c r="AG139" s="99">
        <f t="shared" si="32"/>
        <v>0</v>
      </c>
      <c r="AH139" s="8">
        <v>136</v>
      </c>
    </row>
    <row r="140" spans="3:34"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c r="U140" s="13"/>
      <c r="V140" s="13">
        <v>0</v>
      </c>
      <c r="W140" s="13">
        <v>0</v>
      </c>
      <c r="X140" s="13">
        <v>0</v>
      </c>
      <c r="Y140" s="13">
        <v>0</v>
      </c>
      <c r="Z140" s="13">
        <v>0</v>
      </c>
      <c r="AA140" s="13">
        <v>0</v>
      </c>
      <c r="AB140" s="13">
        <v>0</v>
      </c>
      <c r="AC140" s="13">
        <v>0</v>
      </c>
      <c r="AD140" s="13">
        <v>0</v>
      </c>
      <c r="AE140" s="13">
        <v>0</v>
      </c>
      <c r="AF140" s="13">
        <v>0</v>
      </c>
      <c r="AG140" s="99">
        <f t="shared" si="32"/>
        <v>0</v>
      </c>
      <c r="AH140" s="8">
        <v>137</v>
      </c>
    </row>
    <row r="141" spans="3:34" ht="15" x14ac:dyDescent="0.25">
      <c r="D141" s="8">
        <v>2019</v>
      </c>
      <c r="E141" s="8" t="s">
        <v>408</v>
      </c>
      <c r="F141" s="13">
        <v>0</v>
      </c>
      <c r="G141" s="13">
        <v>0</v>
      </c>
      <c r="H141" s="13">
        <v>0</v>
      </c>
      <c r="I141" s="13">
        <v>0</v>
      </c>
      <c r="J141" s="13">
        <v>0</v>
      </c>
      <c r="K141" s="13">
        <v>0</v>
      </c>
      <c r="L141" s="13">
        <v>0</v>
      </c>
      <c r="M141" s="13">
        <v>0</v>
      </c>
      <c r="N141" s="13">
        <v>0</v>
      </c>
      <c r="O141" s="13">
        <v>0</v>
      </c>
      <c r="P141" s="13">
        <v>0</v>
      </c>
      <c r="Q141" s="13">
        <v>0</v>
      </c>
      <c r="R141" s="13">
        <v>0</v>
      </c>
      <c r="S141" s="13">
        <v>0</v>
      </c>
      <c r="T141" s="13"/>
      <c r="U141" s="13"/>
      <c r="V141" s="13">
        <v>0</v>
      </c>
      <c r="W141" s="13">
        <v>0</v>
      </c>
      <c r="X141" s="13">
        <v>0</v>
      </c>
      <c r="Y141" s="13">
        <v>0</v>
      </c>
      <c r="Z141" s="13">
        <v>0</v>
      </c>
      <c r="AA141" s="13">
        <v>0</v>
      </c>
      <c r="AB141" s="13">
        <v>0</v>
      </c>
      <c r="AC141" s="13">
        <v>0</v>
      </c>
      <c r="AD141" s="13">
        <v>0</v>
      </c>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800</v>
      </c>
      <c r="W143" s="128">
        <f t="shared" si="33"/>
        <v>0</v>
      </c>
      <c r="X143" s="128">
        <f t="shared" si="33"/>
        <v>667.75</v>
      </c>
      <c r="Y143" s="128">
        <f t="shared" si="33"/>
        <v>27009.1</v>
      </c>
      <c r="Z143" s="128">
        <f t="shared" si="33"/>
        <v>336493.15</v>
      </c>
      <c r="AA143" s="128">
        <f t="shared" si="33"/>
        <v>19889.29</v>
      </c>
      <c r="AB143" s="128">
        <f t="shared" si="33"/>
        <v>248391.87</v>
      </c>
      <c r="AC143" s="128">
        <f t="shared" si="33"/>
        <v>0</v>
      </c>
      <c r="AD143" s="128">
        <f t="shared" si="33"/>
        <v>4800.25</v>
      </c>
      <c r="AE143" s="128">
        <f t="shared" si="33"/>
        <v>134865.45000000001</v>
      </c>
      <c r="AF143" s="128">
        <f t="shared" si="33"/>
        <v>251227.1</v>
      </c>
      <c r="AG143" s="128">
        <f t="shared" ref="AG143:AG151" si="34">SUM(F143:AF143)</f>
        <v>1275940.8800000001</v>
      </c>
      <c r="AH143" s="8">
        <v>140</v>
      </c>
    </row>
    <row r="144" spans="3:34" ht="15" x14ac:dyDescent="0.25">
      <c r="D144" s="8">
        <v>2040</v>
      </c>
      <c r="E144" s="8" t="s">
        <v>61</v>
      </c>
      <c r="F144" s="13">
        <v>1007.5</v>
      </c>
      <c r="G144" s="13">
        <v>0</v>
      </c>
      <c r="H144" s="13">
        <v>0</v>
      </c>
      <c r="I144" s="13">
        <v>0</v>
      </c>
      <c r="J144" s="13">
        <v>0</v>
      </c>
      <c r="K144" s="13">
        <v>245</v>
      </c>
      <c r="L144" s="13">
        <v>0</v>
      </c>
      <c r="M144" s="13">
        <v>0</v>
      </c>
      <c r="N144" s="13">
        <v>0</v>
      </c>
      <c r="O144" s="13">
        <v>1097.8</v>
      </c>
      <c r="P144" s="13">
        <v>0</v>
      </c>
      <c r="Q144" s="13">
        <v>0</v>
      </c>
      <c r="R144" s="13">
        <v>0</v>
      </c>
      <c r="S144" s="13">
        <v>1628.9</v>
      </c>
      <c r="T144" s="13"/>
      <c r="U144" s="13"/>
      <c r="V144" s="13">
        <v>0</v>
      </c>
      <c r="W144" s="13">
        <v>0</v>
      </c>
      <c r="X144" s="13">
        <v>548.04999999999995</v>
      </c>
      <c r="Y144" s="13">
        <v>0</v>
      </c>
      <c r="Z144" s="13">
        <v>0</v>
      </c>
      <c r="AA144" s="13">
        <v>0</v>
      </c>
      <c r="AB144" s="13">
        <v>4660</v>
      </c>
      <c r="AC144" s="13">
        <v>0</v>
      </c>
      <c r="AD144" s="13">
        <v>0</v>
      </c>
      <c r="AE144" s="13">
        <v>0</v>
      </c>
      <c r="AF144" s="13">
        <v>0</v>
      </c>
      <c r="AG144" s="99">
        <f t="shared" si="34"/>
        <v>9187.25</v>
      </c>
      <c r="AH144" s="8">
        <v>141</v>
      </c>
    </row>
    <row r="145" spans="3:34" ht="15" x14ac:dyDescent="0.25">
      <c r="D145" s="8">
        <v>2041</v>
      </c>
      <c r="E145" s="8" t="s">
        <v>276</v>
      </c>
      <c r="F145" s="13">
        <v>51189.85</v>
      </c>
      <c r="G145" s="13">
        <v>19845.91</v>
      </c>
      <c r="H145" s="13">
        <v>2455.6</v>
      </c>
      <c r="I145" s="13">
        <v>0</v>
      </c>
      <c r="J145" s="13">
        <v>0</v>
      </c>
      <c r="K145" s="13">
        <v>5888</v>
      </c>
      <c r="L145" s="13">
        <v>33768.199999999997</v>
      </c>
      <c r="M145" s="13">
        <v>0</v>
      </c>
      <c r="N145" s="13">
        <v>71794.460000000006</v>
      </c>
      <c r="O145" s="13">
        <v>3271.4</v>
      </c>
      <c r="P145" s="13">
        <v>0</v>
      </c>
      <c r="Q145" s="13">
        <v>0</v>
      </c>
      <c r="R145" s="13">
        <v>4066.6</v>
      </c>
      <c r="S145" s="13">
        <v>2800</v>
      </c>
      <c r="T145" s="13"/>
      <c r="U145" s="13"/>
      <c r="V145" s="13">
        <v>0</v>
      </c>
      <c r="W145" s="13">
        <v>0</v>
      </c>
      <c r="X145" s="13">
        <v>0</v>
      </c>
      <c r="Y145" s="13">
        <v>27009.1</v>
      </c>
      <c r="Z145" s="13">
        <v>113994.15</v>
      </c>
      <c r="AA145" s="13">
        <v>19889.29</v>
      </c>
      <c r="AB145" s="13">
        <v>243731.87</v>
      </c>
      <c r="AC145" s="13">
        <v>0</v>
      </c>
      <c r="AD145" s="13">
        <v>4800.25</v>
      </c>
      <c r="AE145" s="13">
        <v>134865.45000000001</v>
      </c>
      <c r="AF145" s="13">
        <v>251227.1</v>
      </c>
      <c r="AG145" s="99">
        <f t="shared" si="34"/>
        <v>990597.22999999986</v>
      </c>
      <c r="AH145" s="8">
        <v>142</v>
      </c>
    </row>
    <row r="146" spans="3:34" ht="15" x14ac:dyDescent="0.25">
      <c r="D146" s="8">
        <v>2042</v>
      </c>
      <c r="E146" s="8" t="s">
        <v>328</v>
      </c>
      <c r="F146" s="13">
        <v>0</v>
      </c>
      <c r="G146" s="13">
        <v>0</v>
      </c>
      <c r="H146" s="13">
        <v>0</v>
      </c>
      <c r="I146" s="13">
        <v>0</v>
      </c>
      <c r="J146" s="13">
        <v>0</v>
      </c>
      <c r="K146" s="13">
        <v>0</v>
      </c>
      <c r="L146" s="13">
        <v>0</v>
      </c>
      <c r="M146" s="13">
        <v>0</v>
      </c>
      <c r="N146" s="13">
        <v>0</v>
      </c>
      <c r="O146" s="13">
        <v>0</v>
      </c>
      <c r="P146" s="13">
        <v>0</v>
      </c>
      <c r="Q146" s="13">
        <v>0</v>
      </c>
      <c r="R146" s="13">
        <v>0</v>
      </c>
      <c r="S146" s="13">
        <v>0</v>
      </c>
      <c r="T146" s="13"/>
      <c r="U146" s="13"/>
      <c r="V146" s="13">
        <v>0</v>
      </c>
      <c r="W146" s="13">
        <v>0</v>
      </c>
      <c r="X146" s="13">
        <v>0</v>
      </c>
      <c r="Y146" s="13">
        <v>0</v>
      </c>
      <c r="Z146" s="13">
        <v>0</v>
      </c>
      <c r="AA146" s="13">
        <v>0</v>
      </c>
      <c r="AB146" s="13">
        <v>0</v>
      </c>
      <c r="AC146" s="13">
        <v>0</v>
      </c>
      <c r="AD146" s="13">
        <v>0</v>
      </c>
      <c r="AE146" s="13">
        <v>0</v>
      </c>
      <c r="AF146" s="13">
        <v>0</v>
      </c>
      <c r="AG146" s="99">
        <f t="shared" si="34"/>
        <v>0</v>
      </c>
      <c r="AH146" s="8">
        <v>143</v>
      </c>
    </row>
    <row r="147" spans="3:34" ht="15" x14ac:dyDescent="0.25">
      <c r="D147" s="8">
        <v>2043</v>
      </c>
      <c r="E147" s="8" t="s">
        <v>329</v>
      </c>
      <c r="F147" s="13">
        <v>0</v>
      </c>
      <c r="G147" s="13">
        <v>0</v>
      </c>
      <c r="H147" s="13">
        <v>0</v>
      </c>
      <c r="I147" s="13">
        <v>0</v>
      </c>
      <c r="J147" s="13">
        <v>0</v>
      </c>
      <c r="K147" s="13">
        <v>0</v>
      </c>
      <c r="L147" s="13">
        <v>0</v>
      </c>
      <c r="M147" s="13">
        <v>0</v>
      </c>
      <c r="N147" s="13">
        <v>0</v>
      </c>
      <c r="O147" s="13">
        <v>0</v>
      </c>
      <c r="P147" s="13">
        <v>0</v>
      </c>
      <c r="Q147" s="13">
        <v>0</v>
      </c>
      <c r="R147" s="13">
        <v>0</v>
      </c>
      <c r="S147" s="13">
        <v>0</v>
      </c>
      <c r="T147" s="13"/>
      <c r="U147" s="13"/>
      <c r="V147" s="13">
        <v>0</v>
      </c>
      <c r="W147" s="13">
        <v>0</v>
      </c>
      <c r="X147" s="13">
        <v>0</v>
      </c>
      <c r="Y147" s="13">
        <v>0</v>
      </c>
      <c r="Z147" s="13">
        <v>222499</v>
      </c>
      <c r="AA147" s="13">
        <v>0</v>
      </c>
      <c r="AB147" s="13">
        <v>0</v>
      </c>
      <c r="AC147" s="13">
        <v>0</v>
      </c>
      <c r="AD147" s="13">
        <v>0</v>
      </c>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v>0</v>
      </c>
      <c r="K148" s="13">
        <v>0</v>
      </c>
      <c r="L148" s="13">
        <v>0</v>
      </c>
      <c r="M148" s="13">
        <v>0</v>
      </c>
      <c r="N148" s="13">
        <v>11153.95</v>
      </c>
      <c r="O148" s="13">
        <v>0</v>
      </c>
      <c r="P148" s="13">
        <v>6800</v>
      </c>
      <c r="Q148" s="13">
        <v>0</v>
      </c>
      <c r="R148" s="13">
        <v>0</v>
      </c>
      <c r="S148" s="13">
        <v>0</v>
      </c>
      <c r="T148" s="13"/>
      <c r="U148" s="13"/>
      <c r="V148" s="13">
        <v>0</v>
      </c>
      <c r="W148" s="13">
        <v>0</v>
      </c>
      <c r="X148" s="13">
        <v>119.7</v>
      </c>
      <c r="Y148" s="13">
        <v>0</v>
      </c>
      <c r="Z148" s="13">
        <v>0</v>
      </c>
      <c r="AA148" s="13">
        <v>0</v>
      </c>
      <c r="AB148" s="13">
        <v>0</v>
      </c>
      <c r="AC148" s="13">
        <v>0</v>
      </c>
      <c r="AD148" s="13">
        <v>0</v>
      </c>
      <c r="AE148" s="13">
        <v>0</v>
      </c>
      <c r="AF148" s="13">
        <v>0</v>
      </c>
      <c r="AG148" s="99">
        <f t="shared" si="34"/>
        <v>51970.849999999991</v>
      </c>
      <c r="AH148" s="8">
        <v>145</v>
      </c>
    </row>
    <row r="149" spans="3:34" ht="15" x14ac:dyDescent="0.25">
      <c r="D149" s="8">
        <v>2045</v>
      </c>
      <c r="E149" s="8" t="s">
        <v>331</v>
      </c>
      <c r="F149" s="13">
        <v>0</v>
      </c>
      <c r="G149" s="13">
        <v>0</v>
      </c>
      <c r="H149" s="13">
        <v>0</v>
      </c>
      <c r="I149" s="13">
        <v>0</v>
      </c>
      <c r="J149" s="13">
        <v>0</v>
      </c>
      <c r="K149" s="13">
        <v>0</v>
      </c>
      <c r="L149" s="13">
        <v>0</v>
      </c>
      <c r="M149" s="13">
        <v>886.55</v>
      </c>
      <c r="N149" s="13">
        <v>0</v>
      </c>
      <c r="O149" s="13">
        <v>0</v>
      </c>
      <c r="P149" s="13">
        <v>0</v>
      </c>
      <c r="Q149" s="13">
        <v>0</v>
      </c>
      <c r="R149" s="13">
        <v>0</v>
      </c>
      <c r="S149" s="13">
        <v>0</v>
      </c>
      <c r="T149" s="13"/>
      <c r="U149" s="13"/>
      <c r="V149" s="13">
        <v>0</v>
      </c>
      <c r="W149" s="13">
        <v>0</v>
      </c>
      <c r="X149" s="13">
        <v>0</v>
      </c>
      <c r="Y149" s="13">
        <v>0</v>
      </c>
      <c r="Z149" s="13">
        <v>0</v>
      </c>
      <c r="AA149" s="13">
        <v>0</v>
      </c>
      <c r="AB149" s="13">
        <v>0</v>
      </c>
      <c r="AC149" s="13">
        <v>0</v>
      </c>
      <c r="AD149" s="13">
        <v>0</v>
      </c>
      <c r="AE149" s="13">
        <v>0</v>
      </c>
      <c r="AF149" s="13">
        <v>0</v>
      </c>
      <c r="AG149" s="99">
        <f t="shared" si="34"/>
        <v>886.55</v>
      </c>
      <c r="AH149" s="8">
        <v>146</v>
      </c>
    </row>
    <row r="150" spans="3:34"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c r="U150" s="13"/>
      <c r="V150" s="13">
        <v>0</v>
      </c>
      <c r="W150" s="13">
        <v>0</v>
      </c>
      <c r="X150" s="13">
        <v>0</v>
      </c>
      <c r="Y150" s="13">
        <v>0</v>
      </c>
      <c r="Z150" s="13">
        <v>0</v>
      </c>
      <c r="AA150" s="13">
        <v>0</v>
      </c>
      <c r="AB150" s="13">
        <v>0</v>
      </c>
      <c r="AC150" s="13">
        <v>0</v>
      </c>
      <c r="AD150" s="13">
        <v>0</v>
      </c>
      <c r="AE150" s="13">
        <v>0</v>
      </c>
      <c r="AF150" s="13">
        <v>0</v>
      </c>
      <c r="AG150" s="99">
        <f t="shared" si="34"/>
        <v>0</v>
      </c>
      <c r="AH150" s="8">
        <v>147</v>
      </c>
    </row>
    <row r="151" spans="3:34" ht="15" x14ac:dyDescent="0.25">
      <c r="D151" s="8">
        <v>2049</v>
      </c>
      <c r="E151" s="8" t="s">
        <v>411</v>
      </c>
      <c r="F151" s="13">
        <v>0</v>
      </c>
      <c r="G151" s="13">
        <v>0</v>
      </c>
      <c r="H151" s="13">
        <v>0</v>
      </c>
      <c r="I151" s="13">
        <v>0</v>
      </c>
      <c r="J151" s="13">
        <v>0</v>
      </c>
      <c r="K151" s="13">
        <v>0</v>
      </c>
      <c r="L151" s="13">
        <v>0</v>
      </c>
      <c r="M151" s="13">
        <v>0</v>
      </c>
      <c r="N151" s="13">
        <v>0</v>
      </c>
      <c r="O151" s="13">
        <v>0</v>
      </c>
      <c r="P151" s="13">
        <v>0</v>
      </c>
      <c r="Q151" s="13">
        <v>0</v>
      </c>
      <c r="R151" s="13">
        <v>0</v>
      </c>
      <c r="S151" s="13">
        <v>0</v>
      </c>
      <c r="T151" s="13"/>
      <c r="U151" s="13"/>
      <c r="V151" s="13">
        <v>800</v>
      </c>
      <c r="W151" s="13">
        <v>0</v>
      </c>
      <c r="X151" s="13">
        <v>0</v>
      </c>
      <c r="Y151" s="13">
        <v>0</v>
      </c>
      <c r="Z151" s="13">
        <v>0</v>
      </c>
      <c r="AA151" s="13">
        <v>0</v>
      </c>
      <c r="AB151" s="13">
        <v>0</v>
      </c>
      <c r="AC151" s="13">
        <v>0</v>
      </c>
      <c r="AD151" s="13">
        <v>0</v>
      </c>
      <c r="AE151" s="13">
        <v>0</v>
      </c>
      <c r="AF151" s="13">
        <v>0</v>
      </c>
      <c r="AG151" s="99">
        <f t="shared" si="34"/>
        <v>800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v>0</v>
      </c>
      <c r="K154" s="13">
        <v>0</v>
      </c>
      <c r="L154" s="13">
        <v>0</v>
      </c>
      <c r="M154" s="13">
        <v>0</v>
      </c>
      <c r="N154" s="13">
        <v>0</v>
      </c>
      <c r="O154" s="13">
        <v>0</v>
      </c>
      <c r="P154" s="13">
        <v>0</v>
      </c>
      <c r="Q154" s="13">
        <v>0</v>
      </c>
      <c r="R154" s="13">
        <v>0</v>
      </c>
      <c r="S154" s="13">
        <v>0</v>
      </c>
      <c r="T154" s="13"/>
      <c r="U154" s="13"/>
      <c r="V154" s="13">
        <v>0</v>
      </c>
      <c r="W154" s="13">
        <v>0</v>
      </c>
      <c r="X154" s="13">
        <v>0</v>
      </c>
      <c r="Y154" s="13">
        <v>0</v>
      </c>
      <c r="Z154" s="13">
        <v>41688.47</v>
      </c>
      <c r="AA154" s="13">
        <v>0</v>
      </c>
      <c r="AB154" s="13">
        <v>0</v>
      </c>
      <c r="AC154" s="13">
        <v>0</v>
      </c>
      <c r="AD154" s="13">
        <v>0</v>
      </c>
      <c r="AE154" s="13">
        <v>0</v>
      </c>
      <c r="AF154" s="13">
        <v>0</v>
      </c>
      <c r="AG154" s="99">
        <f t="shared" si="36"/>
        <v>41688.47</v>
      </c>
      <c r="AH154" s="8">
        <v>151</v>
      </c>
    </row>
    <row r="155" spans="3:34"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c r="U155" s="13"/>
      <c r="V155" s="13">
        <v>0</v>
      </c>
      <c r="W155" s="13">
        <v>0</v>
      </c>
      <c r="X155" s="13">
        <v>0</v>
      </c>
      <c r="Y155" s="13">
        <v>0</v>
      </c>
      <c r="Z155" s="13">
        <v>0</v>
      </c>
      <c r="AA155" s="13">
        <v>0</v>
      </c>
      <c r="AB155" s="13">
        <v>0</v>
      </c>
      <c r="AC155" s="13">
        <v>0</v>
      </c>
      <c r="AD155" s="13">
        <v>0</v>
      </c>
      <c r="AE155" s="13">
        <v>0</v>
      </c>
      <c r="AF155" s="13">
        <v>0</v>
      </c>
      <c r="AG155" s="99">
        <f t="shared" si="36"/>
        <v>0</v>
      </c>
      <c r="AH155" s="8">
        <v>152</v>
      </c>
    </row>
    <row r="156" spans="3:34"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c r="U156" s="13"/>
      <c r="V156" s="13">
        <v>0</v>
      </c>
      <c r="W156" s="13">
        <v>0</v>
      </c>
      <c r="X156" s="13">
        <v>0</v>
      </c>
      <c r="Y156" s="13">
        <v>0</v>
      </c>
      <c r="Z156" s="13">
        <v>0</v>
      </c>
      <c r="AA156" s="13">
        <v>0</v>
      </c>
      <c r="AB156" s="13">
        <v>0</v>
      </c>
      <c r="AC156" s="13">
        <v>0</v>
      </c>
      <c r="AD156" s="13">
        <v>0</v>
      </c>
      <c r="AE156" s="13">
        <v>0</v>
      </c>
      <c r="AF156" s="13">
        <v>0</v>
      </c>
      <c r="AG156" s="99">
        <f t="shared" si="36"/>
        <v>0</v>
      </c>
      <c r="AH156" s="8">
        <v>153</v>
      </c>
    </row>
    <row r="157" spans="3:34"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c r="U157" s="13"/>
      <c r="V157" s="13">
        <v>0</v>
      </c>
      <c r="W157" s="13">
        <v>0</v>
      </c>
      <c r="X157" s="13">
        <v>0</v>
      </c>
      <c r="Y157" s="13">
        <v>0</v>
      </c>
      <c r="Z157" s="13">
        <v>0</v>
      </c>
      <c r="AA157" s="13">
        <v>0</v>
      </c>
      <c r="AB157" s="13">
        <v>0</v>
      </c>
      <c r="AC157" s="13">
        <v>0</v>
      </c>
      <c r="AD157" s="13">
        <v>0</v>
      </c>
      <c r="AE157" s="13">
        <v>0</v>
      </c>
      <c r="AF157" s="13">
        <v>0</v>
      </c>
      <c r="AG157" s="99">
        <f t="shared" si="36"/>
        <v>0</v>
      </c>
      <c r="AH157" s="8">
        <v>154</v>
      </c>
    </row>
    <row r="158" spans="3:34" ht="15" x14ac:dyDescent="0.25">
      <c r="D158" s="8">
        <v>2054</v>
      </c>
      <c r="E158" s="8" t="s">
        <v>416</v>
      </c>
      <c r="F158" s="13">
        <v>0</v>
      </c>
      <c r="G158" s="13">
        <v>0</v>
      </c>
      <c r="H158" s="13">
        <v>0</v>
      </c>
      <c r="I158" s="13">
        <v>0</v>
      </c>
      <c r="J158" s="13">
        <v>0</v>
      </c>
      <c r="K158" s="13">
        <v>0</v>
      </c>
      <c r="L158" s="13">
        <v>0</v>
      </c>
      <c r="M158" s="13">
        <v>0</v>
      </c>
      <c r="N158" s="13">
        <v>0</v>
      </c>
      <c r="O158" s="13">
        <v>0</v>
      </c>
      <c r="P158" s="13">
        <v>0</v>
      </c>
      <c r="Q158" s="13">
        <v>0</v>
      </c>
      <c r="R158" s="13">
        <v>0</v>
      </c>
      <c r="S158" s="13">
        <v>0</v>
      </c>
      <c r="T158" s="13"/>
      <c r="U158" s="13"/>
      <c r="V158" s="13">
        <v>0</v>
      </c>
      <c r="W158" s="13">
        <v>0</v>
      </c>
      <c r="X158" s="13">
        <v>0</v>
      </c>
      <c r="Y158" s="13">
        <v>0</v>
      </c>
      <c r="Z158" s="13">
        <v>0</v>
      </c>
      <c r="AA158" s="13">
        <v>0</v>
      </c>
      <c r="AB158" s="13">
        <v>0</v>
      </c>
      <c r="AC158" s="13">
        <v>0</v>
      </c>
      <c r="AD158" s="13">
        <v>0</v>
      </c>
      <c r="AE158" s="13">
        <v>0</v>
      </c>
      <c r="AF158" s="13">
        <v>0</v>
      </c>
      <c r="AG158" s="99">
        <f t="shared" si="36"/>
        <v>0</v>
      </c>
      <c r="AH158" s="8">
        <v>155</v>
      </c>
    </row>
    <row r="159" spans="3:34"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c r="U159" s="13"/>
      <c r="V159" s="13">
        <v>0</v>
      </c>
      <c r="W159" s="13">
        <v>0</v>
      </c>
      <c r="X159" s="13">
        <v>0</v>
      </c>
      <c r="Y159" s="13">
        <v>0</v>
      </c>
      <c r="Z159" s="13">
        <v>0</v>
      </c>
      <c r="AA159" s="13">
        <v>0</v>
      </c>
      <c r="AB159" s="13">
        <v>0</v>
      </c>
      <c r="AC159" s="13">
        <v>0</v>
      </c>
      <c r="AD159" s="13">
        <v>0</v>
      </c>
      <c r="AE159" s="13">
        <v>0</v>
      </c>
      <c r="AF159" s="13">
        <v>0</v>
      </c>
      <c r="AG159" s="99">
        <f t="shared" si="36"/>
        <v>0</v>
      </c>
      <c r="AH159" s="8">
        <v>156</v>
      </c>
    </row>
    <row r="160" spans="3:34"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c r="U160" s="13"/>
      <c r="V160" s="13">
        <v>0</v>
      </c>
      <c r="W160" s="13">
        <v>0</v>
      </c>
      <c r="X160" s="13">
        <v>0</v>
      </c>
      <c r="Y160" s="13">
        <v>0</v>
      </c>
      <c r="Z160" s="13">
        <v>0</v>
      </c>
      <c r="AA160" s="13">
        <v>0</v>
      </c>
      <c r="AB160" s="13">
        <v>0</v>
      </c>
      <c r="AC160" s="13">
        <v>0</v>
      </c>
      <c r="AD160" s="13">
        <v>0</v>
      </c>
      <c r="AE160" s="13">
        <v>0</v>
      </c>
      <c r="AF160" s="13">
        <v>0</v>
      </c>
      <c r="AG160" s="99">
        <f t="shared" si="36"/>
        <v>0</v>
      </c>
      <c r="AH160" s="8">
        <v>157</v>
      </c>
    </row>
    <row r="161" spans="3:34"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c r="U161" s="13"/>
      <c r="V161" s="13">
        <v>0</v>
      </c>
      <c r="W161" s="13">
        <v>0</v>
      </c>
      <c r="X161" s="13">
        <v>0</v>
      </c>
      <c r="Y161" s="13">
        <v>0</v>
      </c>
      <c r="Z161" s="13">
        <v>0</v>
      </c>
      <c r="AA161" s="13">
        <v>0</v>
      </c>
      <c r="AB161" s="13">
        <v>0</v>
      </c>
      <c r="AC161" s="13">
        <v>0</v>
      </c>
      <c r="AD161" s="13">
        <v>0</v>
      </c>
      <c r="AE161" s="13">
        <v>0</v>
      </c>
      <c r="AF161" s="13">
        <v>0</v>
      </c>
      <c r="AG161" s="99">
        <f t="shared" si="36"/>
        <v>0</v>
      </c>
      <c r="AH161" s="8">
        <v>158</v>
      </c>
    </row>
    <row r="162" spans="3:34"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c r="U162" s="13"/>
      <c r="V162" s="13">
        <v>0</v>
      </c>
      <c r="W162" s="13">
        <v>0</v>
      </c>
      <c r="X162" s="13">
        <v>0</v>
      </c>
      <c r="Y162" s="13">
        <v>0</v>
      </c>
      <c r="Z162" s="13">
        <v>0</v>
      </c>
      <c r="AA162" s="13">
        <v>0</v>
      </c>
      <c r="AB162" s="13">
        <v>0</v>
      </c>
      <c r="AC162" s="13">
        <v>0</v>
      </c>
      <c r="AD162" s="13">
        <v>0</v>
      </c>
      <c r="AE162" s="13">
        <v>0</v>
      </c>
      <c r="AF162" s="13">
        <v>0</v>
      </c>
      <c r="AG162" s="99">
        <f t="shared" si="36"/>
        <v>0</v>
      </c>
      <c r="AH162" s="8">
        <v>159</v>
      </c>
    </row>
    <row r="163" spans="3:34" ht="15" x14ac:dyDescent="0.25">
      <c r="D163" s="8">
        <v>2059</v>
      </c>
      <c r="E163" s="8" t="s">
        <v>421</v>
      </c>
      <c r="F163" s="13">
        <v>0</v>
      </c>
      <c r="G163" s="13">
        <v>0</v>
      </c>
      <c r="H163" s="13">
        <v>0</v>
      </c>
      <c r="I163" s="13">
        <v>0</v>
      </c>
      <c r="J163" s="13">
        <v>0</v>
      </c>
      <c r="K163" s="13">
        <v>0</v>
      </c>
      <c r="L163" s="13">
        <v>0</v>
      </c>
      <c r="M163" s="13">
        <v>0</v>
      </c>
      <c r="N163" s="13">
        <v>0</v>
      </c>
      <c r="O163" s="13">
        <v>0</v>
      </c>
      <c r="P163" s="13">
        <v>0</v>
      </c>
      <c r="Q163" s="13">
        <v>0</v>
      </c>
      <c r="R163" s="13">
        <v>0</v>
      </c>
      <c r="S163" s="13">
        <v>0</v>
      </c>
      <c r="T163" s="13"/>
      <c r="U163" s="13"/>
      <c r="V163" s="13">
        <v>0</v>
      </c>
      <c r="W163" s="13">
        <v>0</v>
      </c>
      <c r="X163" s="13">
        <v>0</v>
      </c>
      <c r="Y163" s="13">
        <v>0</v>
      </c>
      <c r="Z163" s="13">
        <v>0</v>
      </c>
      <c r="AA163" s="13">
        <v>0</v>
      </c>
      <c r="AB163" s="13">
        <v>0</v>
      </c>
      <c r="AC163" s="13">
        <v>0</v>
      </c>
      <c r="AD163" s="13">
        <v>0</v>
      </c>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861280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2640900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38438446.210000001</v>
      </c>
      <c r="AH165" s="8">
        <v>162</v>
      </c>
    </row>
    <row r="166" spans="3:34" ht="15" x14ac:dyDescent="0.25">
      <c r="D166" s="8">
        <v>2060</v>
      </c>
      <c r="E166" s="8" t="s">
        <v>422</v>
      </c>
      <c r="F166" s="13">
        <v>0</v>
      </c>
      <c r="G166" s="13">
        <v>0</v>
      </c>
      <c r="H166" s="13">
        <v>0</v>
      </c>
      <c r="I166" s="13">
        <v>0</v>
      </c>
      <c r="J166" s="13">
        <v>0</v>
      </c>
      <c r="K166" s="13">
        <v>0</v>
      </c>
      <c r="L166" s="13">
        <v>0</v>
      </c>
      <c r="M166" s="13">
        <v>0</v>
      </c>
      <c r="N166" s="13">
        <v>0</v>
      </c>
      <c r="O166" s="13">
        <v>0</v>
      </c>
      <c r="P166" s="13">
        <v>0</v>
      </c>
      <c r="Q166" s="13">
        <v>0</v>
      </c>
      <c r="R166" s="13">
        <v>0</v>
      </c>
      <c r="S166" s="13">
        <v>0</v>
      </c>
      <c r="T166" s="13"/>
      <c r="U166" s="13"/>
      <c r="V166" s="13">
        <v>0</v>
      </c>
      <c r="W166" s="13">
        <v>0</v>
      </c>
      <c r="X166" s="13">
        <v>0</v>
      </c>
      <c r="Y166" s="13">
        <v>0</v>
      </c>
      <c r="Z166" s="13">
        <v>0</v>
      </c>
      <c r="AA166" s="13">
        <v>0</v>
      </c>
      <c r="AB166" s="13">
        <v>0</v>
      </c>
      <c r="AC166" s="13">
        <v>0</v>
      </c>
      <c r="AD166" s="13">
        <v>0</v>
      </c>
      <c r="AE166" s="13">
        <v>0</v>
      </c>
      <c r="AF166" s="13">
        <v>0</v>
      </c>
      <c r="AG166" s="99">
        <f t="shared" si="38"/>
        <v>0</v>
      </c>
      <c r="AH166" s="8">
        <v>163</v>
      </c>
    </row>
    <row r="167" spans="3:34"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c r="U167" s="13"/>
      <c r="V167" s="13">
        <v>0</v>
      </c>
      <c r="W167" s="13">
        <v>0</v>
      </c>
      <c r="X167" s="13">
        <v>0</v>
      </c>
      <c r="Y167" s="13">
        <v>0</v>
      </c>
      <c r="Z167" s="13">
        <v>0</v>
      </c>
      <c r="AA167" s="13">
        <v>0</v>
      </c>
      <c r="AB167" s="13">
        <v>0</v>
      </c>
      <c r="AC167" s="13">
        <v>0</v>
      </c>
      <c r="AD167" s="13">
        <v>0</v>
      </c>
      <c r="AE167" s="13">
        <v>0</v>
      </c>
      <c r="AF167" s="13">
        <v>0</v>
      </c>
      <c r="AG167" s="99">
        <f t="shared" si="38"/>
        <v>0</v>
      </c>
      <c r="AH167" s="8">
        <v>164</v>
      </c>
    </row>
    <row r="168" spans="3:34" ht="15" x14ac:dyDescent="0.25">
      <c r="D168" s="8">
        <v>2063</v>
      </c>
      <c r="E168" s="8" t="s">
        <v>424</v>
      </c>
      <c r="F168" s="13">
        <v>1916587.51</v>
      </c>
      <c r="G168" s="13">
        <v>0</v>
      </c>
      <c r="H168" s="13">
        <v>0</v>
      </c>
      <c r="I168" s="13">
        <v>0</v>
      </c>
      <c r="J168" s="13">
        <v>861280</v>
      </c>
      <c r="K168" s="13">
        <v>2817998.7</v>
      </c>
      <c r="L168" s="13">
        <v>500000</v>
      </c>
      <c r="M168" s="13">
        <v>3513500</v>
      </c>
      <c r="N168" s="13">
        <v>0</v>
      </c>
      <c r="O168" s="13">
        <v>0</v>
      </c>
      <c r="P168" s="13">
        <v>0</v>
      </c>
      <c r="Q168" s="13">
        <v>0</v>
      </c>
      <c r="R168" s="13">
        <v>24800</v>
      </c>
      <c r="S168" s="13">
        <v>0</v>
      </c>
      <c r="T168" s="13"/>
      <c r="U168" s="13"/>
      <c r="V168" s="13">
        <v>2640900</v>
      </c>
      <c r="W168" s="13">
        <v>500000</v>
      </c>
      <c r="X168" s="13">
        <v>0</v>
      </c>
      <c r="Y168" s="13">
        <v>170400</v>
      </c>
      <c r="Z168" s="13">
        <v>13163600</v>
      </c>
      <c r="AA168" s="13">
        <v>1709300</v>
      </c>
      <c r="AB168" s="13">
        <v>0</v>
      </c>
      <c r="AC168" s="13">
        <v>0</v>
      </c>
      <c r="AD168" s="13">
        <v>0</v>
      </c>
      <c r="AE168" s="13">
        <v>7350000</v>
      </c>
      <c r="AF168" s="13">
        <v>0</v>
      </c>
      <c r="AG168" s="99">
        <f t="shared" si="38"/>
        <v>35168366.210000001</v>
      </c>
      <c r="AH168" s="8">
        <v>165</v>
      </c>
    </row>
    <row r="169" spans="3:34" ht="15" x14ac:dyDescent="0.25">
      <c r="D169" s="8">
        <v>2064</v>
      </c>
      <c r="E169" s="8" t="s">
        <v>445</v>
      </c>
      <c r="F169" s="13">
        <v>0</v>
      </c>
      <c r="G169" s="13">
        <v>0</v>
      </c>
      <c r="H169" s="13">
        <v>0</v>
      </c>
      <c r="I169" s="13">
        <v>0</v>
      </c>
      <c r="J169" s="13">
        <v>0</v>
      </c>
      <c r="K169" s="13">
        <v>0</v>
      </c>
      <c r="L169" s="13">
        <v>0</v>
      </c>
      <c r="M169" s="13">
        <v>0</v>
      </c>
      <c r="N169" s="13">
        <v>0</v>
      </c>
      <c r="O169" s="13">
        <v>0</v>
      </c>
      <c r="P169" s="13">
        <v>0</v>
      </c>
      <c r="Q169" s="13">
        <v>0</v>
      </c>
      <c r="R169" s="13">
        <v>0</v>
      </c>
      <c r="S169" s="13">
        <v>0</v>
      </c>
      <c r="T169" s="13"/>
      <c r="U169" s="13"/>
      <c r="V169" s="13">
        <v>0</v>
      </c>
      <c r="W169" s="13">
        <v>0</v>
      </c>
      <c r="X169" s="13">
        <v>0</v>
      </c>
      <c r="Y169" s="13">
        <v>0</v>
      </c>
      <c r="Z169" s="13">
        <v>0</v>
      </c>
      <c r="AA169" s="13">
        <v>66000</v>
      </c>
      <c r="AB169" s="13">
        <v>3418000</v>
      </c>
      <c r="AC169" s="13">
        <v>0</v>
      </c>
      <c r="AD169" s="13">
        <v>0</v>
      </c>
      <c r="AE169" s="13">
        <v>0</v>
      </c>
      <c r="AF169" s="13">
        <v>0</v>
      </c>
      <c r="AG169" s="99">
        <f t="shared" si="38"/>
        <v>3484000</v>
      </c>
      <c r="AH169" s="8">
        <v>166</v>
      </c>
    </row>
    <row r="170" spans="3:34"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c r="U170" s="13"/>
      <c r="V170" s="13">
        <v>0</v>
      </c>
      <c r="W170" s="13">
        <v>0</v>
      </c>
      <c r="X170" s="13">
        <v>0</v>
      </c>
      <c r="Y170" s="13">
        <v>0</v>
      </c>
      <c r="Z170" s="13">
        <v>0</v>
      </c>
      <c r="AA170" s="13">
        <v>0</v>
      </c>
      <c r="AB170" s="13">
        <v>0</v>
      </c>
      <c r="AC170" s="13">
        <v>0</v>
      </c>
      <c r="AD170" s="13">
        <v>0</v>
      </c>
      <c r="AE170" s="13">
        <v>0</v>
      </c>
      <c r="AF170" s="13">
        <v>0</v>
      </c>
      <c r="AG170" s="99">
        <f t="shared" si="38"/>
        <v>0</v>
      </c>
      <c r="AH170" s="8">
        <v>167</v>
      </c>
    </row>
    <row r="171" spans="3:34" ht="15" x14ac:dyDescent="0.25">
      <c r="D171" s="8">
        <v>2069</v>
      </c>
      <c r="E171" s="8" t="s">
        <v>427</v>
      </c>
      <c r="F171" s="13">
        <v>0</v>
      </c>
      <c r="G171" s="13">
        <v>0</v>
      </c>
      <c r="H171" s="13">
        <v>0</v>
      </c>
      <c r="I171" s="13">
        <v>0</v>
      </c>
      <c r="J171" s="13">
        <v>0</v>
      </c>
      <c r="K171" s="13">
        <v>-319920</v>
      </c>
      <c r="L171" s="13">
        <v>0</v>
      </c>
      <c r="M171" s="13">
        <v>0</v>
      </c>
      <c r="N171" s="13">
        <v>0</v>
      </c>
      <c r="O171" s="13">
        <v>106000</v>
      </c>
      <c r="P171" s="13">
        <v>0</v>
      </c>
      <c r="Q171" s="13">
        <v>0</v>
      </c>
      <c r="R171" s="13">
        <v>0</v>
      </c>
      <c r="S171" s="13">
        <v>0</v>
      </c>
      <c r="T171" s="13"/>
      <c r="U171" s="13"/>
      <c r="V171" s="13">
        <v>0</v>
      </c>
      <c r="W171" s="13">
        <v>0</v>
      </c>
      <c r="X171" s="13">
        <v>0</v>
      </c>
      <c r="Y171" s="13">
        <v>0</v>
      </c>
      <c r="Z171" s="13">
        <v>0</v>
      </c>
      <c r="AA171" s="13">
        <v>0</v>
      </c>
      <c r="AB171" s="13">
        <v>0</v>
      </c>
      <c r="AC171" s="13">
        <v>0</v>
      </c>
      <c r="AD171" s="13">
        <v>0</v>
      </c>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c r="U174" s="13"/>
      <c r="V174" s="13">
        <v>0</v>
      </c>
      <c r="W174" s="13">
        <v>0</v>
      </c>
      <c r="X174" s="13">
        <v>0</v>
      </c>
      <c r="Y174" s="13">
        <v>0</v>
      </c>
      <c r="Z174" s="13">
        <v>0</v>
      </c>
      <c r="AA174" s="13">
        <v>0</v>
      </c>
      <c r="AB174" s="13">
        <v>0</v>
      </c>
      <c r="AC174" s="13">
        <v>0</v>
      </c>
      <c r="AD174" s="13">
        <v>0</v>
      </c>
      <c r="AE174" s="13">
        <v>0</v>
      </c>
      <c r="AF174" s="13">
        <v>0</v>
      </c>
      <c r="AG174" s="99">
        <f t="shared" si="40"/>
        <v>0</v>
      </c>
      <c r="AH174" s="8">
        <v>171</v>
      </c>
    </row>
    <row r="175" spans="3:34"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c r="U175" s="13"/>
      <c r="V175" s="13">
        <v>0</v>
      </c>
      <c r="W175" s="13">
        <v>0</v>
      </c>
      <c r="X175" s="13">
        <v>0</v>
      </c>
      <c r="Y175" s="13">
        <v>0</v>
      </c>
      <c r="Z175" s="13">
        <v>0</v>
      </c>
      <c r="AA175" s="13">
        <v>0</v>
      </c>
      <c r="AB175" s="13">
        <v>0</v>
      </c>
      <c r="AC175" s="13">
        <v>0</v>
      </c>
      <c r="AD175" s="13">
        <v>0</v>
      </c>
      <c r="AE175" s="13">
        <v>0</v>
      </c>
      <c r="AF175" s="13">
        <v>0</v>
      </c>
      <c r="AG175" s="99">
        <f t="shared" si="40"/>
        <v>0</v>
      </c>
      <c r="AH175" s="8">
        <v>172</v>
      </c>
    </row>
    <row r="176" spans="3:34"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c r="U176" s="13"/>
      <c r="V176" s="13">
        <v>0</v>
      </c>
      <c r="W176" s="13">
        <v>0</v>
      </c>
      <c r="X176" s="13">
        <v>0</v>
      </c>
      <c r="Y176" s="13">
        <v>0</v>
      </c>
      <c r="Z176" s="13">
        <v>0</v>
      </c>
      <c r="AA176" s="13">
        <v>0</v>
      </c>
      <c r="AB176" s="13">
        <v>0</v>
      </c>
      <c r="AC176" s="13">
        <v>0</v>
      </c>
      <c r="AD176" s="13">
        <v>0</v>
      </c>
      <c r="AE176" s="13">
        <v>0</v>
      </c>
      <c r="AF176" s="13">
        <v>0</v>
      </c>
      <c r="AG176" s="99">
        <f t="shared" si="40"/>
        <v>0</v>
      </c>
      <c r="AH176" s="8">
        <v>173</v>
      </c>
    </row>
    <row r="177" spans="2:34"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c r="U177" s="13"/>
      <c r="V177" s="13">
        <v>0</v>
      </c>
      <c r="W177" s="13">
        <v>0</v>
      </c>
      <c r="X177" s="13">
        <v>0</v>
      </c>
      <c r="Y177" s="13">
        <v>0</v>
      </c>
      <c r="Z177" s="13">
        <v>0</v>
      </c>
      <c r="AA177" s="13">
        <v>0</v>
      </c>
      <c r="AB177" s="13">
        <v>0</v>
      </c>
      <c r="AC177" s="13">
        <v>0</v>
      </c>
      <c r="AD177" s="13">
        <v>0</v>
      </c>
      <c r="AE177" s="13">
        <v>0</v>
      </c>
      <c r="AF177" s="13">
        <v>0</v>
      </c>
      <c r="AG177" s="99">
        <f t="shared" si="40"/>
        <v>0</v>
      </c>
      <c r="AH177" s="8">
        <v>174</v>
      </c>
    </row>
    <row r="178" spans="2:34" ht="15" x14ac:dyDescent="0.25">
      <c r="D178" s="8">
        <v>2085</v>
      </c>
      <c r="E178" s="8" t="s">
        <v>433</v>
      </c>
      <c r="F178" s="13">
        <v>0</v>
      </c>
      <c r="G178" s="13">
        <v>0</v>
      </c>
      <c r="H178" s="13">
        <v>0</v>
      </c>
      <c r="I178" s="13">
        <v>0</v>
      </c>
      <c r="J178" s="13">
        <v>0</v>
      </c>
      <c r="K178" s="13">
        <v>0</v>
      </c>
      <c r="L178" s="13">
        <v>0</v>
      </c>
      <c r="M178" s="13">
        <v>0</v>
      </c>
      <c r="N178" s="13">
        <v>0</v>
      </c>
      <c r="O178" s="13">
        <v>0</v>
      </c>
      <c r="P178" s="13">
        <v>0</v>
      </c>
      <c r="Q178" s="13">
        <v>0</v>
      </c>
      <c r="R178" s="13">
        <v>0</v>
      </c>
      <c r="S178" s="13">
        <v>0</v>
      </c>
      <c r="T178" s="13"/>
      <c r="U178" s="13"/>
      <c r="V178" s="13">
        <v>0</v>
      </c>
      <c r="W178" s="13">
        <v>0</v>
      </c>
      <c r="X178" s="13">
        <v>0</v>
      </c>
      <c r="Y178" s="13">
        <v>0</v>
      </c>
      <c r="Z178" s="13">
        <v>0</v>
      </c>
      <c r="AA178" s="13">
        <v>131535.79999999999</v>
      </c>
      <c r="AB178" s="13">
        <v>0</v>
      </c>
      <c r="AC178" s="13">
        <v>0</v>
      </c>
      <c r="AD178" s="13">
        <v>0</v>
      </c>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c r="U179" s="13"/>
      <c r="V179" s="13">
        <v>0</v>
      </c>
      <c r="W179" s="13">
        <v>0</v>
      </c>
      <c r="X179" s="13">
        <v>0</v>
      </c>
      <c r="Y179" s="13">
        <v>0</v>
      </c>
      <c r="Z179" s="13">
        <v>0</v>
      </c>
      <c r="AA179" s="13">
        <v>0</v>
      </c>
      <c r="AB179" s="13">
        <v>0</v>
      </c>
      <c r="AC179" s="13">
        <v>0</v>
      </c>
      <c r="AD179" s="13">
        <v>0</v>
      </c>
      <c r="AE179" s="13">
        <v>0</v>
      </c>
      <c r="AF179" s="13">
        <v>0</v>
      </c>
      <c r="AG179" s="99">
        <f t="shared" si="40"/>
        <v>0</v>
      </c>
      <c r="AH179" s="8">
        <v>176</v>
      </c>
    </row>
    <row r="180" spans="2:34"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c r="U180" s="13"/>
      <c r="V180" s="13">
        <v>0</v>
      </c>
      <c r="W180" s="13">
        <v>0</v>
      </c>
      <c r="X180" s="13">
        <v>0</v>
      </c>
      <c r="Y180" s="13">
        <v>0</v>
      </c>
      <c r="Z180" s="13">
        <v>0</v>
      </c>
      <c r="AA180" s="13">
        <v>0</v>
      </c>
      <c r="AB180" s="13">
        <v>0</v>
      </c>
      <c r="AC180" s="13">
        <v>0</v>
      </c>
      <c r="AD180" s="13">
        <v>0</v>
      </c>
      <c r="AE180" s="13">
        <v>0</v>
      </c>
      <c r="AF180" s="13">
        <v>0</v>
      </c>
      <c r="AG180" s="99">
        <f t="shared" si="40"/>
        <v>0</v>
      </c>
      <c r="AH180" s="8">
        <v>177</v>
      </c>
    </row>
    <row r="181" spans="2:34"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c r="U181" s="13"/>
      <c r="V181" s="13">
        <v>0</v>
      </c>
      <c r="W181" s="13">
        <v>0</v>
      </c>
      <c r="X181" s="13">
        <v>0</v>
      </c>
      <c r="Y181" s="13">
        <v>0</v>
      </c>
      <c r="Z181" s="13">
        <v>0</v>
      </c>
      <c r="AA181" s="13">
        <v>0</v>
      </c>
      <c r="AB181" s="13">
        <v>0</v>
      </c>
      <c r="AC181" s="13">
        <v>0</v>
      </c>
      <c r="AD181" s="13">
        <v>0</v>
      </c>
      <c r="AE181" s="13">
        <v>0</v>
      </c>
      <c r="AF181" s="13">
        <v>0</v>
      </c>
      <c r="AG181" s="99">
        <f t="shared" si="40"/>
        <v>0</v>
      </c>
      <c r="AH181" s="8">
        <v>178</v>
      </c>
    </row>
    <row r="182" spans="2:34" ht="15" x14ac:dyDescent="0.25">
      <c r="D182" s="8">
        <v>2089</v>
      </c>
      <c r="E182" s="8" t="s">
        <v>436</v>
      </c>
      <c r="F182" s="13">
        <v>0</v>
      </c>
      <c r="G182" s="13">
        <v>0</v>
      </c>
      <c r="H182" s="13">
        <v>0</v>
      </c>
      <c r="I182" s="13">
        <v>0</v>
      </c>
      <c r="J182" s="13">
        <v>0</v>
      </c>
      <c r="K182" s="13">
        <v>0</v>
      </c>
      <c r="L182" s="13">
        <v>0</v>
      </c>
      <c r="M182" s="13">
        <v>0</v>
      </c>
      <c r="N182" s="13">
        <v>13119.4</v>
      </c>
      <c r="O182" s="13">
        <v>0</v>
      </c>
      <c r="P182" s="13">
        <v>0</v>
      </c>
      <c r="Q182" s="13">
        <v>0</v>
      </c>
      <c r="R182" s="13">
        <v>0</v>
      </c>
      <c r="S182" s="13">
        <v>0</v>
      </c>
      <c r="T182" s="13"/>
      <c r="U182" s="13"/>
      <c r="V182" s="13">
        <v>0</v>
      </c>
      <c r="W182" s="13">
        <v>0</v>
      </c>
      <c r="X182" s="13">
        <v>0</v>
      </c>
      <c r="Y182" s="13">
        <v>0</v>
      </c>
      <c r="Z182" s="13">
        <v>0</v>
      </c>
      <c r="AA182" s="13">
        <v>0</v>
      </c>
      <c r="AB182" s="13">
        <v>0</v>
      </c>
      <c r="AC182" s="13">
        <v>0</v>
      </c>
      <c r="AD182" s="13">
        <v>0</v>
      </c>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150000</v>
      </c>
      <c r="AE184" s="128">
        <f t="shared" si="41"/>
        <v>0</v>
      </c>
      <c r="AF184" s="128">
        <f t="shared" si="41"/>
        <v>0</v>
      </c>
      <c r="AG184" s="128">
        <f>SUM(F184:AF184)</f>
        <v>350000</v>
      </c>
      <c r="AH184" s="8">
        <v>181</v>
      </c>
    </row>
    <row r="185" spans="2:34" ht="15" x14ac:dyDescent="0.25">
      <c r="D185" s="8">
        <v>2090</v>
      </c>
      <c r="E185" s="8" t="s">
        <v>258</v>
      </c>
      <c r="F185" s="13">
        <v>0</v>
      </c>
      <c r="G185" s="13">
        <v>0</v>
      </c>
      <c r="H185" s="13">
        <v>0</v>
      </c>
      <c r="I185" s="13">
        <v>0</v>
      </c>
      <c r="J185" s="13">
        <v>0</v>
      </c>
      <c r="K185" s="13">
        <v>0</v>
      </c>
      <c r="L185" s="13">
        <v>0</v>
      </c>
      <c r="M185" s="13">
        <v>0</v>
      </c>
      <c r="N185" s="13">
        <v>0</v>
      </c>
      <c r="O185" s="13">
        <v>0</v>
      </c>
      <c r="P185" s="13">
        <v>0</v>
      </c>
      <c r="Q185" s="13">
        <v>0</v>
      </c>
      <c r="R185" s="13">
        <v>0</v>
      </c>
      <c r="S185" s="13">
        <v>0</v>
      </c>
      <c r="T185" s="13"/>
      <c r="U185" s="13"/>
      <c r="V185" s="13">
        <v>0</v>
      </c>
      <c r="W185" s="13">
        <v>0</v>
      </c>
      <c r="X185" s="13">
        <v>0</v>
      </c>
      <c r="Y185" s="13">
        <v>0</v>
      </c>
      <c r="Z185" s="13">
        <v>0</v>
      </c>
      <c r="AA185" s="13">
        <v>0</v>
      </c>
      <c r="AB185" s="13">
        <v>0</v>
      </c>
      <c r="AC185" s="13">
        <v>0</v>
      </c>
      <c r="AD185" s="13">
        <v>0</v>
      </c>
      <c r="AE185" s="13">
        <v>0</v>
      </c>
      <c r="AF185" s="13">
        <v>0</v>
      </c>
      <c r="AG185" s="99">
        <f>SUM(F185:AF185)</f>
        <v>0</v>
      </c>
      <c r="AH185" s="8">
        <v>182</v>
      </c>
    </row>
    <row r="186" spans="2:34" ht="15" x14ac:dyDescent="0.25">
      <c r="D186" s="8">
        <v>2091</v>
      </c>
      <c r="E186" s="8" t="s">
        <v>437</v>
      </c>
      <c r="F186" s="13">
        <v>0</v>
      </c>
      <c r="G186" s="13">
        <v>0</v>
      </c>
      <c r="H186" s="13">
        <v>0</v>
      </c>
      <c r="I186" s="13">
        <v>200000</v>
      </c>
      <c r="J186" s="13">
        <v>0</v>
      </c>
      <c r="K186" s="13">
        <v>0</v>
      </c>
      <c r="L186" s="13">
        <v>0</v>
      </c>
      <c r="M186" s="13">
        <v>0</v>
      </c>
      <c r="N186" s="13">
        <v>0</v>
      </c>
      <c r="O186" s="13">
        <v>0</v>
      </c>
      <c r="P186" s="13">
        <v>0</v>
      </c>
      <c r="Q186" s="13">
        <v>0</v>
      </c>
      <c r="R186" s="13">
        <v>0</v>
      </c>
      <c r="S186" s="13">
        <v>0</v>
      </c>
      <c r="T186" s="13"/>
      <c r="U186" s="13"/>
      <c r="V186" s="13">
        <v>0</v>
      </c>
      <c r="W186" s="13">
        <v>0</v>
      </c>
      <c r="X186" s="13">
        <v>0</v>
      </c>
      <c r="Y186" s="13">
        <v>0</v>
      </c>
      <c r="Z186" s="13">
        <v>0</v>
      </c>
      <c r="AA186" s="13">
        <v>0</v>
      </c>
      <c r="AB186" s="13">
        <v>0</v>
      </c>
      <c r="AC186" s="13">
        <v>0</v>
      </c>
      <c r="AD186" s="13">
        <v>150000</v>
      </c>
      <c r="AE186" s="13">
        <v>0</v>
      </c>
      <c r="AF186" s="13">
        <v>0</v>
      </c>
      <c r="AG186" s="99">
        <f>SUM(F186:AF186)</f>
        <v>350000</v>
      </c>
      <c r="AH186" s="8">
        <v>183</v>
      </c>
    </row>
    <row r="187" spans="2:34" ht="15" x14ac:dyDescent="0.25">
      <c r="D187" s="8">
        <v>2092</v>
      </c>
      <c r="E187" s="8" t="s">
        <v>438</v>
      </c>
      <c r="F187" s="13">
        <v>0</v>
      </c>
      <c r="G187" s="13">
        <v>0</v>
      </c>
      <c r="H187" s="13">
        <v>0</v>
      </c>
      <c r="I187" s="13">
        <v>0</v>
      </c>
      <c r="J187" s="13">
        <v>0</v>
      </c>
      <c r="K187" s="13">
        <v>0</v>
      </c>
      <c r="L187" s="13">
        <v>0</v>
      </c>
      <c r="M187" s="13">
        <v>0</v>
      </c>
      <c r="N187" s="13">
        <v>0</v>
      </c>
      <c r="O187" s="13">
        <v>0</v>
      </c>
      <c r="P187" s="13">
        <v>0</v>
      </c>
      <c r="Q187" s="13">
        <v>0</v>
      </c>
      <c r="R187" s="13">
        <v>0</v>
      </c>
      <c r="S187" s="13">
        <v>0</v>
      </c>
      <c r="T187" s="13"/>
      <c r="U187" s="13"/>
      <c r="V187" s="13">
        <v>0</v>
      </c>
      <c r="W187" s="13">
        <v>0</v>
      </c>
      <c r="X187" s="13">
        <v>0</v>
      </c>
      <c r="Y187" s="13">
        <v>0</v>
      </c>
      <c r="Z187" s="13">
        <v>0</v>
      </c>
      <c r="AA187" s="13">
        <v>0</v>
      </c>
      <c r="AB187" s="13">
        <v>0</v>
      </c>
      <c r="AC187" s="13">
        <v>0</v>
      </c>
      <c r="AD187" s="13">
        <v>0</v>
      </c>
      <c r="AE187" s="13">
        <v>0</v>
      </c>
      <c r="AF187" s="13">
        <v>0</v>
      </c>
      <c r="AG187" s="99">
        <f>SUM(F187:AF187)</f>
        <v>0</v>
      </c>
      <c r="AH187" s="8">
        <v>184</v>
      </c>
    </row>
    <row r="188" spans="2:34"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c r="U188" s="13"/>
      <c r="V188" s="13">
        <v>0</v>
      </c>
      <c r="W188" s="13">
        <v>0</v>
      </c>
      <c r="X188" s="13">
        <v>0</v>
      </c>
      <c r="Y188" s="13">
        <v>0</v>
      </c>
      <c r="Z188" s="13">
        <v>0</v>
      </c>
      <c r="AA188" s="13">
        <v>0</v>
      </c>
      <c r="AB188" s="13">
        <v>0</v>
      </c>
      <c r="AC188" s="13">
        <v>0</v>
      </c>
      <c r="AD188" s="13">
        <v>0</v>
      </c>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571673.67999999993</v>
      </c>
      <c r="W190" s="126">
        <f t="shared" si="42"/>
        <v>15199.75</v>
      </c>
      <c r="X190" s="126">
        <f t="shared" si="42"/>
        <v>27973.65</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105009962.06999999</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135995.63</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9961529.8499999978</v>
      </c>
      <c r="AH191" s="8">
        <v>188</v>
      </c>
    </row>
    <row r="192" spans="2:34" ht="15" x14ac:dyDescent="0.25">
      <c r="D192" s="8">
        <v>2900</v>
      </c>
      <c r="E192" s="8" t="s">
        <v>260</v>
      </c>
      <c r="F192" s="13">
        <v>0</v>
      </c>
      <c r="G192" s="13">
        <v>4068706.41</v>
      </c>
      <c r="H192" s="13">
        <v>234853</v>
      </c>
      <c r="I192" s="13">
        <v>1262004.1000000001</v>
      </c>
      <c r="J192" s="13">
        <v>0</v>
      </c>
      <c r="K192" s="13">
        <v>136411.95000000001</v>
      </c>
      <c r="L192" s="13">
        <v>0</v>
      </c>
      <c r="M192" s="13">
        <v>573399.64</v>
      </c>
      <c r="N192" s="13">
        <v>0</v>
      </c>
      <c r="O192" s="13">
        <v>0</v>
      </c>
      <c r="P192" s="13">
        <v>0</v>
      </c>
      <c r="Q192" s="13">
        <v>0</v>
      </c>
      <c r="R192" s="13">
        <v>0</v>
      </c>
      <c r="S192" s="13">
        <v>0</v>
      </c>
      <c r="T192" s="13"/>
      <c r="U192" s="13"/>
      <c r="V192" s="13">
        <v>135995.63</v>
      </c>
      <c r="W192" s="13">
        <v>0</v>
      </c>
      <c r="X192" s="13">
        <v>0</v>
      </c>
      <c r="Y192" s="13">
        <v>2029672.73</v>
      </c>
      <c r="Z192" s="13">
        <v>427817.65</v>
      </c>
      <c r="AA192" s="13">
        <v>0</v>
      </c>
      <c r="AB192" s="13">
        <v>460418.79</v>
      </c>
      <c r="AC192" s="13">
        <v>0</v>
      </c>
      <c r="AD192" s="13">
        <v>0</v>
      </c>
      <c r="AE192" s="13">
        <v>0</v>
      </c>
      <c r="AF192" s="13">
        <v>632249.94999999995</v>
      </c>
      <c r="AG192" s="99">
        <f>SUM(F192:AF192)</f>
        <v>9961529.8499999978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v>0</v>
      </c>
      <c r="K195" s="13">
        <v>0</v>
      </c>
      <c r="L195" s="13">
        <v>0</v>
      </c>
      <c r="M195" s="13">
        <v>0</v>
      </c>
      <c r="N195" s="13">
        <v>0</v>
      </c>
      <c r="O195" s="13">
        <v>0</v>
      </c>
      <c r="P195" s="13">
        <v>0</v>
      </c>
      <c r="Q195" s="13">
        <v>0</v>
      </c>
      <c r="R195" s="13">
        <v>0</v>
      </c>
      <c r="S195" s="13">
        <v>0</v>
      </c>
      <c r="T195" s="13"/>
      <c r="U195" s="13"/>
      <c r="V195" s="13">
        <v>0</v>
      </c>
      <c r="W195" s="13">
        <v>0</v>
      </c>
      <c r="X195" s="13">
        <v>0</v>
      </c>
      <c r="Y195" s="13">
        <v>0</v>
      </c>
      <c r="Z195" s="13">
        <v>0</v>
      </c>
      <c r="AA195" s="13">
        <v>0</v>
      </c>
      <c r="AB195" s="13">
        <v>0</v>
      </c>
      <c r="AC195" s="13">
        <v>0</v>
      </c>
      <c r="AD195" s="13">
        <v>0</v>
      </c>
      <c r="AE195" s="13">
        <v>0</v>
      </c>
      <c r="AF195" s="13">
        <v>0</v>
      </c>
      <c r="AG195" s="99">
        <f>SUM(F195:AF195)</f>
        <v>0</v>
      </c>
      <c r="AH195" s="8">
        <v>192</v>
      </c>
    </row>
    <row r="196" spans="3:34" ht="15" x14ac:dyDescent="0.25">
      <c r="D196" s="8">
        <v>2911</v>
      </c>
      <c r="E196" s="8" t="s">
        <v>440</v>
      </c>
      <c r="F196" s="13">
        <v>0</v>
      </c>
      <c r="G196" s="13">
        <v>0</v>
      </c>
      <c r="H196" s="13">
        <v>0</v>
      </c>
      <c r="I196" s="13">
        <v>0</v>
      </c>
      <c r="J196" s="13">
        <v>0</v>
      </c>
      <c r="K196" s="13">
        <v>0</v>
      </c>
      <c r="L196" s="13">
        <v>0</v>
      </c>
      <c r="M196" s="13">
        <v>0</v>
      </c>
      <c r="N196" s="13">
        <v>0</v>
      </c>
      <c r="O196" s="13">
        <v>0</v>
      </c>
      <c r="P196" s="13">
        <v>0</v>
      </c>
      <c r="Q196" s="13">
        <v>0</v>
      </c>
      <c r="R196" s="13">
        <v>0</v>
      </c>
      <c r="S196" s="13">
        <v>0</v>
      </c>
      <c r="T196" s="13"/>
      <c r="U196" s="13"/>
      <c r="V196" s="13">
        <v>0</v>
      </c>
      <c r="W196" s="13">
        <v>0</v>
      </c>
      <c r="X196" s="13">
        <v>0</v>
      </c>
      <c r="Y196" s="13">
        <v>0</v>
      </c>
      <c r="Z196" s="13">
        <v>0</v>
      </c>
      <c r="AA196" s="13">
        <v>0</v>
      </c>
      <c r="AB196" s="13">
        <v>0</v>
      </c>
      <c r="AC196" s="13">
        <v>0</v>
      </c>
      <c r="AD196" s="13">
        <v>0</v>
      </c>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c r="U199" s="13"/>
      <c r="V199" s="13">
        <v>0</v>
      </c>
      <c r="W199" s="13">
        <v>15199.75</v>
      </c>
      <c r="X199" s="13">
        <v>0</v>
      </c>
      <c r="Y199" s="13">
        <v>0</v>
      </c>
      <c r="Z199" s="13">
        <v>0</v>
      </c>
      <c r="AA199" s="13">
        <v>0</v>
      </c>
      <c r="AB199" s="13">
        <v>0</v>
      </c>
      <c r="AC199" s="13">
        <v>0</v>
      </c>
      <c r="AD199" s="13">
        <v>0</v>
      </c>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v>0</v>
      </c>
      <c r="K202" s="13">
        <v>0</v>
      </c>
      <c r="L202" s="13">
        <v>0</v>
      </c>
      <c r="M202" s="13">
        <v>0</v>
      </c>
      <c r="N202" s="13">
        <v>0</v>
      </c>
      <c r="O202" s="13">
        <v>0</v>
      </c>
      <c r="P202" s="13">
        <v>13513948.65</v>
      </c>
      <c r="Q202" s="13">
        <v>0</v>
      </c>
      <c r="R202" s="13">
        <v>0</v>
      </c>
      <c r="S202" s="13">
        <v>0</v>
      </c>
      <c r="T202" s="13"/>
      <c r="U202" s="13"/>
      <c r="V202" s="13">
        <v>0</v>
      </c>
      <c r="W202" s="13">
        <v>0</v>
      </c>
      <c r="X202" s="13">
        <v>0</v>
      </c>
      <c r="Y202" s="13">
        <v>0</v>
      </c>
      <c r="Z202" s="13">
        <v>0</v>
      </c>
      <c r="AA202" s="13">
        <v>0</v>
      </c>
      <c r="AB202" s="13">
        <v>1514513.11</v>
      </c>
      <c r="AC202" s="13">
        <v>0</v>
      </c>
      <c r="AD202" s="13">
        <v>0</v>
      </c>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18546.03</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520837.37</v>
      </c>
      <c r="AH204" s="8">
        <v>201</v>
      </c>
    </row>
    <row r="205" spans="3:34" ht="15" x14ac:dyDescent="0.25">
      <c r="D205" s="8">
        <v>2940</v>
      </c>
      <c r="E205" s="8" t="s">
        <v>264</v>
      </c>
      <c r="F205" s="13">
        <v>0</v>
      </c>
      <c r="G205" s="13">
        <v>0</v>
      </c>
      <c r="H205" s="13">
        <v>0</v>
      </c>
      <c r="I205" s="13">
        <v>0</v>
      </c>
      <c r="J205" s="13">
        <v>0</v>
      </c>
      <c r="K205" s="13">
        <v>0</v>
      </c>
      <c r="L205" s="13">
        <v>0</v>
      </c>
      <c r="M205" s="13">
        <v>0</v>
      </c>
      <c r="N205" s="13">
        <v>0</v>
      </c>
      <c r="O205" s="13">
        <v>0</v>
      </c>
      <c r="P205" s="13">
        <v>141113.85999999999</v>
      </c>
      <c r="Q205" s="13">
        <v>11638.03</v>
      </c>
      <c r="R205" s="13">
        <v>0</v>
      </c>
      <c r="S205" s="13">
        <v>0</v>
      </c>
      <c r="T205" s="13"/>
      <c r="U205" s="13"/>
      <c r="V205" s="13">
        <v>18546.03</v>
      </c>
      <c r="W205" s="13">
        <v>0</v>
      </c>
      <c r="X205" s="13">
        <v>0</v>
      </c>
      <c r="Y205" s="13">
        <v>0</v>
      </c>
      <c r="Z205" s="13">
        <v>0</v>
      </c>
      <c r="AA205" s="13">
        <v>0</v>
      </c>
      <c r="AB205" s="13">
        <v>79539.45</v>
      </c>
      <c r="AC205" s="13">
        <v>0</v>
      </c>
      <c r="AD205" s="13">
        <v>0</v>
      </c>
      <c r="AE205" s="13">
        <v>270000</v>
      </c>
      <c r="AF205" s="13">
        <v>0</v>
      </c>
      <c r="AG205" s="99">
        <f>SUM(F205:AF205)</f>
        <v>520837.37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v>0</v>
      </c>
      <c r="K208" s="13">
        <v>548381.36</v>
      </c>
      <c r="L208" s="13">
        <v>0</v>
      </c>
      <c r="M208" s="13">
        <v>0</v>
      </c>
      <c r="N208" s="13">
        <v>0</v>
      </c>
      <c r="O208" s="13">
        <v>0</v>
      </c>
      <c r="P208" s="13">
        <v>0</v>
      </c>
      <c r="Q208" s="13">
        <v>0</v>
      </c>
      <c r="R208" s="13">
        <v>0</v>
      </c>
      <c r="S208" s="13">
        <v>0</v>
      </c>
      <c r="T208" s="13"/>
      <c r="U208" s="13"/>
      <c r="V208" s="13">
        <v>0</v>
      </c>
      <c r="W208" s="13">
        <v>0</v>
      </c>
      <c r="X208" s="13">
        <v>0</v>
      </c>
      <c r="Y208" s="13">
        <v>0</v>
      </c>
      <c r="Z208" s="13">
        <v>1648079</v>
      </c>
      <c r="AA208" s="13">
        <v>0</v>
      </c>
      <c r="AB208" s="13">
        <v>0</v>
      </c>
      <c r="AC208" s="13">
        <v>0</v>
      </c>
      <c r="AD208" s="13">
        <v>0</v>
      </c>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v>0</v>
      </c>
      <c r="K211" s="13">
        <v>0</v>
      </c>
      <c r="L211" s="13">
        <v>0</v>
      </c>
      <c r="M211" s="13">
        <v>0</v>
      </c>
      <c r="N211" s="13">
        <v>0</v>
      </c>
      <c r="O211" s="13">
        <v>0</v>
      </c>
      <c r="P211" s="13">
        <v>0</v>
      </c>
      <c r="Q211" s="13">
        <v>0</v>
      </c>
      <c r="R211" s="13">
        <v>0</v>
      </c>
      <c r="S211" s="13">
        <v>0</v>
      </c>
      <c r="T211" s="13"/>
      <c r="U211" s="13"/>
      <c r="V211" s="13">
        <v>0</v>
      </c>
      <c r="W211" s="13">
        <v>0</v>
      </c>
      <c r="X211" s="13">
        <v>0</v>
      </c>
      <c r="Y211" s="13">
        <v>0</v>
      </c>
      <c r="Z211" s="13">
        <v>0</v>
      </c>
      <c r="AA211" s="13">
        <v>0</v>
      </c>
      <c r="AB211" s="13">
        <v>0</v>
      </c>
      <c r="AC211" s="13">
        <v>0</v>
      </c>
      <c r="AD211" s="13">
        <v>0</v>
      </c>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c r="U214" s="13"/>
      <c r="V214" s="13">
        <v>0</v>
      </c>
      <c r="W214" s="13">
        <v>0</v>
      </c>
      <c r="X214" s="13">
        <v>0</v>
      </c>
      <c r="Y214" s="13">
        <v>0</v>
      </c>
      <c r="Z214" s="13">
        <v>0</v>
      </c>
      <c r="AA214" s="13">
        <v>0</v>
      </c>
      <c r="AB214" s="13">
        <v>0</v>
      </c>
      <c r="AC214" s="13">
        <v>0</v>
      </c>
      <c r="AD214" s="13">
        <v>0</v>
      </c>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417132.01999999996</v>
      </c>
      <c r="W216" s="128">
        <f t="shared" si="51"/>
        <v>0</v>
      </c>
      <c r="X216" s="128">
        <f t="shared" si="51"/>
        <v>27973.65</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7087804.2899999991</v>
      </c>
      <c r="AH216" s="8">
        <v>213</v>
      </c>
    </row>
    <row r="217" spans="3:34" ht="15" x14ac:dyDescent="0.25">
      <c r="D217" s="8">
        <v>2990</v>
      </c>
      <c r="E217" s="8" t="s">
        <v>441</v>
      </c>
      <c r="F217" s="19">
        <v>0</v>
      </c>
      <c r="G217" s="19">
        <v>0</v>
      </c>
      <c r="H217" s="19">
        <v>0</v>
      </c>
      <c r="I217" s="19">
        <v>44405.59</v>
      </c>
      <c r="J217" s="19">
        <v>0</v>
      </c>
      <c r="K217" s="19">
        <v>0</v>
      </c>
      <c r="L217" s="19">
        <v>0</v>
      </c>
      <c r="M217" s="19">
        <v>0</v>
      </c>
      <c r="N217" s="19">
        <v>0</v>
      </c>
      <c r="O217" s="19">
        <v>0</v>
      </c>
      <c r="P217" s="19">
        <v>268697.61</v>
      </c>
      <c r="Q217" s="19">
        <v>0</v>
      </c>
      <c r="R217" s="19">
        <v>0</v>
      </c>
      <c r="S217" s="19">
        <v>947.22</v>
      </c>
      <c r="T217" s="19"/>
      <c r="U217" s="19"/>
      <c r="V217" s="19">
        <v>45462.36</v>
      </c>
      <c r="W217" s="19">
        <v>0</v>
      </c>
      <c r="X217" s="19">
        <v>1308.75</v>
      </c>
      <c r="Y217" s="19">
        <v>9217.26</v>
      </c>
      <c r="Z217" s="19">
        <v>-63598.28</v>
      </c>
      <c r="AA217" s="19">
        <v>34988.94</v>
      </c>
      <c r="AB217" s="19">
        <v>0</v>
      </c>
      <c r="AC217" s="19">
        <v>-15808.55</v>
      </c>
      <c r="AD217" s="19">
        <v>0</v>
      </c>
      <c r="AE217" s="19">
        <v>97289.64</v>
      </c>
      <c r="AF217" s="19">
        <v>0</v>
      </c>
      <c r="AG217" s="129">
        <f>SUM(F217:AF217)</f>
        <v>422910.53999999992</v>
      </c>
      <c r="AH217" s="8">
        <v>214</v>
      </c>
    </row>
    <row r="218" spans="3:34" ht="15" x14ac:dyDescent="0.25">
      <c r="D218" s="8">
        <v>2999</v>
      </c>
      <c r="E218" s="8" t="s">
        <v>842</v>
      </c>
      <c r="F218" s="19">
        <v>768182.21</v>
      </c>
      <c r="G218" s="19">
        <v>0</v>
      </c>
      <c r="H218" s="19">
        <v>0</v>
      </c>
      <c r="I218" s="19">
        <v>2013541.4</v>
      </c>
      <c r="J218" s="19">
        <v>0</v>
      </c>
      <c r="K218" s="19">
        <v>0</v>
      </c>
      <c r="L218" s="19">
        <v>0</v>
      </c>
      <c r="M218" s="19">
        <v>0</v>
      </c>
      <c r="N218" s="19">
        <v>0</v>
      </c>
      <c r="O218" s="19">
        <v>21341.26</v>
      </c>
      <c r="P218" s="20">
        <v>849302.92</v>
      </c>
      <c r="Q218" s="19">
        <v>70000</v>
      </c>
      <c r="R218" s="19">
        <v>2570.59</v>
      </c>
      <c r="S218" s="19">
        <v>39531.9</v>
      </c>
      <c r="T218" s="19"/>
      <c r="U218" s="19"/>
      <c r="V218" s="19">
        <v>371669.66</v>
      </c>
      <c r="W218" s="19">
        <v>0</v>
      </c>
      <c r="X218" s="19">
        <v>26664.9</v>
      </c>
      <c r="Y218" s="19">
        <v>780721.75</v>
      </c>
      <c r="Z218" s="19">
        <v>958472.09</v>
      </c>
      <c r="AA218" s="19">
        <v>269070.58</v>
      </c>
      <c r="AB218" s="19">
        <v>0</v>
      </c>
      <c r="AC218" s="19">
        <v>364928.56</v>
      </c>
      <c r="AD218" s="19">
        <v>0</v>
      </c>
      <c r="AE218" s="19">
        <v>194376.68</v>
      </c>
      <c r="AF218" s="19">
        <v>-65480.75</v>
      </c>
      <c r="AG218" s="129">
        <f>SUM(F218:AF218)</f>
        <v>6664893.7499999991</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2022'!E156</f>
        <v>0</v>
      </c>
      <c r="G221" s="13">
        <f>'Syndicats comptes 2022'!F156</f>
        <v>0</v>
      </c>
      <c r="H221" s="13">
        <f>'Syndicats comptes 2022'!G156</f>
        <v>0</v>
      </c>
      <c r="I221" s="13">
        <f>'Syndicats comptes 2022'!H156</f>
        <v>0</v>
      </c>
      <c r="J221" s="13">
        <f>'Syndicats comptes 2022'!I156</f>
        <v>0</v>
      </c>
      <c r="K221" s="13">
        <f>'Syndicats comptes 2022'!J156</f>
        <v>0</v>
      </c>
      <c r="L221" s="13">
        <f>'Syndicats comptes 2022'!K156</f>
        <v>0</v>
      </c>
      <c r="M221" s="13">
        <f>'Syndicats comptes 2022'!L156</f>
        <v>0</v>
      </c>
      <c r="N221" s="13">
        <f>'Syndicats comptes 2022'!M156</f>
        <v>0</v>
      </c>
      <c r="O221" s="13">
        <f>'Syndicats comptes 2022'!N156</f>
        <v>0</v>
      </c>
      <c r="P221" s="13">
        <f>'Syndicats comptes 2022'!O156</f>
        <v>0</v>
      </c>
      <c r="Q221" s="13">
        <f>'Syndicats comptes 2022'!P156</f>
        <v>0</v>
      </c>
      <c r="R221" s="13">
        <f>'Syndicats comptes 2022'!Q156</f>
        <v>0</v>
      </c>
      <c r="S221" s="13">
        <f>'Syndicats comptes 2022'!R156</f>
        <v>0</v>
      </c>
      <c r="T221" s="13">
        <f>'Syndicats comptes 2022'!S156</f>
        <v>0</v>
      </c>
      <c r="U221" s="13">
        <f>'Syndicats comptes 2022'!T156</f>
        <v>0</v>
      </c>
      <c r="V221" s="13">
        <f>'Syndicats comptes 2022'!U156</f>
        <v>0</v>
      </c>
      <c r="W221" s="13">
        <f>'Syndicats comptes 2022'!V156</f>
        <v>0</v>
      </c>
      <c r="X221" s="13">
        <f>'Syndicats comptes 2022'!W156</f>
        <v>0</v>
      </c>
      <c r="Y221" s="13">
        <f>'Syndicats comptes 2022'!X156</f>
        <v>0</v>
      </c>
      <c r="Z221" s="13">
        <f>'Syndicats comptes 2022'!Y156</f>
        <v>-81355.89</v>
      </c>
      <c r="AA221" s="13">
        <f>'Syndicats comptes 2022'!Z156</f>
        <v>0</v>
      </c>
      <c r="AB221" s="13">
        <f>'Syndicats comptes 2022'!AA156</f>
        <v>0</v>
      </c>
      <c r="AC221" s="13">
        <f>'Syndicats comptes 2022'!AB156</f>
        <v>0</v>
      </c>
      <c r="AD221" s="13">
        <f>'Syndicats comptes 2022'!AC156</f>
        <v>0</v>
      </c>
      <c r="AE221" s="13">
        <f>'Syndicats comptes 2022'!AD156</f>
        <v>0</v>
      </c>
      <c r="AF221" s="13">
        <f>'Syndicats comptes 2022'!AE156</f>
        <v>48606.400000000001</v>
      </c>
      <c r="AG221" s="13">
        <f>'Syndicats comptes 2022'!AF156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45462.36</v>
      </c>
      <c r="W222" s="13">
        <f t="shared" si="52"/>
        <v>0</v>
      </c>
      <c r="X222" s="13">
        <f t="shared" si="52"/>
        <v>1308.75</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422910.53999999992</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45462.36</v>
      </c>
      <c r="W224" s="88">
        <f t="shared" si="53"/>
        <v>0</v>
      </c>
      <c r="X224" s="88">
        <f t="shared" si="53"/>
        <v>1308.75</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390161.04999999993</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5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A7" sqref="A7"/>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65</v>
      </c>
    </row>
    <row r="8" spans="1:6" ht="20.25" x14ac:dyDescent="0.3">
      <c r="A8" s="118">
        <v>1</v>
      </c>
      <c r="B8" s="118"/>
      <c r="C8" s="118"/>
      <c r="D8" s="118"/>
      <c r="E8" s="118" t="s">
        <v>238</v>
      </c>
      <c r="F8" s="132">
        <f>HLOOKUP($E$5,'Syndicats Bilan'!$F$4:$AG$227,2,0)</f>
        <v>161081988.28999999</v>
      </c>
    </row>
    <row r="9" spans="1:6" ht="15" x14ac:dyDescent="0.25">
      <c r="A9" s="16"/>
      <c r="B9" s="120">
        <v>10</v>
      </c>
      <c r="C9" s="120"/>
      <c r="D9" s="120"/>
      <c r="E9" s="120" t="s">
        <v>239</v>
      </c>
      <c r="F9" s="121">
        <f>HLOOKUP($E$5,'Syndicats Bilan'!$F$4:$AG$227,3,0)</f>
        <v>40502191.099999994</v>
      </c>
    </row>
    <row r="10" spans="1:6" ht="15" x14ac:dyDescent="0.25">
      <c r="A10" s="17"/>
      <c r="B10" s="17"/>
      <c r="C10" s="89">
        <v>100</v>
      </c>
      <c r="D10" s="89"/>
      <c r="E10" s="89" t="s">
        <v>240</v>
      </c>
      <c r="F10" s="111">
        <f>HLOOKUP($E$5,'Syndicats Bilan'!$F$4:$AG$227,4,0)</f>
        <v>22966020.910000004</v>
      </c>
    </row>
    <row r="11" spans="1:6" x14ac:dyDescent="0.2">
      <c r="D11" s="8">
        <v>1000</v>
      </c>
      <c r="E11" s="8" t="s">
        <v>310</v>
      </c>
      <c r="F11" s="13">
        <f>HLOOKUP($E$5,'Syndicats Bilan'!$F$4:$AG$227,5,0)</f>
        <v>13713.060000000001</v>
      </c>
    </row>
    <row r="12" spans="1:6" x14ac:dyDescent="0.2">
      <c r="D12" s="8">
        <v>1001</v>
      </c>
      <c r="E12" s="8" t="s">
        <v>311</v>
      </c>
      <c r="F12" s="13">
        <f>HLOOKUP($E$5,'Syndicats Bilan'!$F$4:$AG$227,6,0)</f>
        <v>1071165.58</v>
      </c>
    </row>
    <row r="13" spans="1:6" x14ac:dyDescent="0.2">
      <c r="D13" s="8">
        <v>1002</v>
      </c>
      <c r="E13" s="8" t="s">
        <v>319</v>
      </c>
      <c r="F13" s="13">
        <f>HLOOKUP($E$5,'Syndicats Bilan'!$F$4:$AG$227,7,0)</f>
        <v>21856632.720000003</v>
      </c>
    </row>
    <row r="14" spans="1:6" x14ac:dyDescent="0.2">
      <c r="D14" s="8">
        <v>1003</v>
      </c>
      <c r="E14" s="8" t="s">
        <v>312</v>
      </c>
      <c r="F14" s="13">
        <f>HLOOKUP($E$5,'Syndicats Bilan'!$F$4:$AG$227,8,0)</f>
        <v>24509.55</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3979777.62</v>
      </c>
    </row>
    <row r="19" spans="1:6" x14ac:dyDescent="0.2">
      <c r="D19" s="8">
        <v>1010</v>
      </c>
      <c r="E19" s="8" t="s">
        <v>315</v>
      </c>
      <c r="F19" s="13">
        <f>HLOOKUP($E$5,'Syndicats Bilan'!$F$4:$AG$227,13,0)</f>
        <v>3604073.6</v>
      </c>
    </row>
    <row r="20" spans="1:6" x14ac:dyDescent="0.2">
      <c r="D20" s="8">
        <v>1011</v>
      </c>
      <c r="E20" s="8" t="s">
        <v>396</v>
      </c>
      <c r="F20" s="13">
        <f>HLOOKUP($E$5,'Syndicats Bilan'!$F$4:$AG$227,14,0)</f>
        <v>100796.76</v>
      </c>
    </row>
    <row r="21" spans="1:6" x14ac:dyDescent="0.2">
      <c r="D21" s="8">
        <v>1012</v>
      </c>
      <c r="E21" s="8" t="s">
        <v>316</v>
      </c>
      <c r="F21" s="13">
        <f>HLOOKUP($E$5,'Syndicats Bilan'!$F$4:$AG$227,15,0)</f>
        <v>0</v>
      </c>
    </row>
    <row r="22" spans="1:6" x14ac:dyDescent="0.2">
      <c r="D22" s="8">
        <v>1013</v>
      </c>
      <c r="E22" s="8" t="s">
        <v>317</v>
      </c>
      <c r="F22" s="13">
        <f>HLOOKUP($E$5,'Syndicats Bilan'!$F$4:$AG$227,16,0)</f>
        <v>274383.84000000003</v>
      </c>
    </row>
    <row r="23" spans="1:6" x14ac:dyDescent="0.2">
      <c r="D23" s="8">
        <v>1014</v>
      </c>
      <c r="E23" s="8" t="s">
        <v>318</v>
      </c>
      <c r="F23" s="13">
        <f>HLOOKUP($E$5,'Syndicats Bilan'!$F$4:$AG$227,17,0)</f>
        <v>-22081.53</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22604.949999999997</v>
      </c>
    </row>
    <row r="27" spans="1:6" x14ac:dyDescent="0.2">
      <c r="F27" s="13"/>
    </row>
    <row r="28" spans="1:6" ht="15" x14ac:dyDescent="0.25">
      <c r="C28" s="89">
        <v>102</v>
      </c>
      <c r="D28" s="89"/>
      <c r="E28" s="89" t="s">
        <v>242</v>
      </c>
      <c r="F28" s="111">
        <f>HLOOKUP($E$5,'Syndicats Bilan'!$F$4:$AG$227,22,0)</f>
        <v>282500</v>
      </c>
    </row>
    <row r="29" spans="1:6" x14ac:dyDescent="0.2">
      <c r="D29" s="8">
        <v>1020</v>
      </c>
      <c r="E29" s="8" t="s">
        <v>323</v>
      </c>
      <c r="F29" s="13">
        <f>HLOOKUP($E$5,'Syndicats Bilan'!$F$4:$AG$227,23,0)</f>
        <v>282500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2999011.7200000007</v>
      </c>
    </row>
    <row r="35" spans="3:6" x14ac:dyDescent="0.2">
      <c r="D35" s="8">
        <v>1040</v>
      </c>
      <c r="E35" s="8" t="s">
        <v>61</v>
      </c>
      <c r="F35" s="13">
        <f>HLOOKUP($E$5,'Syndicats Bilan'!$F$4:$AG$227,29,0)</f>
        <v>9114.64</v>
      </c>
    </row>
    <row r="36" spans="3:6" x14ac:dyDescent="0.2">
      <c r="D36" s="8">
        <v>1041</v>
      </c>
      <c r="E36" s="8" t="s">
        <v>327</v>
      </c>
      <c r="F36" s="13">
        <f>HLOOKUP($E$5,'Syndicats Bilan'!$F$4:$AG$227,30,0)</f>
        <v>2456775.3400000003</v>
      </c>
    </row>
    <row r="37" spans="3:6" x14ac:dyDescent="0.2">
      <c r="D37" s="8">
        <v>1042</v>
      </c>
      <c r="E37" s="8" t="s">
        <v>328</v>
      </c>
      <c r="F37" s="13">
        <f>HLOOKUP($E$5,'Syndicats Bilan'!$F$4:$AG$227,31,0)</f>
        <v>841.45</v>
      </c>
    </row>
    <row r="38" spans="3:6" x14ac:dyDescent="0.2">
      <c r="D38" s="8">
        <v>1043</v>
      </c>
      <c r="E38" s="8" t="s">
        <v>329</v>
      </c>
      <c r="F38" s="13">
        <f>HLOOKUP($E$5,'Syndicats Bilan'!$F$4:$AG$227,32,0)</f>
        <v>486371.38</v>
      </c>
    </row>
    <row r="39" spans="3:6" x14ac:dyDescent="0.2">
      <c r="D39" s="8">
        <v>1044</v>
      </c>
      <c r="E39" s="8" t="s">
        <v>330</v>
      </c>
      <c r="F39" s="13">
        <f>HLOOKUP($E$5,'Syndicats Bilan'!$F$4:$AG$227,33,0)</f>
        <v>37308.910000000003</v>
      </c>
    </row>
    <row r="40" spans="3:6" x14ac:dyDescent="0.2">
      <c r="D40" s="8">
        <v>1045</v>
      </c>
      <c r="E40" s="8" t="s">
        <v>331</v>
      </c>
      <c r="F40" s="13">
        <f>HLOOKUP($E$5,'Syndicats Bilan'!$F$4:$AG$227,34,0)</f>
        <v>8600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7275172.5</v>
      </c>
    </row>
    <row r="52" spans="3:6" x14ac:dyDescent="0.2">
      <c r="D52" s="8">
        <v>1070</v>
      </c>
      <c r="E52" s="8" t="s">
        <v>339</v>
      </c>
      <c r="F52" s="13">
        <f>HLOOKUP($E$5,'Syndicats Bilan'!$F$4:$AG$227,46,0)</f>
        <v>1172.5</v>
      </c>
    </row>
    <row r="53" spans="3:6" x14ac:dyDescent="0.2">
      <c r="D53" s="8">
        <v>1071</v>
      </c>
      <c r="E53" s="8" t="s">
        <v>340</v>
      </c>
      <c r="F53" s="13">
        <f>HLOOKUP($E$5,'Syndicats Bilan'!$F$4:$AG$227,47,0)</f>
        <v>7274000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2999708.35</v>
      </c>
    </row>
    <row r="58" spans="3:6" x14ac:dyDescent="0.2">
      <c r="D58" s="8">
        <v>1080</v>
      </c>
      <c r="E58" s="8" t="s">
        <v>344</v>
      </c>
      <c r="F58" s="13">
        <f>HLOOKUP($E$5,'Syndicats Bilan'!$F$4:$AG$227,52,0)</f>
        <v>257410</v>
      </c>
    </row>
    <row r="59" spans="3:6" x14ac:dyDescent="0.2">
      <c r="D59" s="8">
        <v>1084</v>
      </c>
      <c r="E59" s="8" t="s">
        <v>345</v>
      </c>
      <c r="F59" s="13">
        <f>HLOOKUP($E$5,'Syndicats Bilan'!$F$4:$AG$227,53,0)</f>
        <v>2319265.25</v>
      </c>
    </row>
    <row r="60" spans="3:6" x14ac:dyDescent="0.2">
      <c r="D60" s="8">
        <v>1086</v>
      </c>
      <c r="E60" s="8" t="s">
        <v>346</v>
      </c>
      <c r="F60" s="13">
        <f>HLOOKUP($E$5,'Syndicats Bilan'!$F$4:$AG$227,54,0)</f>
        <v>0</v>
      </c>
    </row>
    <row r="61" spans="3:6" x14ac:dyDescent="0.2">
      <c r="D61" s="8">
        <v>1087</v>
      </c>
      <c r="E61" s="8" t="s">
        <v>347</v>
      </c>
      <c r="F61" s="13">
        <f>HLOOKUP($E$5,'Syndicats Bilan'!$F$4:$AG$227,55,0)</f>
        <v>423033.1</v>
      </c>
    </row>
    <row r="62" spans="3:6" x14ac:dyDescent="0.2">
      <c r="D62" s="8">
        <v>1088</v>
      </c>
      <c r="E62" s="8" t="s">
        <v>348</v>
      </c>
      <c r="F62" s="13">
        <f>HLOOKUP($E$5,'Syndicats Bilan'!$F$4:$AG$227,6,0)</f>
        <v>1071165.58</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120579797.19</v>
      </c>
    </row>
    <row r="72" spans="2:6" ht="15" x14ac:dyDescent="0.25">
      <c r="C72" s="89">
        <v>140</v>
      </c>
      <c r="D72" s="89"/>
      <c r="E72" s="89" t="s">
        <v>248</v>
      </c>
      <c r="F72" s="111">
        <f>HLOOKUP($E$5,'Syndicats Bilan'!$F$4:$AG$227,66,0)</f>
        <v>119436426.71000001</v>
      </c>
    </row>
    <row r="73" spans="2:6" x14ac:dyDescent="0.2">
      <c r="D73" s="8">
        <v>1400</v>
      </c>
      <c r="E73" s="8" t="s">
        <v>354</v>
      </c>
      <c r="F73" s="13">
        <f>HLOOKUP($E$5,'Syndicats Bilan'!$F$4:$AG$227,67,0)</f>
        <v>193169</v>
      </c>
    </row>
    <row r="74" spans="2:6" x14ac:dyDescent="0.2">
      <c r="D74" s="8">
        <v>1401</v>
      </c>
      <c r="E74" s="8" t="s">
        <v>355</v>
      </c>
      <c r="F74" s="13">
        <f>HLOOKUP($E$5,'Syndicats Bilan'!$F$4:$AG$227,68,0)</f>
        <v>321913.7</v>
      </c>
    </row>
    <row r="75" spans="2:6" x14ac:dyDescent="0.2">
      <c r="D75" s="8">
        <v>1402</v>
      </c>
      <c r="E75" s="8" t="s">
        <v>356</v>
      </c>
      <c r="F75" s="13">
        <f>HLOOKUP($E$5,'Syndicats Bilan'!$F$4:$AG$227,69,0)</f>
        <v>75652.44</v>
      </c>
    </row>
    <row r="76" spans="2:6" x14ac:dyDescent="0.2">
      <c r="D76" s="8">
        <v>1403</v>
      </c>
      <c r="E76" s="8" t="s">
        <v>357</v>
      </c>
      <c r="F76" s="13">
        <f>HLOOKUP($E$5,'Syndicats Bilan'!$F$4:$AG$227,70,0)</f>
        <v>65172297.999999993</v>
      </c>
    </row>
    <row r="77" spans="2:6" x14ac:dyDescent="0.2">
      <c r="D77" s="8">
        <v>1404</v>
      </c>
      <c r="E77" s="8" t="s">
        <v>358</v>
      </c>
      <c r="F77" s="13">
        <f>HLOOKUP($E$5,'Syndicats Bilan'!$F$4:$AG$227,71,0)</f>
        <v>44275312.32</v>
      </c>
    </row>
    <row r="78" spans="2:6" x14ac:dyDescent="0.2">
      <c r="D78" s="8">
        <v>1405</v>
      </c>
      <c r="E78" s="8" t="s">
        <v>359</v>
      </c>
      <c r="F78" s="13">
        <f>HLOOKUP($E$5,'Syndicats Bilan'!$F$4:$AG$227,72,0)</f>
        <v>0</v>
      </c>
    </row>
    <row r="79" spans="2:6" x14ac:dyDescent="0.2">
      <c r="D79" s="8">
        <v>1406</v>
      </c>
      <c r="E79" s="8" t="s">
        <v>360</v>
      </c>
      <c r="F79" s="13">
        <f>HLOOKUP($E$5,'Syndicats Bilan'!$F$4:$AG$227,73,0)</f>
        <v>1614424.54</v>
      </c>
    </row>
    <row r="80" spans="2:6" x14ac:dyDescent="0.2">
      <c r="D80" s="8">
        <v>1407</v>
      </c>
      <c r="E80" s="8" t="s">
        <v>361</v>
      </c>
      <c r="F80" s="13">
        <f>HLOOKUP($E$5,'Syndicats Bilan'!$F$4:$AG$227,74,0)</f>
        <v>7783656.709999999</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1143368.4800000002</v>
      </c>
    </row>
    <row r="84" spans="3:6" x14ac:dyDescent="0.2">
      <c r="D84" s="17">
        <v>1420</v>
      </c>
      <c r="E84" s="17" t="s">
        <v>363</v>
      </c>
      <c r="F84" s="13">
        <f>HLOOKUP($E$5,'Syndicats Bilan'!$F$4:$AG$227,78,0)</f>
        <v>22144</v>
      </c>
    </row>
    <row r="85" spans="3:6" x14ac:dyDescent="0.2">
      <c r="D85" s="17">
        <v>1421</v>
      </c>
      <c r="E85" s="17" t="s">
        <v>364</v>
      </c>
      <c r="F85" s="13">
        <f>HLOOKUP($E$5,'Syndicats Bilan'!$F$4:$AG$227,79,0)</f>
        <v>0</v>
      </c>
    </row>
    <row r="86" spans="3:6" x14ac:dyDescent="0.2">
      <c r="D86" s="17">
        <v>1427</v>
      </c>
      <c r="E86" s="17" t="s">
        <v>576</v>
      </c>
      <c r="F86" s="13">
        <f>HLOOKUP($E$5,'Syndicats Bilan'!$F$4:$AG$227,80,0)</f>
        <v>358505.15</v>
      </c>
    </row>
    <row r="87" spans="3:6" x14ac:dyDescent="0.2">
      <c r="D87" s="17">
        <v>1429</v>
      </c>
      <c r="E87" s="17" t="s">
        <v>462</v>
      </c>
      <c r="F87" s="13">
        <f>HLOOKUP($E$5,'Syndicats Bilan'!$F$4:$AG$227,81,0)</f>
        <v>762719.33000000007</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2</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2</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161081988.29000002</v>
      </c>
    </row>
    <row r="125" spans="1:6" ht="15" x14ac:dyDescent="0.25">
      <c r="A125" s="7"/>
      <c r="B125" s="125">
        <v>20</v>
      </c>
      <c r="C125" s="125"/>
      <c r="D125" s="125"/>
      <c r="E125" s="125" t="s">
        <v>251</v>
      </c>
      <c r="F125" s="126">
        <f>HLOOKUP($E$5,'Syndicats Bilan'!$F$4:$AG$227,119,0)</f>
        <v>56072026.220000006</v>
      </c>
    </row>
    <row r="126" spans="1:6" ht="15" x14ac:dyDescent="0.25">
      <c r="C126" s="127">
        <v>200</v>
      </c>
      <c r="D126" s="127"/>
      <c r="E126" s="127" t="s">
        <v>252</v>
      </c>
      <c r="F126" s="128">
        <f>HLOOKUP($E$5,'Syndicats Bilan'!$F$4:$AG$227,120,0)</f>
        <v>5063414.0299999993</v>
      </c>
    </row>
    <row r="127" spans="1:6" x14ac:dyDescent="0.2">
      <c r="D127" s="8">
        <v>2000</v>
      </c>
      <c r="E127" s="8" t="s">
        <v>395</v>
      </c>
      <c r="F127" s="13">
        <f>HLOOKUP($E$5,'Syndicats Bilan'!$F$4:$AG$227,121,0)</f>
        <v>3378283.4200000004</v>
      </c>
    </row>
    <row r="128" spans="1:6" x14ac:dyDescent="0.2">
      <c r="D128" s="8">
        <v>2001</v>
      </c>
      <c r="E128" s="8" t="s">
        <v>396</v>
      </c>
      <c r="F128" s="13">
        <f>HLOOKUP($E$5,'Syndicats Bilan'!$F$4:$AG$227,122,0)</f>
        <v>-47620.99</v>
      </c>
    </row>
    <row r="129" spans="3:6" x14ac:dyDescent="0.2">
      <c r="D129" s="8">
        <v>2002</v>
      </c>
      <c r="E129" s="8" t="s">
        <v>397</v>
      </c>
      <c r="F129" s="13">
        <f>HLOOKUP($E$5,'Syndicats Bilan'!$F$4:$AG$227,123,0)</f>
        <v>-55834.649999999994</v>
      </c>
    </row>
    <row r="130" spans="3:6" x14ac:dyDescent="0.2">
      <c r="D130" s="8">
        <v>2003</v>
      </c>
      <c r="E130" s="8" t="s">
        <v>398</v>
      </c>
      <c r="F130" s="13">
        <f>HLOOKUP($E$5,'Syndicats Bilan'!$F$4:$AG$227,124,0)</f>
        <v>0</v>
      </c>
    </row>
    <row r="131" spans="3:6" x14ac:dyDescent="0.2">
      <c r="D131" s="8">
        <v>2004</v>
      </c>
      <c r="E131" s="8" t="s">
        <v>399</v>
      </c>
      <c r="F131" s="13">
        <f>HLOOKUP($E$5,'Syndicats Bilan'!$F$4:$AG$227,125,0)</f>
        <v>1396746.3</v>
      </c>
    </row>
    <row r="132" spans="3:6" x14ac:dyDescent="0.2">
      <c r="D132" s="8">
        <v>2005</v>
      </c>
      <c r="E132" s="8" t="s">
        <v>320</v>
      </c>
      <c r="F132" s="13">
        <f>HLOOKUP($E$5,'Syndicats Bilan'!$F$4:$AG$227,126,0)</f>
        <v>290832.68</v>
      </c>
    </row>
    <row r="133" spans="3:6" x14ac:dyDescent="0.2">
      <c r="D133" s="8">
        <v>2006</v>
      </c>
      <c r="E133" s="8" t="s">
        <v>444</v>
      </c>
      <c r="F133" s="13">
        <f>HLOOKUP($E$5,'Syndicats Bilan'!$F$4:$AG$227,127,0)</f>
        <v>101007.26999999999</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10757881.43</v>
      </c>
    </row>
    <row r="137" spans="3:6" x14ac:dyDescent="0.2">
      <c r="D137" s="8">
        <v>2010</v>
      </c>
      <c r="E137" s="8" t="s">
        <v>402</v>
      </c>
      <c r="F137" s="13">
        <f>HLOOKUP($E$5,'Syndicats Bilan'!$F$4:$AG$227,131,0)</f>
        <v>9552157.379999999</v>
      </c>
    </row>
    <row r="138" spans="3:6" x14ac:dyDescent="0.2">
      <c r="D138" s="8">
        <v>2011</v>
      </c>
      <c r="E138" s="8" t="s">
        <v>403</v>
      </c>
      <c r="F138" s="13">
        <f>HLOOKUP($E$5,'Syndicats Bilan'!$F$4:$AG$227,132,0)</f>
        <v>350264.05</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855460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1275940.8800000001</v>
      </c>
    </row>
    <row r="147" spans="3:6" x14ac:dyDescent="0.2">
      <c r="D147" s="8">
        <v>2040</v>
      </c>
      <c r="E147" s="8" t="s">
        <v>61</v>
      </c>
      <c r="F147" s="13">
        <f>HLOOKUP($E$5,'Syndicats Bilan'!$F$4:$AG$227,141,0)</f>
        <v>9187.25</v>
      </c>
    </row>
    <row r="148" spans="3:6" x14ac:dyDescent="0.2">
      <c r="D148" s="8">
        <v>2041</v>
      </c>
      <c r="E148" s="8" t="s">
        <v>276</v>
      </c>
      <c r="F148" s="13">
        <f>HLOOKUP($E$5,'Syndicats Bilan'!$F$4:$AG$227,142,0)</f>
        <v>990597.22999999986</v>
      </c>
    </row>
    <row r="149" spans="3:6" x14ac:dyDescent="0.2">
      <c r="D149" s="8">
        <v>2042</v>
      </c>
      <c r="E149" s="8" t="s">
        <v>328</v>
      </c>
      <c r="F149" s="13">
        <f>HLOOKUP($E$5,'Syndicats Bilan'!$F$4:$AG$227,143,0)</f>
        <v>0</v>
      </c>
    </row>
    <row r="150" spans="3:6" x14ac:dyDescent="0.2">
      <c r="D150" s="8">
        <v>2043</v>
      </c>
      <c r="E150" s="8" t="s">
        <v>329</v>
      </c>
      <c r="F150" s="13">
        <f>HLOOKUP($E$5,'Syndicats Bilan'!$F$4:$AG$227,144,0)</f>
        <v>222499</v>
      </c>
    </row>
    <row r="151" spans="3:6" x14ac:dyDescent="0.2">
      <c r="D151" s="8">
        <v>2044</v>
      </c>
      <c r="E151" s="8" t="s">
        <v>409</v>
      </c>
      <c r="F151" s="13">
        <f>HLOOKUP($E$5,'Syndicats Bilan'!$F$4:$AG$227,145,0)</f>
        <v>51970.849999999991</v>
      </c>
    </row>
    <row r="152" spans="3:6" x14ac:dyDescent="0.2">
      <c r="D152" s="8">
        <v>2045</v>
      </c>
      <c r="E152" s="8" t="s">
        <v>331</v>
      </c>
      <c r="F152" s="13">
        <f>HLOOKUP($E$5,'Syndicats Bilan'!$F$4:$AG$227,146,0)</f>
        <v>886.55</v>
      </c>
    </row>
    <row r="153" spans="3:6" x14ac:dyDescent="0.2">
      <c r="D153" s="8">
        <v>2046</v>
      </c>
      <c r="E153" s="8" t="s">
        <v>410</v>
      </c>
      <c r="F153" s="13">
        <f>HLOOKUP($E$5,'Syndicats Bilan'!$F$4:$AG$227,147,0)</f>
        <v>0</v>
      </c>
    </row>
    <row r="154" spans="3:6" x14ac:dyDescent="0.2">
      <c r="D154" s="8">
        <v>2049</v>
      </c>
      <c r="E154" s="8" t="s">
        <v>411</v>
      </c>
      <c r="F154" s="13">
        <f>HLOOKUP($E$5,'Syndicats Bilan'!$F$4:$AG$227,148,0)</f>
        <v>800</v>
      </c>
    </row>
    <row r="155" spans="3:6" x14ac:dyDescent="0.2">
      <c r="F155" s="13"/>
    </row>
    <row r="156" spans="3:6" ht="15" x14ac:dyDescent="0.25">
      <c r="C156" s="127">
        <v>205</v>
      </c>
      <c r="D156" s="127"/>
      <c r="E156" s="127" t="s">
        <v>255</v>
      </c>
      <c r="F156" s="128">
        <f>HLOOKUP($E$5,'Syndicats Bilan'!$F$4:$AG$227,150,0)</f>
        <v>41688.47</v>
      </c>
    </row>
    <row r="157" spans="3:6" x14ac:dyDescent="0.2">
      <c r="D157" s="8">
        <v>2050</v>
      </c>
      <c r="E157" s="8" t="s">
        <v>412</v>
      </c>
      <c r="F157" s="13">
        <f>HLOOKUP($E$5,'Syndicats Bilan'!$F$4:$AG$227,151,0)</f>
        <v>41688.47</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38438446.210000001</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35168366.210000001</v>
      </c>
    </row>
    <row r="172" spans="3:6" x14ac:dyDescent="0.2">
      <c r="D172" s="8">
        <v>2064</v>
      </c>
      <c r="E172" s="8" t="s">
        <v>445</v>
      </c>
      <c r="F172" s="13">
        <f>HLOOKUP($E$5,'Syndicats Bilan'!$F$4:$AG$227,166,0)</f>
        <v>3484000</v>
      </c>
    </row>
    <row r="173" spans="3:6" x14ac:dyDescent="0.2">
      <c r="D173" s="8">
        <v>2067</v>
      </c>
      <c r="E173" s="8" t="s">
        <v>426</v>
      </c>
      <c r="F173" s="13">
        <f>HLOOKUP($E$5,'Syndicats Bilan'!$F$4:$AG$227,167,0)</f>
        <v>0</v>
      </c>
    </row>
    <row r="174" spans="3:6" x14ac:dyDescent="0.2">
      <c r="D174" s="8">
        <v>2069</v>
      </c>
      <c r="E174" s="8" t="s">
        <v>427</v>
      </c>
      <c r="F174" s="13">
        <f>HLOOKUP($E$5,'Syndicats Bilan'!$F$4:$AG$227,168,0)</f>
        <v>-213920</v>
      </c>
    </row>
    <row r="175" spans="3:6" x14ac:dyDescent="0.2">
      <c r="F175" s="13"/>
    </row>
    <row r="176" spans="3:6" ht="15" x14ac:dyDescent="0.25">
      <c r="C176" s="127">
        <v>208</v>
      </c>
      <c r="D176" s="127"/>
      <c r="E176" s="127" t="s">
        <v>257</v>
      </c>
      <c r="F176" s="128">
        <f>HLOOKUP($E$5,'Syndicats Bilan'!$F$4:$AG$227,170,0)</f>
        <v>144655.19999999998</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131535.79999999999</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13119.4</v>
      </c>
    </row>
    <row r="186" spans="3:6" x14ac:dyDescent="0.2">
      <c r="F186" s="13"/>
    </row>
    <row r="187" spans="3:6" ht="15" x14ac:dyDescent="0.25">
      <c r="C187" s="127">
        <v>209</v>
      </c>
      <c r="D187" s="127"/>
      <c r="E187" s="127" t="s">
        <v>258</v>
      </c>
      <c r="F187" s="128">
        <f>HLOOKUP($E$5,'Syndicats Bilan'!$F$4:$AG$227,181,0)</f>
        <v>350000</v>
      </c>
    </row>
    <row r="188" spans="3:6" x14ac:dyDescent="0.2">
      <c r="D188" s="8">
        <v>2090</v>
      </c>
      <c r="E188" s="8" t="s">
        <v>258</v>
      </c>
      <c r="F188" s="13">
        <f>HLOOKUP($E$5,'Syndicats Bilan'!$F$4:$AG$227,182,0)</f>
        <v>0</v>
      </c>
    </row>
    <row r="189" spans="3:6" x14ac:dyDescent="0.2">
      <c r="D189" s="8">
        <v>2091</v>
      </c>
      <c r="E189" s="8" t="s">
        <v>437</v>
      </c>
      <c r="F189" s="13">
        <f>HLOOKUP($E$5,'Syndicats Bilan'!$F$4:$AG$227,183,0)</f>
        <v>350000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105009962.06999999</v>
      </c>
    </row>
    <row r="194" spans="2:6" ht="15" x14ac:dyDescent="0.25">
      <c r="C194" s="127">
        <v>290</v>
      </c>
      <c r="D194" s="127"/>
      <c r="E194" s="127" t="s">
        <v>260</v>
      </c>
      <c r="F194" s="128">
        <f>HLOOKUP($E$5,'Syndicats Bilan'!$F$4:$AG$227,188,0)</f>
        <v>9961529.8499999978</v>
      </c>
    </row>
    <row r="195" spans="2:6" x14ac:dyDescent="0.2">
      <c r="D195" s="8">
        <v>2900</v>
      </c>
      <c r="E195" s="8" t="s">
        <v>260</v>
      </c>
      <c r="F195" s="13">
        <f>HLOOKUP($E$5,'Syndicats Bilan'!$F$4:$AG$227,189,0)</f>
        <v>9961529.8499999978</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15199.75</v>
      </c>
    </row>
    <row r="202" spans="2:6" x14ac:dyDescent="0.2">
      <c r="D202" s="8">
        <v>2920</v>
      </c>
      <c r="E202" s="8" t="s">
        <v>262</v>
      </c>
      <c r="F202" s="13">
        <f>HLOOKUP($E$5,'Syndicats Bilan'!$F$4:$AG$227,196,0)</f>
        <v>15199.75</v>
      </c>
    </row>
    <row r="203" spans="2:6" x14ac:dyDescent="0.2">
      <c r="F203" s="13"/>
    </row>
    <row r="204" spans="2:6" ht="15" x14ac:dyDescent="0.25">
      <c r="C204" s="127">
        <v>293</v>
      </c>
      <c r="D204" s="127"/>
      <c r="E204" s="127" t="s">
        <v>263</v>
      </c>
      <c r="F204" s="128">
        <f>HLOOKUP($E$5,'Syndicats Bilan'!$F$4:$AG$227,198,0)</f>
        <v>21300130.449999999</v>
      </c>
    </row>
    <row r="205" spans="2:6" x14ac:dyDescent="0.2">
      <c r="D205" s="8">
        <v>2930</v>
      </c>
      <c r="E205" s="8" t="s">
        <v>263</v>
      </c>
      <c r="F205" s="13">
        <f>HLOOKUP($E$5,'Syndicats Bilan'!$F$4:$AG$227,199,0)</f>
        <v>21300130.449999999</v>
      </c>
    </row>
    <row r="206" spans="2:6" x14ac:dyDescent="0.2">
      <c r="F206" s="13"/>
    </row>
    <row r="207" spans="2:6" ht="15" x14ac:dyDescent="0.25">
      <c r="C207" s="127">
        <v>294</v>
      </c>
      <c r="D207" s="127"/>
      <c r="E207" s="127" t="s">
        <v>264</v>
      </c>
      <c r="F207" s="128">
        <f>HLOOKUP($E$5,'Syndicats Bilan'!$F$4:$AG$227,201,0)</f>
        <v>520837.37</v>
      </c>
    </row>
    <row r="208" spans="2:6" x14ac:dyDescent="0.2">
      <c r="D208" s="8">
        <v>2940</v>
      </c>
      <c r="E208" s="8" t="s">
        <v>264</v>
      </c>
      <c r="F208" s="13">
        <f>HLOOKUP($E$5,'Syndicats Bilan'!$F$4:$AG$227,202,0)</f>
        <v>520837.37</v>
      </c>
    </row>
    <row r="209" spans="3:6" x14ac:dyDescent="0.2">
      <c r="F209" s="13"/>
    </row>
    <row r="210" spans="3:6" ht="15" x14ac:dyDescent="0.25">
      <c r="C210" s="127">
        <v>295</v>
      </c>
      <c r="D210" s="127"/>
      <c r="E210" s="127" t="s">
        <v>265</v>
      </c>
      <c r="F210" s="128">
        <f>HLOOKUP($E$5,'Syndicats Bilan'!$F$4:$AG$227,204,0)</f>
        <v>66124460.359999999</v>
      </c>
    </row>
    <row r="211" spans="3:6" x14ac:dyDescent="0.2">
      <c r="D211" s="8">
        <v>2950</v>
      </c>
      <c r="E211" s="8" t="s">
        <v>265</v>
      </c>
      <c r="F211" s="13">
        <f>HLOOKUP($E$5,'Syndicats Bilan'!$F$4:$AG$227,205,0)</f>
        <v>66124460.359999999</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7087804.2899999991</v>
      </c>
    </row>
    <row r="220" spans="3:6" x14ac:dyDescent="0.2">
      <c r="D220" s="8">
        <v>2990</v>
      </c>
      <c r="E220" s="8" t="s">
        <v>441</v>
      </c>
      <c r="F220" s="13">
        <f>HLOOKUP($E$5,'Syndicats Bilan'!$F$4:$AG$227,214,0)</f>
        <v>422910.53999999992</v>
      </c>
    </row>
    <row r="221" spans="3:6" x14ac:dyDescent="0.2">
      <c r="D221" s="8">
        <v>2999</v>
      </c>
      <c r="E221" s="8" t="s">
        <v>842</v>
      </c>
      <c r="F221" s="13">
        <f>HLOOKUP($E$5,'Syndicats Bilan'!$F$4:$AG$227,215,0)</f>
        <v>6664893.7499999991</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-32749.489999999998</v>
      </c>
    </row>
    <row r="225" spans="4:6" x14ac:dyDescent="0.2">
      <c r="D225" s="8">
        <v>2990</v>
      </c>
      <c r="E225" s="8" t="s">
        <v>583</v>
      </c>
      <c r="F225" s="13">
        <f>HLOOKUP($E$5,'Syndicats Bilan'!$F$4:$AG$227,219,0)</f>
        <v>422910.53999999992</v>
      </c>
    </row>
    <row r="226" spans="4:6" x14ac:dyDescent="0.2">
      <c r="F226" s="13"/>
    </row>
    <row r="227" spans="4:6" ht="15" x14ac:dyDescent="0.25">
      <c r="E227" s="7" t="s">
        <v>582</v>
      </c>
      <c r="F227" s="13">
        <f>HLOOKUP($E$5,'Syndicats Bilan'!$F$4:$AG$227,221,0)</f>
        <v>390161.04999999993</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topLeftCell="B1" workbookViewId="0">
      <selection activeCell="A7" sqref="A7"/>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125850.07</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3236632.1</v>
      </c>
      <c r="T8" s="19">
        <f>'Syndicats Bilan'!W6</f>
        <v>15235.58</v>
      </c>
      <c r="U8" s="19">
        <f>'Syndicats Bilan'!X6</f>
        <v>28641.399999999998</v>
      </c>
      <c r="V8" s="19">
        <f>'Syndicats Bilan'!Y6</f>
        <v>3061072.16</v>
      </c>
      <c r="W8" s="19">
        <f>'Syndicats Bilan'!Z6</f>
        <v>2691321.33</v>
      </c>
      <c r="X8" s="19">
        <f>'Syndicats Bilan'!AA6</f>
        <v>449280.11</v>
      </c>
      <c r="Y8" s="19">
        <f>'Syndicats Bilan'!AB6</f>
        <v>3378690.4199999995</v>
      </c>
      <c r="Z8" s="19">
        <f>'Syndicats Bilan'!AC6</f>
        <v>349120.01</v>
      </c>
      <c r="AA8" s="19">
        <f>'Syndicats Bilan'!AD6</f>
        <v>154800.25</v>
      </c>
      <c r="AB8" s="19">
        <f>'Syndicats Bilan'!AE6</f>
        <v>643247.32999999996</v>
      </c>
      <c r="AC8" s="19">
        <f>'Syndicats Bilan'!AF6</f>
        <v>813679.3</v>
      </c>
      <c r="AD8" s="19">
        <f>SUM(C8:AC8)</f>
        <v>40502191.099999994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915499.3</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2664958.42</v>
      </c>
      <c r="T10" s="19">
        <f>'Syndicats Bilan'!W122</f>
        <v>1355070.47</v>
      </c>
      <c r="U10" s="19">
        <f>'Syndicats Bilan'!X122</f>
        <v>667.75</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154800.25</v>
      </c>
      <c r="AB10" s="19">
        <f>'Syndicats Bilan'!AE122</f>
        <v>7876609.7599999998</v>
      </c>
      <c r="AC10" s="19">
        <f>'Syndicats Bilan'!AF122</f>
        <v>251227.1</v>
      </c>
      <c r="AD10" s="19">
        <f>SUM(C10:AC10)</f>
        <v>56072026.220000006</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54219.3</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23258.42</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5063414.0299999993</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861280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2640900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38438446.210000001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915499.3</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2664158.42</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54259741.670000002</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A7" sqref="A7"/>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90" t="s">
        <v>813</v>
      </c>
    </row>
    <row r="5" spans="1:3" ht="15" customHeight="1" thickBot="1" x14ac:dyDescent="0.45">
      <c r="A5" s="6"/>
      <c r="B5" s="143" t="s">
        <v>790</v>
      </c>
    </row>
    <row r="6" spans="1:3" ht="15" customHeight="1" x14ac:dyDescent="0.25">
      <c r="C6" s="33"/>
    </row>
    <row r="7" spans="1:3" ht="15" customHeight="1" x14ac:dyDescent="0.25">
      <c r="C7" s="144" t="s">
        <v>201</v>
      </c>
    </row>
    <row r="8" spans="1:3" x14ac:dyDescent="0.2">
      <c r="A8" s="8">
        <v>10</v>
      </c>
      <c r="B8" s="8" t="s">
        <v>239</v>
      </c>
      <c r="C8" s="13">
        <f>HLOOKUP($B$5,'Syndicats endettement'!C7:AD24,2,0)</f>
        <v>125850.07</v>
      </c>
    </row>
    <row r="9" spans="1:3" x14ac:dyDescent="0.2">
      <c r="C9" s="13"/>
    </row>
    <row r="10" spans="1:3" x14ac:dyDescent="0.2">
      <c r="A10" s="8">
        <v>20</v>
      </c>
      <c r="B10" s="8" t="s">
        <v>251</v>
      </c>
      <c r="C10" s="13">
        <f>HLOOKUP($B$5,'Syndicats endettement'!$C$7:$AD$21,4,0)</f>
        <v>915499.3</v>
      </c>
    </row>
    <row r="11" spans="1:3" x14ac:dyDescent="0.2">
      <c r="C11" s="13"/>
    </row>
    <row r="12" spans="1:3" x14ac:dyDescent="0.2">
      <c r="A12" s="8">
        <v>200</v>
      </c>
      <c r="B12" s="8" t="s">
        <v>448</v>
      </c>
      <c r="C12" s="13">
        <f>HLOOKUP($B$5,'Syndicats endettement'!$C$7:$AD$21,6,0)</f>
        <v>54219.3</v>
      </c>
    </row>
    <row r="13" spans="1:3" x14ac:dyDescent="0.2">
      <c r="C13" s="13"/>
    </row>
    <row r="14" spans="1:3" x14ac:dyDescent="0.2">
      <c r="A14" s="8">
        <v>201</v>
      </c>
      <c r="B14" s="8" t="s">
        <v>253</v>
      </c>
      <c r="C14" s="13">
        <f>HLOOKUP($B$5,'Syndicats endettement'!$C$7:$AD$21,8,0)</f>
        <v>0</v>
      </c>
    </row>
    <row r="15" spans="1:3" x14ac:dyDescent="0.2">
      <c r="C15" s="13"/>
    </row>
    <row r="16" spans="1:3" x14ac:dyDescent="0.2">
      <c r="A16" s="8">
        <v>206</v>
      </c>
      <c r="B16" s="8" t="s">
        <v>256</v>
      </c>
      <c r="C16" s="13">
        <f>HLOOKUP($B$5,'Syndicats endettement'!$C$7:$AD$21,10,0)</f>
        <v>861280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915499.3</v>
      </c>
    </row>
    <row r="22" spans="1:3" ht="15" x14ac:dyDescent="0.25">
      <c r="B22" s="140" t="s">
        <v>495</v>
      </c>
      <c r="C22" s="142">
        <f>C21-C8</f>
        <v>789649.23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62</vt:i4>
      </vt:variant>
      <vt:variant>
        <vt:lpstr>Plages nommées</vt:lpstr>
      </vt:variant>
      <vt:variant>
        <vt:i4>3</vt:i4>
      </vt:variant>
    </vt:vector>
  </HeadingPairs>
  <TitlesOfParts>
    <vt:vector size="65"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5.4.2 évolution 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2022</vt:lpstr>
      <vt:lpstr>Comptes 2022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2023-11-28T07:24:40Z</cp:lastPrinted>
  <dcterms:created xsi:type="dcterms:W3CDTF">2015-10-26T07:38:03Z</dcterms:created>
  <dcterms:modified xsi:type="dcterms:W3CDTF">2023-11-28T08:31:38Z</dcterms:modified>
</cp:coreProperties>
</file>