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4_SAM\43_AMENAG_LOCAL\430_Directives\4303 - Amenagement local\3 Rapport opportunite\Directive 2017\01 - Annexes\"/>
    </mc:Choice>
  </mc:AlternateContent>
  <bookViews>
    <workbookView xWindow="0" yWindow="0" windowWidth="19200" windowHeight="11580"/>
  </bookViews>
  <sheets>
    <sheet name="Cockpit" sheetId="8" r:id="rId1"/>
    <sheet name="Evaluation" sheetId="3" r:id="rId2"/>
    <sheet name="#Indicateurs" sheetId="1" r:id="rId3"/>
    <sheet name="#Liste" sheetId="5" r:id="rId4"/>
  </sheets>
  <definedNames>
    <definedName name="_xlnm._FilterDatabase" localSheetId="3" hidden="1">'#Liste'!$A$2:$A$69</definedName>
    <definedName name="Affectation">'#Liste'!$C$2:$C$4</definedName>
    <definedName name="Commune">'#Liste'!$A$2:$A$58</definedName>
    <definedName name="Reduction">'#Liste'!$D$2:$D$12</definedName>
    <definedName name="Typologie">'#Liste'!$B$2:$B$7</definedName>
    <definedName name="_xlnm.Print_Area" localSheetId="2">'#Indicateurs'!$C$1:$J$46</definedName>
    <definedName name="_xlnm.Print_Area" localSheetId="1">Evaluation!$A$1:$Q$30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9" i="8" l="1"/>
  <c r="F19" i="8" l="1"/>
  <c r="C19" i="8"/>
  <c r="F17" i="8" l="1"/>
  <c r="M13" i="8" l="1"/>
  <c r="C21" i="8"/>
  <c r="C23" i="8" s="1"/>
  <c r="F21" i="8"/>
  <c r="F23" i="8" s="1"/>
  <c r="C17" i="8" l="1"/>
  <c r="N3" i="3" l="1"/>
  <c r="D3" i="3"/>
  <c r="F15" i="8"/>
  <c r="C15" i="8"/>
  <c r="C13" i="8"/>
  <c r="F9" i="8"/>
  <c r="H22" i="3" s="1"/>
  <c r="C9" i="8"/>
  <c r="H9" i="3" s="1"/>
  <c r="J24" i="3" l="1"/>
  <c r="I24" i="3"/>
  <c r="H20" i="3"/>
  <c r="H21" i="3"/>
  <c r="H23" i="3"/>
  <c r="H8" i="3"/>
  <c r="H12" i="3"/>
  <c r="H10" i="3"/>
  <c r="H13" i="3"/>
  <c r="H11" i="3"/>
  <c r="H24" i="3"/>
  <c r="M3" i="8"/>
  <c r="K24" i="3" l="1"/>
  <c r="L24" i="3"/>
  <c r="E29" i="3"/>
  <c r="E26" i="3" l="1"/>
  <c r="E15" i="3"/>
  <c r="O3" i="3" l="1"/>
  <c r="J22" i="3" l="1"/>
  <c r="J20" i="3"/>
  <c r="I23" i="3"/>
  <c r="I21" i="3"/>
  <c r="J23" i="3"/>
  <c r="J21" i="3"/>
  <c r="I22" i="3"/>
  <c r="I20" i="3"/>
  <c r="J13" i="3"/>
  <c r="J11" i="3"/>
  <c r="J9" i="3"/>
  <c r="J12" i="3"/>
  <c r="J10" i="3"/>
  <c r="J8" i="3"/>
  <c r="I13" i="3"/>
  <c r="I11" i="3"/>
  <c r="I9" i="3"/>
  <c r="I12" i="3"/>
  <c r="I10" i="3"/>
  <c r="I8" i="3"/>
  <c r="F15" i="3" l="1"/>
  <c r="F26" i="3"/>
  <c r="F13" i="8" s="1"/>
  <c r="G15" i="3"/>
  <c r="G26" i="3"/>
  <c r="F29" i="3" l="1"/>
  <c r="G29" i="3"/>
  <c r="L10" i="3" l="1"/>
  <c r="Q10" i="3" s="1"/>
  <c r="K10" i="3"/>
  <c r="P10" i="3" s="1"/>
  <c r="K9" i="3"/>
  <c r="P9" i="3" s="1"/>
  <c r="L9" i="3"/>
  <c r="Q9" i="3" s="1"/>
  <c r="K13" i="3"/>
  <c r="P13" i="3" s="1"/>
  <c r="L13" i="3"/>
  <c r="Q13" i="3" s="1"/>
  <c r="K11" i="3"/>
  <c r="P11" i="3" s="1"/>
  <c r="L11" i="3"/>
  <c r="Q11" i="3" s="1"/>
  <c r="L12" i="3"/>
  <c r="Q12" i="3" s="1"/>
  <c r="K12" i="3"/>
  <c r="P12" i="3" s="1"/>
  <c r="L8" i="3"/>
  <c r="K8" i="3"/>
  <c r="Q8" i="3" l="1"/>
  <c r="Q15" i="3" s="1"/>
  <c r="L15" i="3"/>
  <c r="P8" i="3"/>
  <c r="P15" i="3" s="1"/>
  <c r="C25" i="8" s="1"/>
  <c r="K15" i="3"/>
  <c r="L20" i="3" l="1"/>
  <c r="K20" i="3"/>
  <c r="P24" i="3"/>
  <c r="Q24" i="3"/>
  <c r="K23" i="3"/>
  <c r="P23" i="3" s="1"/>
  <c r="L23" i="3"/>
  <c r="Q23" i="3" s="1"/>
  <c r="K22" i="3"/>
  <c r="P22" i="3" s="1"/>
  <c r="L22" i="3"/>
  <c r="Q22" i="3" s="1"/>
  <c r="L21" i="3"/>
  <c r="Q21" i="3" s="1"/>
  <c r="K21" i="3"/>
  <c r="P21" i="3" s="1"/>
  <c r="K26" i="3" l="1"/>
  <c r="K29" i="3" s="1"/>
  <c r="P20" i="3"/>
  <c r="P26" i="3" s="1"/>
  <c r="Q20" i="3"/>
  <c r="Q26" i="3" s="1"/>
  <c r="Q29" i="3" s="1"/>
  <c r="L26" i="3"/>
  <c r="L29" i="3" s="1"/>
  <c r="F25" i="8" l="1"/>
  <c r="L17" i="8" s="1"/>
  <c r="L21" i="8" s="1"/>
  <c r="I25" i="8" s="1"/>
  <c r="P29" i="3"/>
  <c r="I23" i="8" l="1"/>
  <c r="L23" i="8"/>
  <c r="L25" i="8" s="1"/>
</calcChain>
</file>

<file path=xl/sharedStrings.xml><?xml version="1.0" encoding="utf-8"?>
<sst xmlns="http://schemas.openxmlformats.org/spreadsheetml/2006/main" count="236" uniqueCount="141">
  <si>
    <t>Emplois</t>
  </si>
  <si>
    <t>Habitants</t>
  </si>
  <si>
    <t>Situation dans le tissu bâti</t>
  </si>
  <si>
    <t>Reste du territoire</t>
  </si>
  <si>
    <t>CALCUL DU POTENTIEL D'ACCUEIL DES ZONES CMH</t>
  </si>
  <si>
    <t>INDICATEURS</t>
  </si>
  <si>
    <t>Typologie de commune</t>
  </si>
  <si>
    <t>Densité
(H+E par ha)</t>
  </si>
  <si>
    <t>Coefficient de répartition</t>
  </si>
  <si>
    <t>Affectation</t>
  </si>
  <si>
    <t>B</t>
  </si>
  <si>
    <t>C</t>
  </si>
  <si>
    <t>D</t>
  </si>
  <si>
    <t>Satellite</t>
  </si>
  <si>
    <t>Village</t>
  </si>
  <si>
    <t>M</t>
  </si>
  <si>
    <t>H</t>
  </si>
  <si>
    <t>RESTE DU TERRITOIRE</t>
  </si>
  <si>
    <r>
      <t>Surface
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</si>
  <si>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Coefficient Emplois</t>
  </si>
  <si>
    <t>Coefficient Habitants</t>
  </si>
  <si>
    <t>Sous-total</t>
  </si>
  <si>
    <t>Coefficient de réduction</t>
  </si>
  <si>
    <t>Justification</t>
  </si>
  <si>
    <t>COMMUNE  :</t>
  </si>
  <si>
    <t>TYPOLOGIE :</t>
  </si>
  <si>
    <t>Densité H+E
par ha</t>
  </si>
  <si>
    <t>TOTAL</t>
  </si>
  <si>
    <t>N°
secteur</t>
  </si>
  <si>
    <t>Nombre habitants actuel</t>
  </si>
  <si>
    <t>Nombre emplois actuel</t>
  </si>
  <si>
    <t>EVALUATION DE LA CAPACITE D'ACCUEIL DES ZONES CMH</t>
  </si>
  <si>
    <t>Capacité d'accueil théorique en habitants</t>
  </si>
  <si>
    <t>Capacité d'accueil réelle en habitants</t>
  </si>
  <si>
    <t>Capacité d'accueil réelle en emplois</t>
  </si>
  <si>
    <t>Capacité d'accueil théorique en emplois</t>
  </si>
  <si>
    <t>%</t>
  </si>
  <si>
    <t>Typologie</t>
  </si>
  <si>
    <t>Reduction</t>
  </si>
  <si>
    <t>Commune</t>
  </si>
  <si>
    <t>Boécourt</t>
  </si>
  <si>
    <t>Bourrignon</t>
  </si>
  <si>
    <t>Châtillon</t>
  </si>
  <si>
    <t>Corban</t>
  </si>
  <si>
    <t>Courchapoix</t>
  </si>
  <si>
    <t>Courrendlin</t>
  </si>
  <si>
    <t>Courroux</t>
  </si>
  <si>
    <t>Courtételle</t>
  </si>
  <si>
    <t>Delémont</t>
  </si>
  <si>
    <t>Develier</t>
  </si>
  <si>
    <t>Ederswiler</t>
  </si>
  <si>
    <t>Mervelier</t>
  </si>
  <si>
    <t>Mettembert</t>
  </si>
  <si>
    <t>Movelier</t>
  </si>
  <si>
    <t>Pleigne</t>
  </si>
  <si>
    <t>Rebeuvelier</t>
  </si>
  <si>
    <t>Rossemaison</t>
  </si>
  <si>
    <t>Saulcy</t>
  </si>
  <si>
    <t>Soyhières</t>
  </si>
  <si>
    <t>Vellerat</t>
  </si>
  <si>
    <t>Alle</t>
  </si>
  <si>
    <t>Beurnevésin</t>
  </si>
  <si>
    <t>Boncourt</t>
  </si>
  <si>
    <t>Bonfol</t>
  </si>
  <si>
    <t>Bure</t>
  </si>
  <si>
    <t>Coeuve</t>
  </si>
  <si>
    <t>Cornol</t>
  </si>
  <si>
    <t>Courchavon</t>
  </si>
  <si>
    <t>Courgenay</t>
  </si>
  <si>
    <t>Courtedoux</t>
  </si>
  <si>
    <t>Damphreux</t>
  </si>
  <si>
    <t>Fahy</t>
  </si>
  <si>
    <t>Fontenais</t>
  </si>
  <si>
    <t>Grandfontaine</t>
  </si>
  <si>
    <t>Lugnez</t>
  </si>
  <si>
    <t>Porrentruy</t>
  </si>
  <si>
    <t>Rocourt</t>
  </si>
  <si>
    <t>Vendlincourt</t>
  </si>
  <si>
    <t>Basse-Allaine</t>
  </si>
  <si>
    <t>Clos du Doubs</t>
  </si>
  <si>
    <t>Haute-Ajoie</t>
  </si>
  <si>
    <t>La Baroche</t>
  </si>
  <si>
    <t>Les Breuleux</t>
  </si>
  <si>
    <t>La Chaux-des-Breuleux</t>
  </si>
  <si>
    <t>Les Enfers</t>
  </si>
  <si>
    <t>Les Genevez</t>
  </si>
  <si>
    <t>Lajoux</t>
  </si>
  <si>
    <t>Montfaucon</t>
  </si>
  <si>
    <t>Muriaux</t>
  </si>
  <si>
    <t>Le Noirmont</t>
  </si>
  <si>
    <t>Saignelégier</t>
  </si>
  <si>
    <t>Soubey</t>
  </si>
  <si>
    <t>Bassecourt</t>
  </si>
  <si>
    <t>Le Bémont</t>
  </si>
  <si>
    <t>Les Bois</t>
  </si>
  <si>
    <t>Saint-Brais</t>
  </si>
  <si>
    <t>Habitants en zone CMH</t>
  </si>
  <si>
    <t>EPT en zone CMH</t>
  </si>
  <si>
    <t>Zone CMH construite (ha)</t>
  </si>
  <si>
    <t>ha</t>
  </si>
  <si>
    <t>BILAN</t>
  </si>
  <si>
    <t>H+EPT</t>
  </si>
  <si>
    <t>Capacité d'accueil totale</t>
  </si>
  <si>
    <t>Taux d'utilisation</t>
  </si>
  <si>
    <t>A1</t>
  </si>
  <si>
    <t>A2</t>
  </si>
  <si>
    <t>A3</t>
  </si>
  <si>
    <t>Cœur de pôle - Delémont</t>
  </si>
  <si>
    <t>Cœur de pôle - Porrentruy</t>
  </si>
  <si>
    <t>Cœur de pôle - Saignelégier</t>
  </si>
  <si>
    <t>Courfaivre</t>
  </si>
  <si>
    <t>Glovelier</t>
  </si>
  <si>
    <t>Berlincourt</t>
  </si>
  <si>
    <t>Soulce</t>
  </si>
  <si>
    <t>Undervelier</t>
  </si>
  <si>
    <t>Vicques</t>
  </si>
  <si>
    <t>Montsevelier</t>
  </si>
  <si>
    <t>Vermes</t>
  </si>
  <si>
    <t>Goumois</t>
  </si>
  <si>
    <t>Les Pommerats</t>
  </si>
  <si>
    <t>Courtemautruy</t>
  </si>
  <si>
    <t>Bressaucourt</t>
  </si>
  <si>
    <t>Villars s/ Fontenais</t>
  </si>
  <si>
    <t>Pôle industriel relais</t>
  </si>
  <si>
    <t>Noyau de base</t>
  </si>
  <si>
    <t>MONVILLAGE</t>
  </si>
  <si>
    <t>NOYAU DE BASE</t>
  </si>
  <si>
    <t>Objectif théorique densité</t>
  </si>
  <si>
    <t>Densité actuelle</t>
  </si>
  <si>
    <t>Potentiel de densification total (45 ans)</t>
  </si>
  <si>
    <t>PERSPECTIVES 20xx</t>
  </si>
  <si>
    <t>Habitants supplémentaires
en zone CMH</t>
  </si>
  <si>
    <t>EPT supplémentaires
en zone CMH</t>
  </si>
  <si>
    <t>Pespectives totales 
à 20xx</t>
  </si>
  <si>
    <t>Potentiel de densification à 15 ans</t>
  </si>
  <si>
    <t>Potentiel de densification &gt; à 15 ans</t>
  </si>
  <si>
    <t>Capacité d'accueil théorique</t>
  </si>
  <si>
    <t>Habitants et EPT supplémentaires
en zone CMH</t>
  </si>
  <si>
    <t>Ha</t>
  </si>
  <si>
    <t>Hab</t>
  </si>
  <si>
    <t>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</si>
</sst>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,##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99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/>
      <right style="thin">
        <color auto="1"/>
      </right>
      <top/>
      <bottom/>
      <diagonal/>
    </border>
    <border>
      <left style="medium">
        <color rgb="FFFF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rgb="FFFF0000"/>
      </right>
      <top/>
      <bottom style="thin">
        <color auto="1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thin">
        <color auto="1"/>
      </right>
      <top/>
      <bottom style="medium">
        <color rgb="FFFF0000"/>
      </bottom>
      <diagonal/>
    </border>
    <border>
      <left style="thin">
        <color auto="1"/>
      </left>
      <right style="thin">
        <color auto="1"/>
      </right>
      <top/>
      <bottom style="medium">
        <color rgb="FFFF0000"/>
      </bottom>
      <diagonal/>
    </border>
    <border>
      <left style="thin">
        <color auto="1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theme="1"/>
      </right>
      <top style="medium">
        <color rgb="FFFF0000"/>
      </top>
      <bottom style="thin">
        <color theme="1"/>
      </bottom>
      <diagonal/>
    </border>
    <border>
      <left style="thin">
        <color theme="1"/>
      </left>
      <right style="medium">
        <color rgb="FFFF0000"/>
      </right>
      <top style="medium">
        <color rgb="FFFF0000"/>
      </top>
      <bottom style="thin">
        <color theme="1"/>
      </bottom>
      <diagonal/>
    </border>
    <border>
      <left style="medium">
        <color rgb="FFFF000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rgb="FFFF0000"/>
      </right>
      <top style="thin">
        <color theme="1"/>
      </top>
      <bottom style="thin">
        <color theme="1"/>
      </bottom>
      <diagonal/>
    </border>
    <border>
      <left style="medium">
        <color rgb="FFFF0000"/>
      </left>
      <right style="thin">
        <color theme="1"/>
      </right>
      <top style="thin">
        <color theme="1"/>
      </top>
      <bottom style="medium">
        <color rgb="FFFF0000"/>
      </bottom>
      <diagonal/>
    </border>
    <border>
      <left style="thin">
        <color theme="1"/>
      </left>
      <right style="medium">
        <color rgb="FFFF0000"/>
      </right>
      <top style="thin">
        <color theme="1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auto="1"/>
      </right>
      <top/>
      <bottom/>
      <diagonal/>
    </border>
  </borders>
  <cellStyleXfs count="109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/>
    <xf numFmtId="0" fontId="0" fillId="0" borderId="5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3" fontId="8" fillId="0" borderId="17" xfId="1" applyNumberFormat="1" applyFont="1" applyBorder="1" applyAlignment="1" applyProtection="1">
      <alignment horizontal="center" vertical="center" wrapText="1"/>
      <protection locked="0"/>
    </xf>
    <xf numFmtId="3" fontId="8" fillId="0" borderId="18" xfId="1" applyNumberFormat="1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3" fontId="8" fillId="0" borderId="1" xfId="1" applyNumberFormat="1" applyFont="1" applyBorder="1" applyAlignment="1" applyProtection="1">
      <alignment horizontal="center" vertical="center" wrapText="1"/>
      <protection locked="0"/>
    </xf>
    <xf numFmtId="3" fontId="8" fillId="0" borderId="20" xfId="1" applyNumberFormat="1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3" fontId="8" fillId="0" borderId="22" xfId="1" applyNumberFormat="1" applyFont="1" applyBorder="1" applyAlignment="1" applyProtection="1">
      <alignment horizontal="center" vertical="center" wrapText="1"/>
      <protection locked="0"/>
    </xf>
    <xf numFmtId="3" fontId="8" fillId="0" borderId="23" xfId="1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textRotation="90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5" borderId="1" xfId="0" applyFill="1" applyBorder="1" applyAlignment="1" applyProtection="1">
      <alignment horizontal="center" vertical="center" wrapText="1"/>
    </xf>
    <xf numFmtId="3" fontId="0" fillId="6" borderId="1" xfId="0" applyNumberForma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left" vertical="center" wrapText="1"/>
    </xf>
    <xf numFmtId="3" fontId="0" fillId="6" borderId="3" xfId="0" applyNumberForma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textRotation="90"/>
    </xf>
    <xf numFmtId="3" fontId="0" fillId="0" borderId="0" xfId="0" applyNumberFormat="1" applyAlignment="1" applyProtection="1">
      <alignment horizontal="center" vertical="center" wrapText="1"/>
    </xf>
    <xf numFmtId="3" fontId="0" fillId="0" borderId="1" xfId="0" applyNumberForma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horizontal="center" vertical="center" wrapText="1"/>
    </xf>
    <xf numFmtId="3" fontId="1" fillId="6" borderId="1" xfId="0" applyNumberFormat="1" applyFont="1" applyFill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9" fontId="0" fillId="0" borderId="0" xfId="0" applyNumberFormat="1"/>
    <xf numFmtId="0" fontId="9" fillId="0" borderId="0" xfId="0" applyFont="1" applyFill="1" applyAlignment="1" applyProtection="1">
      <alignment horizontal="left" vertical="center"/>
    </xf>
    <xf numFmtId="3" fontId="8" fillId="0" borderId="5" xfId="1" applyNumberFormat="1" applyFont="1" applyBorder="1" applyAlignment="1" applyProtection="1">
      <alignment horizontal="center" vertical="center" wrapText="1"/>
      <protection locked="0"/>
    </xf>
    <xf numFmtId="3" fontId="0" fillId="5" borderId="3" xfId="0" applyNumberFormat="1" applyFill="1" applyBorder="1" applyAlignment="1" applyProtection="1">
      <alignment horizontal="center" vertical="center" wrapText="1"/>
    </xf>
    <xf numFmtId="3" fontId="8" fillId="0" borderId="29" xfId="1" applyNumberFormat="1" applyFont="1" applyBorder="1" applyAlignment="1" applyProtection="1">
      <alignment horizontal="center" vertical="center" wrapText="1"/>
      <protection locked="0"/>
    </xf>
    <xf numFmtId="0" fontId="8" fillId="0" borderId="16" xfId="0" applyNumberFormat="1" applyFont="1" applyBorder="1" applyAlignment="1" applyProtection="1">
      <alignment horizontal="center" vertical="center" wrapText="1"/>
      <protection locked="0"/>
    </xf>
    <xf numFmtId="0" fontId="8" fillId="0" borderId="17" xfId="0" applyNumberFormat="1" applyFont="1" applyBorder="1" applyAlignment="1" applyProtection="1">
      <alignment horizontal="center" vertical="center" wrapText="1"/>
      <protection locked="0"/>
    </xf>
    <xf numFmtId="0" fontId="8" fillId="0" borderId="25" xfId="0" applyNumberFormat="1" applyFont="1" applyBorder="1" applyAlignment="1" applyProtection="1">
      <alignment horizontal="center" vertical="center" wrapText="1"/>
      <protection locked="0"/>
    </xf>
    <xf numFmtId="0" fontId="8" fillId="0" borderId="5" xfId="0" applyNumberFormat="1" applyFont="1" applyBorder="1" applyAlignment="1" applyProtection="1">
      <alignment horizontal="center" vertical="center" wrapText="1"/>
      <protection locked="0"/>
    </xf>
    <xf numFmtId="0" fontId="8" fillId="0" borderId="28" xfId="0" applyNumberFormat="1" applyFont="1" applyBorder="1" applyAlignment="1" applyProtection="1">
      <alignment horizontal="center" vertical="center" wrapText="1"/>
      <protection locked="0"/>
    </xf>
    <xf numFmtId="0" fontId="8" fillId="0" borderId="29" xfId="0" applyNumberFormat="1" applyFont="1" applyBorder="1" applyAlignment="1" applyProtection="1">
      <alignment horizontal="center" vertical="center" wrapText="1"/>
      <protection locked="0"/>
    </xf>
    <xf numFmtId="9" fontId="8" fillId="0" borderId="31" xfId="0" applyNumberFormat="1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9" fontId="8" fillId="0" borderId="33" xfId="0" applyNumberFormat="1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9" fontId="8" fillId="0" borderId="35" xfId="0" applyNumberFormat="1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0" fillId="2" borderId="41" xfId="0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3" borderId="44" xfId="0" applyFont="1" applyFill="1" applyBorder="1" applyAlignment="1">
      <alignment horizontal="center" vertical="center"/>
    </xf>
    <xf numFmtId="0" fontId="0" fillId="4" borderId="44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0" fontId="0" fillId="4" borderId="49" xfId="0" applyFont="1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3" fontId="0" fillId="5" borderId="1" xfId="0" applyNumberForma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center" wrapText="1"/>
    </xf>
    <xf numFmtId="0" fontId="14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5" borderId="0" xfId="0" applyFill="1"/>
    <xf numFmtId="0" fontId="0" fillId="5" borderId="0" xfId="0" applyFill="1" applyAlignment="1">
      <alignment horizontal="center" vertical="center"/>
    </xf>
    <xf numFmtId="0" fontId="1" fillId="5" borderId="0" xfId="0" applyFont="1" applyFill="1"/>
    <xf numFmtId="3" fontId="13" fillId="8" borderId="57" xfId="0" applyNumberFormat="1" applyFont="1" applyFill="1" applyBorder="1" applyAlignment="1">
      <alignment horizontal="center" vertical="center"/>
    </xf>
    <xf numFmtId="1" fontId="13" fillId="8" borderId="57" xfId="64" applyNumberFormat="1" applyFont="1" applyFill="1" applyBorder="1" applyAlignment="1">
      <alignment horizontal="center" vertical="center"/>
    </xf>
    <xf numFmtId="164" fontId="13" fillId="8" borderId="57" xfId="0" applyNumberFormat="1" applyFont="1" applyFill="1" applyBorder="1" applyAlignment="1">
      <alignment horizontal="center" vertical="center"/>
    </xf>
    <xf numFmtId="0" fontId="9" fillId="8" borderId="37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7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3" fontId="8" fillId="0" borderId="26" xfId="1" applyNumberFormat="1" applyFont="1" applyBorder="1" applyAlignment="1" applyProtection="1">
      <alignment horizontal="center" vertical="center" wrapText="1"/>
      <protection locked="0"/>
    </xf>
    <xf numFmtId="3" fontId="8" fillId="0" borderId="30" xfId="1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3" fontId="13" fillId="8" borderId="58" xfId="0" applyNumberFormat="1" applyFont="1" applyFill="1" applyBorder="1" applyAlignment="1">
      <alignment horizontal="center" vertical="center"/>
    </xf>
    <xf numFmtId="0" fontId="13" fillId="8" borderId="59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0" fontId="1" fillId="5" borderId="6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3" fillId="8" borderId="58" xfId="0" applyFont="1" applyFill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6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wrapText="1"/>
    </xf>
    <xf numFmtId="0" fontId="1" fillId="5" borderId="61" xfId="0" applyFont="1" applyFill="1" applyBorder="1" applyAlignment="1">
      <alignment horizontal="center" wrapText="1"/>
    </xf>
    <xf numFmtId="0" fontId="9" fillId="8" borderId="50" xfId="0" applyFont="1" applyFill="1" applyBorder="1" applyAlignment="1" applyProtection="1">
      <alignment horizontal="center" vertical="center"/>
    </xf>
    <xf numFmtId="0" fontId="9" fillId="8" borderId="51" xfId="0" applyFont="1" applyFill="1" applyBorder="1" applyAlignment="1" applyProtection="1">
      <alignment horizontal="center" vertical="center"/>
    </xf>
    <xf numFmtId="0" fontId="9" fillId="8" borderId="52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11" fillId="7" borderId="7" xfId="0" applyFont="1" applyFill="1" applyBorder="1" applyAlignment="1" applyProtection="1">
      <alignment horizontal="center" vertical="center" wrapText="1"/>
    </xf>
    <xf numFmtId="0" fontId="11" fillId="7" borderId="9" xfId="0" applyFont="1" applyFill="1" applyBorder="1" applyAlignment="1" applyProtection="1">
      <alignment horizontal="center" vertical="center" wrapText="1"/>
    </xf>
    <xf numFmtId="3" fontId="11" fillId="7" borderId="13" xfId="0" applyNumberFormat="1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3" fontId="11" fillId="7" borderId="8" xfId="0" applyNumberFormat="1" applyFont="1" applyFill="1" applyBorder="1" applyAlignment="1" applyProtection="1">
      <alignment horizontal="center" vertical="center" wrapText="1"/>
    </xf>
    <xf numFmtId="0" fontId="11" fillId="7" borderId="10" xfId="0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 applyProtection="1">
      <alignment horizontal="center" vertical="center" textRotation="90" wrapText="1"/>
    </xf>
    <xf numFmtId="0" fontId="10" fillId="7" borderId="11" xfId="0" applyFont="1" applyFill="1" applyBorder="1" applyAlignment="1" applyProtection="1">
      <alignment horizontal="center" vertical="center" textRotation="90" wrapText="1"/>
    </xf>
    <xf numFmtId="0" fontId="10" fillId="7" borderId="5" xfId="0" applyFont="1" applyFill="1" applyBorder="1" applyAlignment="1" applyProtection="1">
      <alignment horizontal="center" vertical="center" textRotation="90" wrapText="1"/>
    </xf>
    <xf numFmtId="0" fontId="11" fillId="7" borderId="7" xfId="0" applyFont="1" applyFill="1" applyBorder="1" applyAlignment="1" applyProtection="1">
      <alignment horizontal="right" vertical="center" wrapText="1"/>
    </xf>
    <xf numFmtId="0" fontId="11" fillId="7" borderId="9" xfId="0" applyFont="1" applyFill="1" applyBorder="1" applyAlignment="1" applyProtection="1">
      <alignment horizontal="right" vertical="center" wrapText="1"/>
    </xf>
    <xf numFmtId="1" fontId="2" fillId="0" borderId="4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1" fontId="2" fillId="0" borderId="48" xfId="0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</cellXfs>
  <cellStyles count="109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Milliers" xfId="1" builtinId="3"/>
    <cellStyle name="Normal" xfId="0" builtinId="0"/>
    <cellStyle name="Pourcentage" xfId="64" builtinId="5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zoomScale="90" zoomScaleNormal="90" workbookViewId="0">
      <selection activeCell="L19" sqref="L19"/>
    </sheetView>
  </sheetViews>
  <sheetFormatPr baseColWidth="10" defaultRowHeight="15" x14ac:dyDescent="0.25"/>
  <cols>
    <col min="1" max="1" width="23.7109375" customWidth="1"/>
    <col min="2" max="2" width="1.7109375" customWidth="1"/>
    <col min="3" max="4" width="9.7109375" customWidth="1"/>
    <col min="5" max="5" width="2.7109375" customWidth="1"/>
    <col min="6" max="7" width="9.7109375" customWidth="1"/>
    <col min="8" max="8" width="14.7109375" customWidth="1"/>
    <col min="13" max="13" width="11.42578125" customWidth="1"/>
  </cols>
  <sheetData>
    <row r="1" spans="1:30" s="100" customFormat="1" ht="30" customHeight="1" x14ac:dyDescent="0.25">
      <c r="A1" s="93" t="s">
        <v>31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D1" s="93"/>
    </row>
    <row r="2" spans="1:30" s="35" customFormat="1" ht="11.1" customHeight="1" thickBot="1" x14ac:dyDescent="0.35">
      <c r="A2" s="33"/>
      <c r="B2" s="33"/>
      <c r="D2" s="34"/>
      <c r="E2" s="34"/>
      <c r="F2" s="34"/>
      <c r="G2" s="34"/>
      <c r="H2" s="34"/>
      <c r="I2" s="34"/>
      <c r="J2" s="34"/>
      <c r="K2" s="34"/>
      <c r="L2" s="34"/>
      <c r="M2" s="33"/>
      <c r="N2" s="91"/>
      <c r="O2" s="34"/>
      <c r="P2" s="34"/>
      <c r="Q2" s="34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D2" s="36"/>
    </row>
    <row r="3" spans="1:30" s="35" customFormat="1" ht="30" customHeight="1" thickTop="1" thickBot="1" x14ac:dyDescent="0.3">
      <c r="A3" s="117" t="s">
        <v>24</v>
      </c>
      <c r="B3" s="117"/>
      <c r="C3" s="119" t="s">
        <v>125</v>
      </c>
      <c r="D3" s="120"/>
      <c r="E3" s="120"/>
      <c r="F3" s="120"/>
      <c r="G3" s="121"/>
      <c r="H3" s="109"/>
      <c r="I3" s="117" t="s">
        <v>25</v>
      </c>
      <c r="J3" s="117"/>
      <c r="K3" s="118"/>
      <c r="L3" s="57" t="s">
        <v>12</v>
      </c>
      <c r="M3" s="108" t="str">
        <f>IF(L3="A1","COEUR DE PÔLE - DELEMONT",IF(L3="A2","COEUR DE PÔLE - PORRENTRUY",IF(L3="A3","COEUR DE PÔLE - SAIGNELEGIER",IF(L3="B","SATELLITE",IF(L3="C","POLE INDUSTRIEL RELAIS",IF(L3="D","VILLAGE",""))))))</f>
        <v>VILLAGE</v>
      </c>
      <c r="P3" s="92"/>
      <c r="Q3" s="92"/>
      <c r="R3" s="61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</row>
    <row r="4" spans="1:30" ht="15.75" thickTop="1" x14ac:dyDescent="0.25">
      <c r="N4" s="5"/>
    </row>
    <row r="7" spans="1:30" s="5" customFormat="1" ht="20.100000000000001" customHeight="1" x14ac:dyDescent="0.25">
      <c r="A7" s="98"/>
      <c r="B7" s="98"/>
      <c r="C7" s="122" t="s">
        <v>126</v>
      </c>
      <c r="D7" s="122"/>
      <c r="E7" s="98"/>
      <c r="F7" s="122" t="s">
        <v>17</v>
      </c>
      <c r="G7" s="122"/>
      <c r="I7" s="122" t="s">
        <v>130</v>
      </c>
      <c r="J7" s="122"/>
      <c r="K7" s="122"/>
      <c r="L7" s="122"/>
      <c r="M7" s="122"/>
    </row>
    <row r="8" spans="1:30" ht="15.75" thickBot="1" x14ac:dyDescent="0.3">
      <c r="A8" s="94"/>
      <c r="B8" s="94"/>
      <c r="C8" s="94"/>
      <c r="D8" s="94"/>
      <c r="E8" s="94"/>
      <c r="F8" s="94"/>
      <c r="G8" s="94"/>
    </row>
    <row r="9" spans="1:30" ht="30" customHeight="1" thickTop="1" thickBot="1" x14ac:dyDescent="0.3">
      <c r="A9" s="90" t="s">
        <v>127</v>
      </c>
      <c r="B9" s="95"/>
      <c r="C9" s="127">
        <f>IF($L$3="A1",'#Indicateurs'!$G$8,IF($L$3="A2",'#Indicateurs'!$G$14,IF($L$3="A3",'#Indicateurs'!$G$20,IF($L$3="B",'#Indicateurs'!$G$27,IF($L$3="C",'#Indicateurs'!$G$34,IF($L$3="D",'#Indicateurs'!$G$41,""))))))</f>
        <v>50</v>
      </c>
      <c r="D9" s="116"/>
      <c r="E9" s="96"/>
      <c r="F9" s="127">
        <f>IF($L$3="A1",'#Indicateurs'!$G$11,IF($L$3="A2",'#Indicateurs'!$G$17,IF($L$3="A3",'#Indicateurs'!$G$23,IF($L$3="B",'#Indicateurs'!$G$30,IF($L$3="C",'#Indicateurs'!$G$37,IF($L$3="D",'#Indicateurs'!$G$44,""))))))</f>
        <v>25</v>
      </c>
      <c r="G9" s="116"/>
      <c r="I9" s="125" t="s">
        <v>131</v>
      </c>
      <c r="J9" s="125"/>
      <c r="K9" s="125"/>
      <c r="L9" s="126"/>
      <c r="M9" s="99">
        <v>0</v>
      </c>
    </row>
    <row r="10" spans="1:30" ht="17.25" thickTop="1" thickBot="1" x14ac:dyDescent="0.3">
      <c r="A10" s="97"/>
      <c r="B10" s="94"/>
      <c r="C10" s="96"/>
      <c r="D10" s="96"/>
      <c r="E10" s="96"/>
      <c r="F10" s="96"/>
      <c r="G10" s="96"/>
    </row>
    <row r="11" spans="1:30" ht="30" customHeight="1" thickTop="1" thickBot="1" x14ac:dyDescent="0.3">
      <c r="A11" s="90" t="s">
        <v>98</v>
      </c>
      <c r="B11" s="95"/>
      <c r="C11" s="128">
        <v>5</v>
      </c>
      <c r="D11" s="129"/>
      <c r="E11" s="96"/>
      <c r="F11" s="128">
        <v>10</v>
      </c>
      <c r="G11" s="129"/>
      <c r="I11" s="125" t="s">
        <v>132</v>
      </c>
      <c r="J11" s="125"/>
      <c r="K11" s="125"/>
      <c r="L11" s="126"/>
      <c r="M11" s="99">
        <v>5</v>
      </c>
    </row>
    <row r="12" spans="1:30" ht="17.25" thickTop="1" thickBot="1" x14ac:dyDescent="0.3">
      <c r="A12" s="97"/>
      <c r="B12" s="94"/>
      <c r="C12" s="96"/>
      <c r="D12" s="96"/>
      <c r="E12" s="96"/>
      <c r="F12" s="96"/>
      <c r="G12" s="96"/>
    </row>
    <row r="13" spans="1:30" ht="30" customHeight="1" thickTop="1" thickBot="1" x14ac:dyDescent="0.3">
      <c r="A13" s="90" t="s">
        <v>96</v>
      </c>
      <c r="B13" s="94"/>
      <c r="C13" s="115">
        <f>Evaluation!F15</f>
        <v>200</v>
      </c>
      <c r="D13" s="116"/>
      <c r="E13" s="96"/>
      <c r="F13" s="115">
        <f>Evaluation!F26</f>
        <v>180</v>
      </c>
      <c r="G13" s="116"/>
      <c r="I13" s="125" t="s">
        <v>137</v>
      </c>
      <c r="J13" s="125"/>
      <c r="K13" s="125"/>
      <c r="L13" s="126"/>
      <c r="M13" s="104">
        <f>M9+M11</f>
        <v>5</v>
      </c>
    </row>
    <row r="14" spans="1:30" ht="17.25" thickTop="1" thickBot="1" x14ac:dyDescent="0.3">
      <c r="A14" s="97"/>
      <c r="B14" s="94"/>
      <c r="C14" s="96"/>
      <c r="D14" s="96"/>
      <c r="E14" s="96"/>
      <c r="F14" s="96"/>
      <c r="G14" s="96"/>
    </row>
    <row r="15" spans="1:30" ht="30" customHeight="1" thickTop="1" thickBot="1" x14ac:dyDescent="0.3">
      <c r="A15" s="90" t="s">
        <v>97</v>
      </c>
      <c r="B15" s="94"/>
      <c r="C15" s="115">
        <f>Evaluation!G15</f>
        <v>90</v>
      </c>
      <c r="D15" s="116"/>
      <c r="E15" s="96"/>
      <c r="F15" s="115">
        <f>Evaluation!G26</f>
        <v>5</v>
      </c>
      <c r="G15" s="116"/>
      <c r="I15" s="132" t="s">
        <v>100</v>
      </c>
      <c r="J15" s="132"/>
      <c r="K15" s="132"/>
      <c r="L15" s="132"/>
      <c r="M15" s="132"/>
    </row>
    <row r="16" spans="1:30" ht="17.25" thickTop="1" thickBot="1" x14ac:dyDescent="0.3">
      <c r="A16" s="97"/>
      <c r="B16" s="94"/>
      <c r="C16" s="96"/>
      <c r="D16" s="96"/>
      <c r="E16" s="96"/>
      <c r="F16" s="96"/>
      <c r="G16" s="96"/>
      <c r="I16" s="101"/>
      <c r="J16" s="101"/>
      <c r="K16" s="101"/>
      <c r="L16" s="101"/>
      <c r="M16" s="101"/>
    </row>
    <row r="17" spans="1:13" ht="30" customHeight="1" thickTop="1" thickBot="1" x14ac:dyDescent="0.3">
      <c r="A17" s="90" t="s">
        <v>128</v>
      </c>
      <c r="B17" s="94"/>
      <c r="C17" s="115">
        <f>IF(C11=0,"0",(C13+C15)/C11)</f>
        <v>58</v>
      </c>
      <c r="D17" s="116"/>
      <c r="E17" s="96"/>
      <c r="F17" s="115">
        <f>IF(F11=0,"0",(F13+F15)/F11)</f>
        <v>18.5</v>
      </c>
      <c r="G17" s="116"/>
      <c r="I17" s="123" t="s">
        <v>102</v>
      </c>
      <c r="J17" s="123"/>
      <c r="K17" s="124"/>
      <c r="L17" s="104">
        <f>C25+F25</f>
        <v>504.16666666666669</v>
      </c>
      <c r="M17" s="102" t="s">
        <v>101</v>
      </c>
    </row>
    <row r="18" spans="1:13" ht="16.5" thickTop="1" thickBot="1" x14ac:dyDescent="0.3">
      <c r="A18" s="1"/>
      <c r="I18" s="103"/>
      <c r="J18" s="101"/>
      <c r="K18" s="101"/>
      <c r="L18" s="101"/>
      <c r="M18" s="102"/>
    </row>
    <row r="19" spans="1:13" ht="30" customHeight="1" thickTop="1" thickBot="1" x14ac:dyDescent="0.3">
      <c r="A19" s="90" t="s">
        <v>129</v>
      </c>
      <c r="C19" s="115">
        <f>IF(C17&gt;C9,0,C11*C9-(C13+C15))</f>
        <v>0</v>
      </c>
      <c r="D19" s="116"/>
      <c r="F19" s="115">
        <f>IF(F17&gt;F9,0,F11*F9-(F13+F15))</f>
        <v>65</v>
      </c>
      <c r="G19" s="116"/>
      <c r="I19" s="133" t="s">
        <v>133</v>
      </c>
      <c r="J19" s="133"/>
      <c r="K19" s="134"/>
      <c r="L19" s="104">
        <f>C13+C15+F13+F15+M13</f>
        <v>480</v>
      </c>
      <c r="M19" s="102" t="s">
        <v>101</v>
      </c>
    </row>
    <row r="20" spans="1:13" ht="16.5" thickTop="1" thickBot="1" x14ac:dyDescent="0.3">
      <c r="A20" s="1"/>
      <c r="I20" s="101"/>
      <c r="J20" s="101"/>
      <c r="K20" s="101"/>
      <c r="L20" s="101"/>
      <c r="M20" s="102"/>
    </row>
    <row r="21" spans="1:13" ht="30" customHeight="1" thickTop="1" thickBot="1" x14ac:dyDescent="0.3">
      <c r="A21" s="90" t="s">
        <v>134</v>
      </c>
      <c r="C21" s="115">
        <f>IF(C19=0,0,C19/3)</f>
        <v>0</v>
      </c>
      <c r="D21" s="116"/>
      <c r="F21" s="115">
        <f>IF(F19=0,0,F19/3)</f>
        <v>21.666666666666668</v>
      </c>
      <c r="G21" s="116"/>
      <c r="I21" s="130" t="s">
        <v>103</v>
      </c>
      <c r="J21" s="130"/>
      <c r="K21" s="131"/>
      <c r="L21" s="105">
        <f>L19/L17*100</f>
        <v>95.206611570247929</v>
      </c>
      <c r="M21" s="102" t="s">
        <v>36</v>
      </c>
    </row>
    <row r="22" spans="1:13" ht="16.5" thickTop="1" thickBot="1" x14ac:dyDescent="0.3">
      <c r="A22" s="1"/>
      <c r="I22" s="101"/>
      <c r="J22" s="101"/>
      <c r="K22" s="101"/>
      <c r="L22" s="101"/>
      <c r="M22" s="102"/>
    </row>
    <row r="23" spans="1:13" ht="30" customHeight="1" thickTop="1" thickBot="1" x14ac:dyDescent="0.3">
      <c r="A23" s="90" t="s">
        <v>135</v>
      </c>
      <c r="C23" s="115">
        <f>IF(C21=0,0,C19-C21)</f>
        <v>0</v>
      </c>
      <c r="D23" s="116"/>
      <c r="F23" s="115">
        <f>IF(F21=0,0,F19-F21)</f>
        <v>43.333333333333329</v>
      </c>
      <c r="G23" s="116"/>
      <c r="I23" s="130" t="str">
        <f>IF(L21&lt;100,"Surdimensionnement","Sous-dimensionnement")</f>
        <v>Surdimensionnement</v>
      </c>
      <c r="J23" s="130"/>
      <c r="K23" s="131"/>
      <c r="L23" s="104">
        <f>IF(L21&gt;100,L19-L17,L17-L19)</f>
        <v>24.166666666666686</v>
      </c>
      <c r="M23" s="102" t="s">
        <v>101</v>
      </c>
    </row>
    <row r="24" spans="1:13" ht="16.5" thickTop="1" thickBot="1" x14ac:dyDescent="0.3">
      <c r="I24" s="101"/>
      <c r="J24" s="101"/>
      <c r="K24" s="101"/>
      <c r="L24" s="101"/>
      <c r="M24" s="102"/>
    </row>
    <row r="25" spans="1:13" ht="30" customHeight="1" thickTop="1" thickBot="1" x14ac:dyDescent="0.3">
      <c r="A25" s="110" t="s">
        <v>136</v>
      </c>
      <c r="C25" s="115">
        <f>(Evaluation!P15+Evaluation!Q15)-Cockpit!C23</f>
        <v>372.5</v>
      </c>
      <c r="D25" s="116"/>
      <c r="F25" s="115">
        <f>(Evaluation!P26+Evaluation!Q26)-Cockpit!F23</f>
        <v>131.66666666666669</v>
      </c>
      <c r="G25" s="116"/>
      <c r="I25" s="130" t="str">
        <f>IF(L21&lt;100,"Objectif de réduction","Objectif d'extension")</f>
        <v>Objectif de réduction</v>
      </c>
      <c r="J25" s="130"/>
      <c r="K25" s="131"/>
      <c r="L25" s="106">
        <f>L23/F9</f>
        <v>0.96666666666666745</v>
      </c>
      <c r="M25" s="102" t="s">
        <v>99</v>
      </c>
    </row>
    <row r="26" spans="1:13" ht="15.75" thickTop="1" x14ac:dyDescent="0.25"/>
  </sheetData>
  <mergeCells count="33">
    <mergeCell ref="C25:D25"/>
    <mergeCell ref="F25:G25"/>
    <mergeCell ref="I25:K25"/>
    <mergeCell ref="I13:L13"/>
    <mergeCell ref="F13:G13"/>
    <mergeCell ref="C13:D13"/>
    <mergeCell ref="C23:D23"/>
    <mergeCell ref="F23:G23"/>
    <mergeCell ref="F17:G17"/>
    <mergeCell ref="F15:G15"/>
    <mergeCell ref="C17:D17"/>
    <mergeCell ref="C15:D15"/>
    <mergeCell ref="I23:K23"/>
    <mergeCell ref="I15:M15"/>
    <mergeCell ref="I19:K19"/>
    <mergeCell ref="I21:K21"/>
    <mergeCell ref="A3:B3"/>
    <mergeCell ref="C3:G3"/>
    <mergeCell ref="I7:M7"/>
    <mergeCell ref="I17:K17"/>
    <mergeCell ref="I9:L9"/>
    <mergeCell ref="I11:L11"/>
    <mergeCell ref="C9:D9"/>
    <mergeCell ref="F9:G9"/>
    <mergeCell ref="F7:G7"/>
    <mergeCell ref="C7:D7"/>
    <mergeCell ref="C11:D11"/>
    <mergeCell ref="F11:G11"/>
    <mergeCell ref="C19:D19"/>
    <mergeCell ref="F19:G19"/>
    <mergeCell ref="C21:D21"/>
    <mergeCell ref="F21:G21"/>
    <mergeCell ref="I3:K3"/>
  </mergeCells>
  <dataValidations count="1">
    <dataValidation type="list" allowBlank="1" showInputMessage="1" showErrorMessage="1" sqref="L3">
      <formula1>Typologie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AD31"/>
  <sheetViews>
    <sheetView zoomScaleNormal="100" workbookViewId="0">
      <selection activeCell="P15" sqref="P15"/>
    </sheetView>
  </sheetViews>
  <sheetFormatPr baseColWidth="10" defaultColWidth="10.85546875" defaultRowHeight="15" x14ac:dyDescent="0.25"/>
  <cols>
    <col min="1" max="1" width="6.28515625" style="35" customWidth="1"/>
    <col min="2" max="2" width="1.42578125" style="35" customWidth="1"/>
    <col min="3" max="3" width="8.7109375" style="39" customWidth="1"/>
    <col min="4" max="4" width="10" style="39" bestFit="1" customWidth="1"/>
    <col min="5" max="5" width="10.7109375" style="39" customWidth="1"/>
    <col min="6" max="7" width="9.7109375" style="39" customWidth="1"/>
    <col min="8" max="8" width="8.42578125" style="39" customWidth="1"/>
    <col min="9" max="10" width="10.42578125" style="39" customWidth="1"/>
    <col min="11" max="12" width="12.7109375" style="39" customWidth="1"/>
    <col min="13" max="13" width="1.28515625" style="40" customWidth="1"/>
    <col min="14" max="14" width="10.42578125" style="39" customWidth="1"/>
    <col min="15" max="15" width="25.28515625" style="39" bestFit="1" customWidth="1"/>
    <col min="16" max="17" width="12.7109375" style="39" customWidth="1"/>
    <col min="18" max="18" width="12.7109375" style="37" customWidth="1"/>
    <col min="19" max="22" width="8.7109375" style="37" customWidth="1"/>
    <col min="23" max="26" width="7.7109375" style="37" customWidth="1"/>
    <col min="27" max="27" width="8.7109375" style="37" customWidth="1"/>
    <col min="28" max="28" width="8.7109375" style="35" customWidth="1"/>
    <col min="29" max="30" width="8.7109375" style="37" customWidth="1"/>
    <col min="31" max="33" width="10.7109375" style="35" customWidth="1"/>
    <col min="34" max="16384" width="10.85546875" style="35"/>
  </cols>
  <sheetData>
    <row r="1" spans="1:30" ht="30" customHeight="1" x14ac:dyDescent="0.3">
      <c r="A1" s="33" t="s">
        <v>31</v>
      </c>
      <c r="B1" s="33"/>
      <c r="C1" s="33"/>
      <c r="D1" s="33"/>
      <c r="E1" s="33"/>
      <c r="F1" s="33"/>
      <c r="G1" s="33"/>
      <c r="H1" s="33"/>
      <c r="I1" s="33"/>
      <c r="J1" s="34"/>
      <c r="K1" s="34"/>
      <c r="L1" s="34"/>
      <c r="M1" s="33"/>
      <c r="N1" s="34"/>
      <c r="O1" s="34"/>
      <c r="P1" s="34"/>
      <c r="Q1" s="34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5"/>
      <c r="AD1" s="36"/>
    </row>
    <row r="2" spans="1:30" ht="11.1" customHeight="1" thickBot="1" x14ac:dyDescent="0.35">
      <c r="A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3"/>
      <c r="N2" s="34"/>
      <c r="O2" s="34"/>
      <c r="P2" s="34"/>
      <c r="Q2" s="34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5"/>
      <c r="AD2" s="36"/>
    </row>
    <row r="3" spans="1:30" ht="30" customHeight="1" thickBot="1" x14ac:dyDescent="0.3">
      <c r="A3" s="138" t="s">
        <v>24</v>
      </c>
      <c r="B3" s="138"/>
      <c r="C3" s="138"/>
      <c r="D3" s="135" t="str">
        <f>IF(ISBLANK(Cockpit!C3),"",Cockpit!C3)</f>
        <v>MONVILLAGE</v>
      </c>
      <c r="E3" s="136"/>
      <c r="F3" s="136"/>
      <c r="G3" s="136"/>
      <c r="H3" s="136"/>
      <c r="I3" s="137"/>
      <c r="J3" s="37"/>
      <c r="K3" s="117" t="s">
        <v>25</v>
      </c>
      <c r="L3" s="117"/>
      <c r="M3" s="35"/>
      <c r="N3" s="107" t="str">
        <f>IF(ISBLANK(Cockpit!L3),"",Cockpit!L3)</f>
        <v>D</v>
      </c>
      <c r="O3" s="139" t="str">
        <f>IF(N3="A","COEUR DE PÔLE",IF(N3="B","SATELLITE",IF(N3="C","POLE INDUSTRIEL RELAIS",IF(N3="D","VILLAGE",""))))</f>
        <v>VILLAGE</v>
      </c>
      <c r="P3" s="140"/>
      <c r="Q3" s="140"/>
      <c r="R3" s="61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</row>
    <row r="4" spans="1:30" ht="14.1" customHeight="1" x14ac:dyDescent="0.25"/>
    <row r="5" spans="1:30" ht="14.1" customHeight="1" x14ac:dyDescent="0.25"/>
    <row r="6" spans="1:30" ht="57" customHeight="1" x14ac:dyDescent="0.25">
      <c r="C6" s="41" t="s">
        <v>28</v>
      </c>
      <c r="D6" s="42" t="s">
        <v>9</v>
      </c>
      <c r="E6" s="41" t="s">
        <v>18</v>
      </c>
      <c r="F6" s="41" t="s">
        <v>29</v>
      </c>
      <c r="G6" s="41" t="s">
        <v>30</v>
      </c>
      <c r="H6" s="43" t="s">
        <v>26</v>
      </c>
      <c r="I6" s="43" t="s">
        <v>20</v>
      </c>
      <c r="J6" s="43" t="s">
        <v>19</v>
      </c>
      <c r="K6" s="44" t="s">
        <v>32</v>
      </c>
      <c r="L6" s="44" t="s">
        <v>35</v>
      </c>
      <c r="M6" s="45"/>
      <c r="N6" s="41" t="s">
        <v>22</v>
      </c>
      <c r="O6" s="41" t="s">
        <v>23</v>
      </c>
      <c r="P6" s="44" t="s">
        <v>33</v>
      </c>
      <c r="Q6" s="44" t="s">
        <v>34</v>
      </c>
    </row>
    <row r="7" spans="1:30" ht="8.1" customHeight="1" thickBot="1" x14ac:dyDescent="0.3">
      <c r="M7" s="46"/>
    </row>
    <row r="8" spans="1:30" ht="14.1" customHeight="1" x14ac:dyDescent="0.25">
      <c r="A8" s="147" t="s">
        <v>126</v>
      </c>
      <c r="C8" s="21"/>
      <c r="D8" s="22" t="s">
        <v>11</v>
      </c>
      <c r="E8" s="23">
        <v>10000</v>
      </c>
      <c r="F8" s="23">
        <v>40</v>
      </c>
      <c r="G8" s="24">
        <v>20</v>
      </c>
      <c r="H8" s="63">
        <f>Cockpit!$C$9</f>
        <v>50</v>
      </c>
      <c r="I8" s="47">
        <f>IF(AND($N$3="A1",$D8="C"),'#Indicateurs'!I$8,IF(AND($N$3="A1",$D8="M"),'#Indicateurs'!I$9,IF(AND($N$3="A1",$D8="H"),'#Indicateurs'!I$10,IF(AND($N$3="A2",$D8="C"),'#Indicateurs'!I$14,IF(AND($N$3="A2",$D8="M"),'#Indicateurs'!I$15,IF(AND($N$3="A2",$D8="H"),'#Indicateurs'!I$16,IF(AND($N$3="A3",$D8="C"),'#Indicateurs'!I$20,IF(AND($N$3="A3",$D8="M"),'#Indicateurs'!I$21,IF(AND($N$3="A3",$D8="H"),'#Indicateurs'!I$22,IF(AND($N$3="B",$D8="C"),'#Indicateurs'!I$27,IF(AND($N$3="B",$D8="M"),'#Indicateurs'!I$28,IF(AND($N$3="B",$D8="H"),'#Indicateurs'!I$29,IF(AND($N$3="C",$D8="C"),'#Indicateurs'!I$34,IF(AND($N$3="C",$D8="M"),'#Indicateurs'!I$35,IF(AND($N$3="C",$D8="H"),'#Indicateurs'!I$36,IF(AND($N$3="D",$D8="C"),'#Indicateurs'!I$41,IF(AND($N$3="D",$D8="M"),'#Indicateurs'!I$42,IF(AND($N$3="D",$D8="H"),'#Indicateurs'!I$43,"0"))))))))))))))))))</f>
        <v>0.7</v>
      </c>
      <c r="J8" s="47">
        <f>IF(AND($N$3="A1",$D8="C"),'#Indicateurs'!J$8,IF(AND($N$3="A1",$D8="M"),'#Indicateurs'!J$9,IF(AND($N$3="A1",$D8="H"),'#Indicateurs'!J$10,IF(AND($N$3="A2",$D8="C"),'#Indicateurs'!J$14,IF(AND($N$3="A2",$D8="M"),'#Indicateurs'!J$15,IF(AND($N$3="A2",$D8="H"),'#Indicateurs'!J$16,IF(AND($N$3="A3",$D8="C"),'#Indicateurs'!J$20,IF(AND($N$3="A3",$D8="M"),'#Indicateurs'!J$21,IF(AND($N$3="A3",$D8="H"),'#Indicateurs'!J$22,IF(AND($N$3="B",$D8="C"),'#Indicateurs'!J$27,IF(AND($N$3="B",$D8="M"),'#Indicateurs'!J$28,IF(AND($N$3="B",$D8="H"),'#Indicateurs'!J$29,IF(AND($N$3="C",$D8="C"),'#Indicateurs'!J$34,IF(AND($N$3="C",$D8="M"),'#Indicateurs'!J$35,IF(AND($N$3="C",$D8="H"),'#Indicateurs'!J$36,IF(AND($N$3="D",$D8="C"),'#Indicateurs'!J$41,IF(AND($N$3="D",$D8="M"),'#Indicateurs'!J$42,IF(AND($N$3="D",$D8="H"),'#Indicateurs'!J$43,"0"))))))))))))))))))</f>
        <v>0.3</v>
      </c>
      <c r="K8" s="48">
        <f t="shared" ref="K8:L13" si="0">($E8/10000)*$H8*I8</f>
        <v>35</v>
      </c>
      <c r="L8" s="48">
        <f t="shared" si="0"/>
        <v>15</v>
      </c>
      <c r="M8" s="49"/>
      <c r="N8" s="71">
        <v>0.15</v>
      </c>
      <c r="O8" s="72"/>
      <c r="P8" s="50">
        <f>K8-(K8*$N8)</f>
        <v>29.75</v>
      </c>
      <c r="Q8" s="50">
        <f>L8-(L8*$N8)</f>
        <v>12.75</v>
      </c>
    </row>
    <row r="9" spans="1:30" ht="14.1" customHeight="1" x14ac:dyDescent="0.25">
      <c r="A9" s="148"/>
      <c r="C9" s="25"/>
      <c r="D9" s="26" t="s">
        <v>11</v>
      </c>
      <c r="E9" s="27">
        <v>40000</v>
      </c>
      <c r="F9" s="27">
        <v>80</v>
      </c>
      <c r="G9" s="28">
        <v>50</v>
      </c>
      <c r="H9" s="63">
        <f>Cockpit!$C$9</f>
        <v>50</v>
      </c>
      <c r="I9" s="47">
        <f>IF(AND($N$3="A1",$D9="C"),'#Indicateurs'!I$8,IF(AND($N$3="A1",$D9="M"),'#Indicateurs'!I$9,IF(AND($N$3="A1",$D9="H"),'#Indicateurs'!I$10,IF(AND($N$3="A2",$D9="C"),'#Indicateurs'!I$14,IF(AND($N$3="A2",$D9="M"),'#Indicateurs'!I$15,IF(AND($N$3="A2",$D9="H"),'#Indicateurs'!I$16,IF(AND($N$3="A3",$D9="C"),'#Indicateurs'!I$20,IF(AND($N$3="A3",$D9="M"),'#Indicateurs'!I$21,IF(AND($N$3="A3",$D9="H"),'#Indicateurs'!I$22,IF(AND($N$3="B",$D9="C"),'#Indicateurs'!I$27,IF(AND($N$3="B",$D9="M"),'#Indicateurs'!I$28,IF(AND($N$3="B",$D9="H"),'#Indicateurs'!I$29,IF(AND($N$3="C",$D9="C"),'#Indicateurs'!I$34,IF(AND($N$3="C",$D9="M"),'#Indicateurs'!I$35,IF(AND($N$3="C",$D9="H"),'#Indicateurs'!I$36,IF(AND($N$3="D",$D9="C"),'#Indicateurs'!I$41,IF(AND($N$3="D",$D9="M"),'#Indicateurs'!I$42,IF(AND($N$3="D",$D9="H"),'#Indicateurs'!I$43,"0"))))))))))))))))))</f>
        <v>0.7</v>
      </c>
      <c r="J9" s="47">
        <f>IF(AND($N$3="A1",$D9="C"),'#Indicateurs'!J$8,IF(AND($N$3="A1",$D9="M"),'#Indicateurs'!J$9,IF(AND($N$3="A1",$D9="H"),'#Indicateurs'!J$10,IF(AND($N$3="A2",$D9="C"),'#Indicateurs'!J$14,IF(AND($N$3="A2",$D9="M"),'#Indicateurs'!J$15,IF(AND($N$3="A2",$D9="H"),'#Indicateurs'!J$16,IF(AND($N$3="A3",$D9="C"),'#Indicateurs'!J$20,IF(AND($N$3="A3",$D9="M"),'#Indicateurs'!J$21,IF(AND($N$3="A3",$D9="H"),'#Indicateurs'!J$22,IF(AND($N$3="B",$D9="C"),'#Indicateurs'!J$27,IF(AND($N$3="B",$D9="M"),'#Indicateurs'!J$28,IF(AND($N$3="B",$D9="H"),'#Indicateurs'!J$29,IF(AND($N$3="C",$D9="C"),'#Indicateurs'!J$34,IF(AND($N$3="C",$D9="M"),'#Indicateurs'!J$35,IF(AND($N$3="C",$D9="H"),'#Indicateurs'!J$36,IF(AND($N$3="D",$D9="C"),'#Indicateurs'!J$41,IF(AND($N$3="D",$D9="M"),'#Indicateurs'!J$42,IF(AND($N$3="D",$D9="H"),'#Indicateurs'!J$43,"0"))))))))))))))))))</f>
        <v>0.3</v>
      </c>
      <c r="K9" s="48">
        <f t="shared" si="0"/>
        <v>140</v>
      </c>
      <c r="L9" s="48">
        <f t="shared" si="0"/>
        <v>60</v>
      </c>
      <c r="M9" s="49"/>
      <c r="N9" s="73">
        <v>0.1</v>
      </c>
      <c r="O9" s="74"/>
      <c r="P9" s="50">
        <f t="shared" ref="P9:P13" si="1">K9-(K9*$N9)</f>
        <v>126</v>
      </c>
      <c r="Q9" s="50">
        <f t="shared" ref="Q9:Q13" si="2">L9-(L9*$N9)</f>
        <v>54</v>
      </c>
    </row>
    <row r="10" spans="1:30" ht="14.1" customHeight="1" x14ac:dyDescent="0.25">
      <c r="A10" s="148"/>
      <c r="C10" s="25"/>
      <c r="D10" s="26" t="s">
        <v>15</v>
      </c>
      <c r="E10" s="27">
        <v>30000</v>
      </c>
      <c r="F10" s="27">
        <v>80</v>
      </c>
      <c r="G10" s="28">
        <v>20</v>
      </c>
      <c r="H10" s="63">
        <f>Cockpit!$C$9</f>
        <v>50</v>
      </c>
      <c r="I10" s="47">
        <f>IF(AND($N$3="A1",$D10="C"),'#Indicateurs'!I$8,IF(AND($N$3="A1",$D10="M"),'#Indicateurs'!I$9,IF(AND($N$3="A1",$D10="H"),'#Indicateurs'!I$10,IF(AND($N$3="A2",$D10="C"),'#Indicateurs'!I$14,IF(AND($N$3="A2",$D10="M"),'#Indicateurs'!I$15,IF(AND($N$3="A2",$D10="H"),'#Indicateurs'!I$16,IF(AND($N$3="A3",$D10="C"),'#Indicateurs'!I$20,IF(AND($N$3="A3",$D10="M"),'#Indicateurs'!I$21,IF(AND($N$3="A3",$D10="H"),'#Indicateurs'!I$22,IF(AND($N$3="B",$D10="C"),'#Indicateurs'!I$27,IF(AND($N$3="B",$D10="M"),'#Indicateurs'!I$28,IF(AND($N$3="B",$D10="H"),'#Indicateurs'!I$29,IF(AND($N$3="C",$D10="C"),'#Indicateurs'!I$34,IF(AND($N$3="C",$D10="M"),'#Indicateurs'!I$35,IF(AND($N$3="C",$D10="H"),'#Indicateurs'!I$36,IF(AND($N$3="D",$D10="C"),'#Indicateurs'!I$41,IF(AND($N$3="D",$D10="M"),'#Indicateurs'!I$42,IF(AND($N$3="D",$D10="H"),'#Indicateurs'!I$43,"0"))))))))))))))))))</f>
        <v>0.6</v>
      </c>
      <c r="J10" s="47">
        <f>IF(AND($N$3="A1",$D10="C"),'#Indicateurs'!J$8,IF(AND($N$3="A1",$D10="M"),'#Indicateurs'!J$9,IF(AND($N$3="A1",$D10="H"),'#Indicateurs'!J$10,IF(AND($N$3="A2",$D10="C"),'#Indicateurs'!J$14,IF(AND($N$3="A2",$D10="M"),'#Indicateurs'!J$15,IF(AND($N$3="A2",$D10="H"),'#Indicateurs'!J$16,IF(AND($N$3="A3",$D10="C"),'#Indicateurs'!J$20,IF(AND($N$3="A3",$D10="M"),'#Indicateurs'!J$21,IF(AND($N$3="A3",$D10="H"),'#Indicateurs'!J$22,IF(AND($N$3="B",$D10="C"),'#Indicateurs'!J$27,IF(AND($N$3="B",$D10="M"),'#Indicateurs'!J$28,IF(AND($N$3="B",$D10="H"),'#Indicateurs'!J$29,IF(AND($N$3="C",$D10="C"),'#Indicateurs'!J$34,IF(AND($N$3="C",$D10="M"),'#Indicateurs'!J$35,IF(AND($N$3="C",$D10="H"),'#Indicateurs'!J$36,IF(AND($N$3="D",$D10="C"),'#Indicateurs'!J$41,IF(AND($N$3="D",$D10="M"),'#Indicateurs'!J$42,IF(AND($N$3="D",$D10="H"),'#Indicateurs'!J$43,"0"))))))))))))))))))</f>
        <v>0.4</v>
      </c>
      <c r="K10" s="48">
        <f t="shared" si="0"/>
        <v>90</v>
      </c>
      <c r="L10" s="48">
        <f t="shared" si="0"/>
        <v>60</v>
      </c>
      <c r="M10" s="49"/>
      <c r="N10" s="73">
        <v>0</v>
      </c>
      <c r="O10" s="74"/>
      <c r="P10" s="50">
        <f t="shared" si="1"/>
        <v>90</v>
      </c>
      <c r="Q10" s="50">
        <f t="shared" si="2"/>
        <v>60</v>
      </c>
    </row>
    <row r="11" spans="1:30" ht="14.1" customHeight="1" x14ac:dyDescent="0.25">
      <c r="A11" s="148"/>
      <c r="C11" s="25"/>
      <c r="D11" s="26"/>
      <c r="E11" s="27"/>
      <c r="F11" s="27"/>
      <c r="G11" s="28"/>
      <c r="H11" s="63">
        <f>Cockpit!$C$9</f>
        <v>50</v>
      </c>
      <c r="I11" s="47" t="str">
        <f>IF(AND($N$3="A1",$D11="C"),'#Indicateurs'!I$8,IF(AND($N$3="A1",$D11="M"),'#Indicateurs'!I$9,IF(AND($N$3="A1",$D11="H"),'#Indicateurs'!I$10,IF(AND($N$3="A2",$D11="C"),'#Indicateurs'!I$14,IF(AND($N$3="A2",$D11="M"),'#Indicateurs'!I$15,IF(AND($N$3="A2",$D11="H"),'#Indicateurs'!I$16,IF(AND($N$3="A3",$D11="C"),'#Indicateurs'!I$20,IF(AND($N$3="A3",$D11="M"),'#Indicateurs'!I$21,IF(AND($N$3="A3",$D11="H"),'#Indicateurs'!I$22,IF(AND($N$3="B",$D11="C"),'#Indicateurs'!I$27,IF(AND($N$3="B",$D11="M"),'#Indicateurs'!I$28,IF(AND($N$3="B",$D11="H"),'#Indicateurs'!I$29,IF(AND($N$3="C",$D11="C"),'#Indicateurs'!I$34,IF(AND($N$3="C",$D11="M"),'#Indicateurs'!I$35,IF(AND($N$3="C",$D11="H"),'#Indicateurs'!I$36,IF(AND($N$3="D",$D11="C"),'#Indicateurs'!I$41,IF(AND($N$3="D",$D11="M"),'#Indicateurs'!I$42,IF(AND($N$3="D",$D11="H"),'#Indicateurs'!I$43,"0"))))))))))))))))))</f>
        <v>0</v>
      </c>
      <c r="J11" s="47" t="str">
        <f>IF(AND($N$3="A1",$D11="C"),'#Indicateurs'!J$8,IF(AND($N$3="A1",$D11="M"),'#Indicateurs'!J$9,IF(AND($N$3="A1",$D11="H"),'#Indicateurs'!J$10,IF(AND($N$3="A2",$D11="C"),'#Indicateurs'!J$14,IF(AND($N$3="A2",$D11="M"),'#Indicateurs'!J$15,IF(AND($N$3="A2",$D11="H"),'#Indicateurs'!J$16,IF(AND($N$3="A3",$D11="C"),'#Indicateurs'!J$20,IF(AND($N$3="A3",$D11="M"),'#Indicateurs'!J$21,IF(AND($N$3="A3",$D11="H"),'#Indicateurs'!J$22,IF(AND($N$3="B",$D11="C"),'#Indicateurs'!J$27,IF(AND($N$3="B",$D11="M"),'#Indicateurs'!J$28,IF(AND($N$3="B",$D11="H"),'#Indicateurs'!J$29,IF(AND($N$3="C",$D11="C"),'#Indicateurs'!J$34,IF(AND($N$3="C",$D11="M"),'#Indicateurs'!J$35,IF(AND($N$3="C",$D11="H"),'#Indicateurs'!J$36,IF(AND($N$3="D",$D11="C"),'#Indicateurs'!J$41,IF(AND($N$3="D",$D11="M"),'#Indicateurs'!J$42,IF(AND($N$3="D",$D11="H"),'#Indicateurs'!J$43,"0"))))))))))))))))))</f>
        <v>0</v>
      </c>
      <c r="K11" s="48">
        <f t="shared" si="0"/>
        <v>0</v>
      </c>
      <c r="L11" s="48">
        <f t="shared" si="0"/>
        <v>0</v>
      </c>
      <c r="M11" s="49"/>
      <c r="N11" s="73"/>
      <c r="O11" s="74"/>
      <c r="P11" s="50">
        <f t="shared" si="1"/>
        <v>0</v>
      </c>
      <c r="Q11" s="50">
        <f t="shared" si="2"/>
        <v>0</v>
      </c>
    </row>
    <row r="12" spans="1:30" ht="14.1" customHeight="1" x14ac:dyDescent="0.25">
      <c r="A12" s="148"/>
      <c r="C12" s="25"/>
      <c r="D12" s="26"/>
      <c r="E12" s="27"/>
      <c r="F12" s="27"/>
      <c r="G12" s="28"/>
      <c r="H12" s="63">
        <f>Cockpit!$C$9</f>
        <v>50</v>
      </c>
      <c r="I12" s="47" t="str">
        <f>IF(AND($N$3="A1",$D12="C"),'#Indicateurs'!I$8,IF(AND($N$3="A1",$D12="M"),'#Indicateurs'!I$9,IF(AND($N$3="A1",$D12="H"),'#Indicateurs'!I$10,IF(AND($N$3="A2",$D12="C"),'#Indicateurs'!I$14,IF(AND($N$3="A2",$D12="M"),'#Indicateurs'!I$15,IF(AND($N$3="A2",$D12="H"),'#Indicateurs'!I$16,IF(AND($N$3="A3",$D12="C"),'#Indicateurs'!I$20,IF(AND($N$3="A3",$D12="M"),'#Indicateurs'!I$21,IF(AND($N$3="A3",$D12="H"),'#Indicateurs'!I$22,IF(AND($N$3="B",$D12="C"),'#Indicateurs'!I$27,IF(AND($N$3="B",$D12="M"),'#Indicateurs'!I$28,IF(AND($N$3="B",$D12="H"),'#Indicateurs'!I$29,IF(AND($N$3="C",$D12="C"),'#Indicateurs'!I$34,IF(AND($N$3="C",$D12="M"),'#Indicateurs'!I$35,IF(AND($N$3="C",$D12="H"),'#Indicateurs'!I$36,IF(AND($N$3="D",$D12="C"),'#Indicateurs'!I$41,IF(AND($N$3="D",$D12="M"),'#Indicateurs'!I$42,IF(AND($N$3="D",$D12="H"),'#Indicateurs'!I$43,"0"))))))))))))))))))</f>
        <v>0</v>
      </c>
      <c r="J12" s="47" t="str">
        <f>IF(AND($N$3="A1",$D12="C"),'#Indicateurs'!J$8,IF(AND($N$3="A1",$D12="M"),'#Indicateurs'!J$9,IF(AND($N$3="A1",$D12="H"),'#Indicateurs'!J$10,IF(AND($N$3="A2",$D12="C"),'#Indicateurs'!J$14,IF(AND($N$3="A2",$D12="M"),'#Indicateurs'!J$15,IF(AND($N$3="A2",$D12="H"),'#Indicateurs'!J$16,IF(AND($N$3="A3",$D12="C"),'#Indicateurs'!J$20,IF(AND($N$3="A3",$D12="M"),'#Indicateurs'!J$21,IF(AND($N$3="A3",$D12="H"),'#Indicateurs'!J$22,IF(AND($N$3="B",$D12="C"),'#Indicateurs'!J$27,IF(AND($N$3="B",$D12="M"),'#Indicateurs'!J$28,IF(AND($N$3="B",$D12="H"),'#Indicateurs'!J$29,IF(AND($N$3="C",$D12="C"),'#Indicateurs'!J$34,IF(AND($N$3="C",$D12="M"),'#Indicateurs'!J$35,IF(AND($N$3="C",$D12="H"),'#Indicateurs'!J$36,IF(AND($N$3="D",$D12="C"),'#Indicateurs'!J$41,IF(AND($N$3="D",$D12="M"),'#Indicateurs'!J$42,IF(AND($N$3="D",$D12="H"),'#Indicateurs'!J$43,"0"))))))))))))))))))</f>
        <v>0</v>
      </c>
      <c r="K12" s="48">
        <f t="shared" si="0"/>
        <v>0</v>
      </c>
      <c r="L12" s="48">
        <f t="shared" si="0"/>
        <v>0</v>
      </c>
      <c r="M12" s="49"/>
      <c r="N12" s="73"/>
      <c r="O12" s="74"/>
      <c r="P12" s="50">
        <f t="shared" si="1"/>
        <v>0</v>
      </c>
      <c r="Q12" s="50">
        <f t="shared" si="2"/>
        <v>0</v>
      </c>
    </row>
    <row r="13" spans="1:30" ht="14.1" customHeight="1" thickBot="1" x14ac:dyDescent="0.3">
      <c r="A13" s="149"/>
      <c r="C13" s="29"/>
      <c r="D13" s="30"/>
      <c r="E13" s="31"/>
      <c r="F13" s="31"/>
      <c r="G13" s="32"/>
      <c r="H13" s="63">
        <f>Cockpit!$C$9</f>
        <v>50</v>
      </c>
      <c r="I13" s="47" t="str">
        <f>IF(AND($N$3="A1",$D13="C"),'#Indicateurs'!I$8,IF(AND($N$3="A1",$D13="M"),'#Indicateurs'!I$9,IF(AND($N$3="A1",$D13="H"),'#Indicateurs'!I$10,IF(AND($N$3="A2",$D13="C"),'#Indicateurs'!I$14,IF(AND($N$3="A2",$D13="M"),'#Indicateurs'!I$15,IF(AND($N$3="A2",$D13="H"),'#Indicateurs'!I$16,IF(AND($N$3="A3",$D13="C"),'#Indicateurs'!I$20,IF(AND($N$3="A3",$D13="M"),'#Indicateurs'!I$21,IF(AND($N$3="A3",$D13="H"),'#Indicateurs'!I$22,IF(AND($N$3="B",$D13="C"),'#Indicateurs'!I$27,IF(AND($N$3="B",$D13="M"),'#Indicateurs'!I$28,IF(AND($N$3="B",$D13="H"),'#Indicateurs'!I$29,IF(AND($N$3="C",$D13="C"),'#Indicateurs'!I$34,IF(AND($N$3="C",$D13="M"),'#Indicateurs'!I$35,IF(AND($N$3="C",$D13="H"),'#Indicateurs'!I$36,IF(AND($N$3="D",$D13="C"),'#Indicateurs'!I$41,IF(AND($N$3="D",$D13="M"),'#Indicateurs'!I$42,IF(AND($N$3="D",$D13="H"),'#Indicateurs'!I$43,"0"))))))))))))))))))</f>
        <v>0</v>
      </c>
      <c r="J13" s="47" t="str">
        <f>IF(AND($N$3="A1",$D13="C"),'#Indicateurs'!J$8,IF(AND($N$3="A1",$D13="M"),'#Indicateurs'!J$9,IF(AND($N$3="A1",$D13="H"),'#Indicateurs'!J$10,IF(AND($N$3="A2",$D13="C"),'#Indicateurs'!J$14,IF(AND($N$3="A2",$D13="M"),'#Indicateurs'!J$15,IF(AND($N$3="A2",$D13="H"),'#Indicateurs'!J$16,IF(AND($N$3="A3",$D13="C"),'#Indicateurs'!J$20,IF(AND($N$3="A3",$D13="M"),'#Indicateurs'!J$21,IF(AND($N$3="A3",$D13="H"),'#Indicateurs'!J$22,IF(AND($N$3="B",$D13="C"),'#Indicateurs'!J$27,IF(AND($N$3="B",$D13="M"),'#Indicateurs'!J$28,IF(AND($N$3="B",$D13="H"),'#Indicateurs'!J$29,IF(AND($N$3="C",$D13="C"),'#Indicateurs'!J$34,IF(AND($N$3="C",$D13="M"),'#Indicateurs'!J$35,IF(AND($N$3="C",$D13="H"),'#Indicateurs'!J$36,IF(AND($N$3="D",$D13="C"),'#Indicateurs'!J$41,IF(AND($N$3="D",$D13="M"),'#Indicateurs'!J$42,IF(AND($N$3="D",$D13="H"),'#Indicateurs'!J$43,"0"))))))))))))))))))</f>
        <v>0</v>
      </c>
      <c r="K13" s="48">
        <f t="shared" si="0"/>
        <v>0</v>
      </c>
      <c r="L13" s="48">
        <f t="shared" si="0"/>
        <v>0</v>
      </c>
      <c r="M13" s="49"/>
      <c r="N13" s="75"/>
      <c r="O13" s="76"/>
      <c r="P13" s="50">
        <f t="shared" si="1"/>
        <v>0</v>
      </c>
      <c r="Q13" s="50">
        <f t="shared" si="2"/>
        <v>0</v>
      </c>
    </row>
    <row r="14" spans="1:30" ht="8.1" customHeight="1" x14ac:dyDescent="0.25">
      <c r="A14" s="51"/>
      <c r="K14" s="52"/>
      <c r="L14" s="52"/>
    </row>
    <row r="15" spans="1:30" ht="14.1" customHeight="1" x14ac:dyDescent="0.25">
      <c r="D15" s="41" t="s">
        <v>21</v>
      </c>
      <c r="E15" s="53">
        <f>SUM(E8:E13)</f>
        <v>80000</v>
      </c>
      <c r="F15" s="53">
        <f>SUM(F8:F13)</f>
        <v>200</v>
      </c>
      <c r="G15" s="53">
        <f>SUM(G8:G13)</f>
        <v>90</v>
      </c>
      <c r="I15" s="54"/>
      <c r="J15" s="55" t="s">
        <v>21</v>
      </c>
      <c r="K15" s="56">
        <f>SUM(K8:K13)</f>
        <v>265</v>
      </c>
      <c r="L15" s="56">
        <f>SUM(L8:L13)</f>
        <v>135</v>
      </c>
      <c r="N15" s="40"/>
      <c r="O15" s="41" t="s">
        <v>21</v>
      </c>
      <c r="P15" s="56">
        <f>SUM(P8:P13)</f>
        <v>245.75</v>
      </c>
      <c r="Q15" s="56">
        <f>SUM(Q8:Q13)</f>
        <v>126.75</v>
      </c>
    </row>
    <row r="16" spans="1:30" ht="14.1" customHeight="1" x14ac:dyDescent="0.25">
      <c r="E16" s="59"/>
      <c r="F16" s="59"/>
      <c r="G16" s="59"/>
    </row>
    <row r="17" spans="1:17" ht="14.1" customHeight="1" x14ac:dyDescent="0.25"/>
    <row r="18" spans="1:17" ht="57" customHeight="1" x14ac:dyDescent="0.25">
      <c r="C18" s="41" t="s">
        <v>28</v>
      </c>
      <c r="D18" s="42" t="s">
        <v>9</v>
      </c>
      <c r="E18" s="41" t="s">
        <v>18</v>
      </c>
      <c r="F18" s="41" t="s">
        <v>29</v>
      </c>
      <c r="G18" s="41" t="s">
        <v>30</v>
      </c>
      <c r="H18" s="43" t="s">
        <v>26</v>
      </c>
      <c r="I18" s="43" t="s">
        <v>20</v>
      </c>
      <c r="J18" s="43" t="s">
        <v>19</v>
      </c>
      <c r="K18" s="44" t="s">
        <v>32</v>
      </c>
      <c r="L18" s="44" t="s">
        <v>35</v>
      </c>
      <c r="M18" s="45"/>
      <c r="N18" s="41" t="s">
        <v>22</v>
      </c>
      <c r="O18" s="41" t="s">
        <v>23</v>
      </c>
      <c r="P18" s="44" t="s">
        <v>33</v>
      </c>
      <c r="Q18" s="44" t="s">
        <v>34</v>
      </c>
    </row>
    <row r="19" spans="1:17" ht="8.1" customHeight="1" thickBot="1" x14ac:dyDescent="0.3">
      <c r="M19" s="46"/>
    </row>
    <row r="20" spans="1:17" ht="14.1" customHeight="1" x14ac:dyDescent="0.25">
      <c r="A20" s="147" t="s">
        <v>17</v>
      </c>
      <c r="C20" s="65"/>
      <c r="D20" s="66" t="s">
        <v>15</v>
      </c>
      <c r="E20" s="23">
        <v>10000</v>
      </c>
      <c r="F20" s="23">
        <v>10</v>
      </c>
      <c r="G20" s="24">
        <v>5</v>
      </c>
      <c r="H20" s="89">
        <f>Cockpit!$F$9</f>
        <v>25</v>
      </c>
      <c r="I20" s="47">
        <f>IF(AND($N$3="A1",$D20="C"),'#Indicateurs'!I$11,IF(AND($N$3="A1",$D20="M"),'#Indicateurs'!I$12,IF(AND($N$3="A1",$D20="H"),'#Indicateurs'!I$13,IF(AND($N$3="A2",$D20="C"),'#Indicateurs'!I$17,IF(AND($N$3="A2",$D20="M"),'#Indicateurs'!I$18,IF(AND($N$3="A2",$D20="H"),'#Indicateurs'!I$19,IF(AND($N$3="A3",$D20="C"),'#Indicateurs'!I$23,IF(AND($N$3="A3",$D20="M"),'#Indicateurs'!I$24,IF(AND($N$3="A3",$D20="H"),'#Indicateurs'!I$25,IF(AND($N$3="B",$D20="C"),'#Indicateurs'!I$30,IF(AND($N$3="B",$D20="M"),'#Indicateurs'!I$31,IF(AND($N$3="B",$D20="H"),'#Indicateurs'!I$32,IF(AND($N$3="C",$D20="C"),'#Indicateurs'!I$37,IF(AND($N$3="C",$D20="M"),'#Indicateurs'!I$38,IF(AND($N$3="C",$D20="H"),'#Indicateurs'!I$39,IF(AND($N$3="D",$D20="C"),'#Indicateurs'!I$44,IF(AND($N$3="D",$D20="M"),'#Indicateurs'!I$45,IF(AND($N$3="D",$D20="H"),'#Indicateurs'!I$46,"0"))))))))))))))))))</f>
        <v>0.6</v>
      </c>
      <c r="J20" s="47">
        <f>IF(AND($N$3="A1",$D20="C"),'#Indicateurs'!J$11,IF(AND($N$3="A1",$D20="M"),'#Indicateurs'!J$12,IF(AND($N$3="A1",$D20="H"),'#Indicateurs'!J$13,IF(AND($N$3="A2",$D20="C"),'#Indicateurs'!J$17,IF(AND($N$3="A2",$D20="M"),'#Indicateurs'!J$18,IF(AND($N$3="A2",$D20="H"),'#Indicateurs'!J$19,IF(AND($N$3="A3",$D20="C"),'#Indicateurs'!J$23,IF(AND($N$3="A3",$D20="M"),'#Indicateurs'!J$24,IF(AND($N$3="A3",$D20="H"),'#Indicateurs'!J$25,IF(AND($N$3="B",$D20="C"),'#Indicateurs'!J$30,IF(AND($N$3="B",$D20="M"),'#Indicateurs'!J$31,IF(AND($N$3="B",$D20="H"),'#Indicateurs'!J$32,IF(AND($N$3="C",$D20="C"),'#Indicateurs'!J$37,IF(AND($N$3="C",$D20="M"),'#Indicateurs'!J$38,IF(AND($N$3="C",$D20="H"),'#Indicateurs'!J$39,IF(AND($N$3="D",$D20="C"),'#Indicateurs'!J$44,IF(AND($N$3="D",$D20="M"),'#Indicateurs'!J$45,IF(AND($N$3="D",$D20="H"),'#Indicateurs'!J$46,"0"))))))))))))))))))</f>
        <v>0.4</v>
      </c>
      <c r="K20" s="48">
        <f t="shared" ref="K20:L23" si="3">($E20/10000)*$H20*I20</f>
        <v>15</v>
      </c>
      <c r="L20" s="48">
        <f t="shared" si="3"/>
        <v>10</v>
      </c>
      <c r="M20" s="49"/>
      <c r="N20" s="71">
        <v>0</v>
      </c>
      <c r="O20" s="72"/>
      <c r="P20" s="50">
        <f>K20-(K20*$N20)</f>
        <v>15</v>
      </c>
      <c r="Q20" s="50">
        <f>L20-(L20*$N20)</f>
        <v>10</v>
      </c>
    </row>
    <row r="21" spans="1:17" ht="14.1" customHeight="1" x14ac:dyDescent="0.25">
      <c r="A21" s="148"/>
      <c r="C21" s="67"/>
      <c r="D21" s="68" t="s">
        <v>11</v>
      </c>
      <c r="E21" s="62">
        <v>10000</v>
      </c>
      <c r="F21" s="62">
        <v>15</v>
      </c>
      <c r="G21" s="111">
        <v>0</v>
      </c>
      <c r="H21" s="89">
        <f>Cockpit!$F$9</f>
        <v>25</v>
      </c>
      <c r="I21" s="47">
        <f>IF(AND($N$3="A1",$D21="C"),'#Indicateurs'!I$11,IF(AND($N$3="A1",$D21="M"),'#Indicateurs'!I$12,IF(AND($N$3="A1",$D21="H"),'#Indicateurs'!I$13,IF(AND($N$3="A2",$D21="C"),'#Indicateurs'!I$17,IF(AND($N$3="A2",$D21="M"),'#Indicateurs'!I$18,IF(AND($N$3="A2",$D21="H"),'#Indicateurs'!I$19,IF(AND($N$3="A3",$D21="C"),'#Indicateurs'!I$23,IF(AND($N$3="A3",$D21="M"),'#Indicateurs'!I$24,IF(AND($N$3="A3",$D21="H"),'#Indicateurs'!I$25,IF(AND($N$3="B",$D21="C"),'#Indicateurs'!I$30,IF(AND($N$3="B",$D21="M"),'#Indicateurs'!I$31,IF(AND($N$3="B",$D21="H"),'#Indicateurs'!I$32,IF(AND($N$3="C",$D21="C"),'#Indicateurs'!I$37,IF(AND($N$3="C",$D21="M"),'#Indicateurs'!I$38,IF(AND($N$3="C",$D21="H"),'#Indicateurs'!I$39,IF(AND($N$3="D",$D21="C"),'#Indicateurs'!I$44,IF(AND($N$3="D",$D21="M"),'#Indicateurs'!I$45,IF(AND($N$3="D",$D21="H"),'#Indicateurs'!I$46,"0"))))))))))))))))))</f>
        <v>0.7</v>
      </c>
      <c r="J21" s="47">
        <f>IF(AND($N$3="A1",$D21="C"),'#Indicateurs'!J$11,IF(AND($N$3="A1",$D21="M"),'#Indicateurs'!J$12,IF(AND($N$3="A1",$D21="H"),'#Indicateurs'!J$13,IF(AND($N$3="A2",$D21="C"),'#Indicateurs'!J$17,IF(AND($N$3="A2",$D21="M"),'#Indicateurs'!J$18,IF(AND($N$3="A2",$D21="H"),'#Indicateurs'!J$19,IF(AND($N$3="A3",$D21="C"),'#Indicateurs'!J$23,IF(AND($N$3="A3",$D21="M"),'#Indicateurs'!J$24,IF(AND($N$3="A3",$D21="H"),'#Indicateurs'!J$25,IF(AND($N$3="B",$D21="C"),'#Indicateurs'!J$30,IF(AND($N$3="B",$D21="M"),'#Indicateurs'!J$31,IF(AND($N$3="B",$D21="H"),'#Indicateurs'!J$32,IF(AND($N$3="C",$D21="C"),'#Indicateurs'!J$37,IF(AND($N$3="C",$D21="M"),'#Indicateurs'!J$38,IF(AND($N$3="C",$D21="H"),'#Indicateurs'!J$39,IF(AND($N$3="D",$D21="C"),'#Indicateurs'!J$44,IF(AND($N$3="D",$D21="M"),'#Indicateurs'!J$45,IF(AND($N$3="D",$D21="H"),'#Indicateurs'!J$46,"0"))))))))))))))))))</f>
        <v>0.3</v>
      </c>
      <c r="K21" s="48">
        <f t="shared" si="3"/>
        <v>17.5</v>
      </c>
      <c r="L21" s="48">
        <f t="shared" si="3"/>
        <v>7.5</v>
      </c>
      <c r="M21" s="49"/>
      <c r="N21" s="73">
        <v>0</v>
      </c>
      <c r="O21" s="74"/>
      <c r="P21" s="50">
        <f t="shared" ref="P21" si="4">K21-(K21*$N21)</f>
        <v>17.5</v>
      </c>
      <c r="Q21" s="50">
        <f t="shared" ref="Q21" si="5">L21-(L21*$N21)</f>
        <v>7.5</v>
      </c>
    </row>
    <row r="22" spans="1:17" ht="14.1" customHeight="1" x14ac:dyDescent="0.25">
      <c r="A22" s="148"/>
      <c r="C22" s="67"/>
      <c r="D22" s="68" t="s">
        <v>16</v>
      </c>
      <c r="E22" s="62">
        <v>20000</v>
      </c>
      <c r="F22" s="62">
        <v>30</v>
      </c>
      <c r="G22" s="111">
        <v>0</v>
      </c>
      <c r="H22" s="89">
        <f>Cockpit!$F$9</f>
        <v>25</v>
      </c>
      <c r="I22" s="47">
        <f>IF(AND($N$3="A1",$D22="C"),'#Indicateurs'!I$11,IF(AND($N$3="A1",$D22="M"),'#Indicateurs'!I$12,IF(AND($N$3="A1",$D22="H"),'#Indicateurs'!I$13,IF(AND($N$3="A2",$D22="C"),'#Indicateurs'!I$17,IF(AND($N$3="A2",$D22="M"),'#Indicateurs'!I$18,IF(AND($N$3="A2",$D22="H"),'#Indicateurs'!I$19,IF(AND($N$3="A3",$D22="C"),'#Indicateurs'!I$23,IF(AND($N$3="A3",$D22="M"),'#Indicateurs'!I$24,IF(AND($N$3="A3",$D22="H"),'#Indicateurs'!I$25,IF(AND($N$3="B",$D22="C"),'#Indicateurs'!I$30,IF(AND($N$3="B",$D22="M"),'#Indicateurs'!I$31,IF(AND($N$3="B",$D22="H"),'#Indicateurs'!I$32,IF(AND($N$3="C",$D22="C"),'#Indicateurs'!I$37,IF(AND($N$3="C",$D22="M"),'#Indicateurs'!I$38,IF(AND($N$3="C",$D22="H"),'#Indicateurs'!I$39,IF(AND($N$3="D",$D22="C"),'#Indicateurs'!I$44,IF(AND($N$3="D",$D22="M"),'#Indicateurs'!I$45,IF(AND($N$3="D",$D22="H"),'#Indicateurs'!I$46,"0"))))))))))))))))))</f>
        <v>0.95</v>
      </c>
      <c r="J22" s="47">
        <f>IF(AND($N$3="A1",$D22="C"),'#Indicateurs'!J$11,IF(AND($N$3="A1",$D22="M"),'#Indicateurs'!J$12,IF(AND($N$3="A1",$D22="H"),'#Indicateurs'!J$13,IF(AND($N$3="A2",$D22="C"),'#Indicateurs'!J$17,IF(AND($N$3="A2",$D22="M"),'#Indicateurs'!J$18,IF(AND($N$3="A2",$D22="H"),'#Indicateurs'!J$19,IF(AND($N$3="A3",$D22="C"),'#Indicateurs'!J$23,IF(AND($N$3="A3",$D22="M"),'#Indicateurs'!J$24,IF(AND($N$3="A3",$D22="H"),'#Indicateurs'!J$25,IF(AND($N$3="B",$D22="C"),'#Indicateurs'!J$30,IF(AND($N$3="B",$D22="M"),'#Indicateurs'!J$31,IF(AND($N$3="B",$D22="H"),'#Indicateurs'!J$32,IF(AND($N$3="C",$D22="C"),'#Indicateurs'!J$37,IF(AND($N$3="C",$D22="M"),'#Indicateurs'!J$38,IF(AND($N$3="C",$D22="H"),'#Indicateurs'!J$39,IF(AND($N$3="D",$D22="C"),'#Indicateurs'!J$44,IF(AND($N$3="D",$D22="M"),'#Indicateurs'!J$45,IF(AND($N$3="D",$D22="H"),'#Indicateurs'!J$46,"0"))))))))))))))))))</f>
        <v>0.05</v>
      </c>
      <c r="K22" s="48">
        <f t="shared" si="3"/>
        <v>47.5</v>
      </c>
      <c r="L22" s="48">
        <f t="shared" si="3"/>
        <v>2.5</v>
      </c>
      <c r="M22" s="49"/>
      <c r="N22" s="73">
        <v>0</v>
      </c>
      <c r="O22" s="74"/>
      <c r="P22" s="50">
        <f t="shared" ref="P22:P24" si="6">K22-(K22*$N22)</f>
        <v>47.5</v>
      </c>
      <c r="Q22" s="50">
        <f t="shared" ref="Q22:Q24" si="7">L22-(L22*$N22)</f>
        <v>2.5</v>
      </c>
    </row>
    <row r="23" spans="1:17" ht="14.1" customHeight="1" x14ac:dyDescent="0.25">
      <c r="A23" s="148"/>
      <c r="C23" s="67"/>
      <c r="D23" s="68" t="s">
        <v>16</v>
      </c>
      <c r="E23" s="62">
        <v>30000</v>
      </c>
      <c r="F23" s="62">
        <v>125</v>
      </c>
      <c r="G23" s="111">
        <v>0</v>
      </c>
      <c r="H23" s="89">
        <f>Cockpit!$F$9</f>
        <v>25</v>
      </c>
      <c r="I23" s="47">
        <f>IF(AND($N$3="A1",$D23="C"),'#Indicateurs'!I$11,IF(AND($N$3="A1",$D23="M"),'#Indicateurs'!I$12,IF(AND($N$3="A1",$D23="H"),'#Indicateurs'!I$13,IF(AND($N$3="A2",$D23="C"),'#Indicateurs'!I$17,IF(AND($N$3="A2",$D23="M"),'#Indicateurs'!I$18,IF(AND($N$3="A2",$D23="H"),'#Indicateurs'!I$19,IF(AND($N$3="A3",$D23="C"),'#Indicateurs'!I$23,IF(AND($N$3="A3",$D23="M"),'#Indicateurs'!I$24,IF(AND($N$3="A3",$D23="H"),'#Indicateurs'!I$25,IF(AND($N$3="B",$D23="C"),'#Indicateurs'!I$30,IF(AND($N$3="B",$D23="M"),'#Indicateurs'!I$31,IF(AND($N$3="B",$D23="H"),'#Indicateurs'!I$32,IF(AND($N$3="C",$D23="C"),'#Indicateurs'!I$37,IF(AND($N$3="C",$D23="M"),'#Indicateurs'!I$38,IF(AND($N$3="C",$D23="H"),'#Indicateurs'!I$39,IF(AND($N$3="D",$D23="C"),'#Indicateurs'!I$44,IF(AND($N$3="D",$D23="M"),'#Indicateurs'!I$45,IF(AND($N$3="D",$D23="H"),'#Indicateurs'!I$46,"0"))))))))))))))))))</f>
        <v>0.95</v>
      </c>
      <c r="J23" s="47">
        <f>IF(AND($N$3="A1",$D23="C"),'#Indicateurs'!J$11,IF(AND($N$3="A1",$D23="M"),'#Indicateurs'!J$12,IF(AND($N$3="A1",$D23="H"),'#Indicateurs'!J$13,IF(AND($N$3="A2",$D23="C"),'#Indicateurs'!J$17,IF(AND($N$3="A2",$D23="M"),'#Indicateurs'!J$18,IF(AND($N$3="A2",$D23="H"),'#Indicateurs'!J$19,IF(AND($N$3="A3",$D23="C"),'#Indicateurs'!J$23,IF(AND($N$3="A3",$D23="M"),'#Indicateurs'!J$24,IF(AND($N$3="A3",$D23="H"),'#Indicateurs'!J$25,IF(AND($N$3="B",$D23="C"),'#Indicateurs'!J$30,IF(AND($N$3="B",$D23="M"),'#Indicateurs'!J$31,IF(AND($N$3="B",$D23="H"),'#Indicateurs'!J$32,IF(AND($N$3="C",$D23="C"),'#Indicateurs'!J$37,IF(AND($N$3="C",$D23="M"),'#Indicateurs'!J$38,IF(AND($N$3="C",$D23="H"),'#Indicateurs'!J$39,IF(AND($N$3="D",$D23="C"),'#Indicateurs'!J$44,IF(AND($N$3="D",$D23="M"),'#Indicateurs'!J$45,IF(AND($N$3="D",$D23="H"),'#Indicateurs'!J$46,"0"))))))))))))))))))</f>
        <v>0.05</v>
      </c>
      <c r="K23" s="48">
        <f t="shared" si="3"/>
        <v>71.25</v>
      </c>
      <c r="L23" s="48">
        <f t="shared" si="3"/>
        <v>3.75</v>
      </c>
      <c r="M23" s="49"/>
      <c r="N23" s="73">
        <v>0</v>
      </c>
      <c r="O23" s="74"/>
      <c r="P23" s="50">
        <f t="shared" si="6"/>
        <v>71.25</v>
      </c>
      <c r="Q23" s="50">
        <f t="shared" si="7"/>
        <v>3.75</v>
      </c>
    </row>
    <row r="24" spans="1:17" ht="14.1" customHeight="1" thickBot="1" x14ac:dyDescent="0.3">
      <c r="A24" s="148"/>
      <c r="C24" s="69"/>
      <c r="D24" s="70"/>
      <c r="E24" s="64"/>
      <c r="F24" s="64"/>
      <c r="G24" s="112"/>
      <c r="H24" s="89">
        <f>Cockpit!$F$9</f>
        <v>25</v>
      </c>
      <c r="I24" s="47" t="str">
        <f>IF(AND($N$3="A1",$D24="C"),'#Indicateurs'!I$11,IF(AND($N$3="A1",$D24="M"),'#Indicateurs'!I$12,IF(AND($N$3="A1",$D24="H"),'#Indicateurs'!I$13,IF(AND($N$3="A2",$D24="C"),'#Indicateurs'!I$17,IF(AND($N$3="A2",$D24="M"),'#Indicateurs'!I$18,IF(AND($N$3="A2",$D24="H"),'#Indicateurs'!I$19,IF(AND($N$3="A3",$D24="C"),'#Indicateurs'!I$23,IF(AND($N$3="A3",$D24="M"),'#Indicateurs'!I$24,IF(AND($N$3="A3",$D24="H"),'#Indicateurs'!I$25,IF(AND($N$3="B",$D24="C"),'#Indicateurs'!I$30,IF(AND($N$3="B",$D24="M"),'#Indicateurs'!I$31,IF(AND($N$3="B",$D24="H"),'#Indicateurs'!I$32,IF(AND($N$3="C",$D24="C"),'#Indicateurs'!I$37,IF(AND($N$3="C",$D24="M"),'#Indicateurs'!I$38,IF(AND($N$3="C",$D24="H"),'#Indicateurs'!I$39,IF(AND($N$3="D",$D24="C"),'#Indicateurs'!I$44,IF(AND($N$3="D",$D24="M"),'#Indicateurs'!I$45,IF(AND($N$3="D",$D24="H"),'#Indicateurs'!I$46,"0"))))))))))))))))))</f>
        <v>0</v>
      </c>
      <c r="J24" s="47" t="str">
        <f>IF(AND($N$3="A1",$D24="C"),'#Indicateurs'!J$11,IF(AND($N$3="A1",$D24="M"),'#Indicateurs'!J$12,IF(AND($N$3="A1",$D24="H"),'#Indicateurs'!J$13,IF(AND($N$3="A2",$D24="C"),'#Indicateurs'!J$17,IF(AND($N$3="A2",$D24="M"),'#Indicateurs'!J$18,IF(AND($N$3="A2",$D24="H"),'#Indicateurs'!J$19,IF(AND($N$3="A3",$D24="C"),'#Indicateurs'!J$23,IF(AND($N$3="A3",$D24="M"),'#Indicateurs'!J$24,IF(AND($N$3="A3",$D24="H"),'#Indicateurs'!J$25,IF(AND($N$3="B",$D24="C"),'#Indicateurs'!J$30,IF(AND($N$3="B",$D24="M"),'#Indicateurs'!J$31,IF(AND($N$3="B",$D24="H"),'#Indicateurs'!J$32,IF(AND($N$3="C",$D24="C"),'#Indicateurs'!J$37,IF(AND($N$3="C",$D24="M"),'#Indicateurs'!J$38,IF(AND($N$3="C",$D24="H"),'#Indicateurs'!J$39,IF(AND($N$3="D",$D24="C"),'#Indicateurs'!J$44,IF(AND($N$3="D",$D24="M"),'#Indicateurs'!J$45,IF(AND($N$3="D",$D24="H"),'#Indicateurs'!J$46,"0"))))))))))))))))))</f>
        <v>0</v>
      </c>
      <c r="K24" s="48">
        <f t="shared" ref="K24" si="8">($E24/10000)*$H24*I24</f>
        <v>0</v>
      </c>
      <c r="L24" s="48">
        <f t="shared" ref="L24" si="9">($E24/10000)*$H24*J24</f>
        <v>0</v>
      </c>
      <c r="M24" s="49"/>
      <c r="N24" s="75"/>
      <c r="O24" s="76"/>
      <c r="P24" s="50">
        <f t="shared" si="6"/>
        <v>0</v>
      </c>
      <c r="Q24" s="50">
        <f t="shared" si="7"/>
        <v>0</v>
      </c>
    </row>
    <row r="25" spans="1:17" ht="8.1" customHeight="1" x14ac:dyDescent="0.25">
      <c r="A25" s="51"/>
      <c r="K25" s="52"/>
      <c r="L25" s="52"/>
    </row>
    <row r="26" spans="1:17" ht="14.1" customHeight="1" x14ac:dyDescent="0.25">
      <c r="D26" s="41" t="s">
        <v>21</v>
      </c>
      <c r="E26" s="53">
        <f>SUM(E20:E24)</f>
        <v>70000</v>
      </c>
      <c r="F26" s="53">
        <f>SUM(F20:F24)</f>
        <v>180</v>
      </c>
      <c r="G26" s="53">
        <f>SUM(G20:G24)</f>
        <v>5</v>
      </c>
      <c r="I26" s="54"/>
      <c r="J26" s="55" t="s">
        <v>21</v>
      </c>
      <c r="K26" s="56">
        <f>SUM(K20:K24)</f>
        <v>151.25</v>
      </c>
      <c r="L26" s="56">
        <f>SUM(L20:L24)</f>
        <v>23.75</v>
      </c>
      <c r="N26" s="40"/>
      <c r="O26" s="41" t="s">
        <v>21</v>
      </c>
      <c r="P26" s="56">
        <f>SUM(P20:P24)</f>
        <v>151.25</v>
      </c>
      <c r="Q26" s="56">
        <f>SUM(Q20:Q24)</f>
        <v>23.75</v>
      </c>
    </row>
    <row r="27" spans="1:17" ht="14.1" customHeight="1" x14ac:dyDescent="0.25"/>
    <row r="28" spans="1:17" ht="15.75" thickBot="1" x14ac:dyDescent="0.3"/>
    <row r="29" spans="1:17" ht="15" customHeight="1" x14ac:dyDescent="0.25">
      <c r="D29" s="150" t="s">
        <v>27</v>
      </c>
      <c r="E29" s="143">
        <f>(E15+E26)/10000</f>
        <v>15</v>
      </c>
      <c r="F29" s="143">
        <f>F15+F26</f>
        <v>380</v>
      </c>
      <c r="G29" s="145">
        <f>G15+G26</f>
        <v>95</v>
      </c>
      <c r="J29" s="150" t="s">
        <v>27</v>
      </c>
      <c r="K29" s="143">
        <f>K15+K26</f>
        <v>416.25</v>
      </c>
      <c r="L29" s="145">
        <f>L15+L26</f>
        <v>158.75</v>
      </c>
      <c r="O29" s="141" t="s">
        <v>27</v>
      </c>
      <c r="P29" s="143">
        <f>P15+P26</f>
        <v>397</v>
      </c>
      <c r="Q29" s="145">
        <f>Q15+Q26</f>
        <v>150.5</v>
      </c>
    </row>
    <row r="30" spans="1:17" ht="15.75" customHeight="1" thickBot="1" x14ac:dyDescent="0.3">
      <c r="D30" s="151"/>
      <c r="E30" s="144"/>
      <c r="F30" s="144"/>
      <c r="G30" s="146"/>
      <c r="J30" s="151"/>
      <c r="K30" s="144"/>
      <c r="L30" s="146"/>
      <c r="O30" s="142"/>
      <c r="P30" s="144"/>
      <c r="Q30" s="146"/>
    </row>
    <row r="31" spans="1:17" x14ac:dyDescent="0.25">
      <c r="E31" s="113" t="s">
        <v>138</v>
      </c>
      <c r="F31" s="113" t="s">
        <v>139</v>
      </c>
      <c r="G31" s="113" t="s">
        <v>140</v>
      </c>
      <c r="H31" s="113"/>
      <c r="I31" s="113"/>
      <c r="J31" s="113"/>
      <c r="K31" s="113" t="s">
        <v>139</v>
      </c>
      <c r="L31" s="113" t="s">
        <v>140</v>
      </c>
      <c r="M31" s="114"/>
      <c r="N31" s="113"/>
      <c r="O31" s="113"/>
      <c r="P31" s="113" t="s">
        <v>139</v>
      </c>
      <c r="Q31" s="113" t="s">
        <v>140</v>
      </c>
    </row>
  </sheetData>
  <dataConsolidate/>
  <mergeCells count="16">
    <mergeCell ref="D3:I3"/>
    <mergeCell ref="A3:C3"/>
    <mergeCell ref="K3:L3"/>
    <mergeCell ref="O3:Q3"/>
    <mergeCell ref="O29:O30"/>
    <mergeCell ref="P29:P30"/>
    <mergeCell ref="Q29:Q30"/>
    <mergeCell ref="A8:A13"/>
    <mergeCell ref="A20:A24"/>
    <mergeCell ref="J29:J30"/>
    <mergeCell ref="K29:K30"/>
    <mergeCell ref="L29:L30"/>
    <mergeCell ref="D29:D30"/>
    <mergeCell ref="F29:F30"/>
    <mergeCell ref="G29:G30"/>
    <mergeCell ref="E29:E30"/>
  </mergeCells>
  <dataValidations count="1">
    <dataValidation type="list" allowBlank="1" showInputMessage="1" showErrorMessage="1" sqref="D8:D13 D20:D24">
      <formula1>Affectation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'#Liste'!$D$2:$D$22</xm:f>
          </x14:formula1>
          <xm:sqref>N8:N13 N20:N24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B1:O59"/>
  <sheetViews>
    <sheetView zoomScaleNormal="100" zoomScalePageLayoutView="115" workbookViewId="0">
      <selection activeCell="G8" sqref="G8:G10"/>
    </sheetView>
  </sheetViews>
  <sheetFormatPr baseColWidth="10" defaultColWidth="10.85546875" defaultRowHeight="15" x14ac:dyDescent="0.25"/>
  <cols>
    <col min="1" max="1" width="4.7109375" style="1" customWidth="1"/>
    <col min="2" max="2" width="1.28515625" style="1" customWidth="1"/>
    <col min="3" max="3" width="3.7109375" style="1" customWidth="1"/>
    <col min="4" max="4" width="26.5703125" style="6" customWidth="1"/>
    <col min="5" max="5" width="3.7109375" style="6" customWidth="1"/>
    <col min="6" max="6" width="20.7109375" style="1" customWidth="1"/>
    <col min="7" max="7" width="15.7109375" style="5" customWidth="1"/>
    <col min="8" max="8" width="11" style="5" bestFit="1" customWidth="1"/>
    <col min="9" max="10" width="12.7109375" style="5" customWidth="1"/>
    <col min="11" max="11" width="1.28515625" style="5" customWidth="1"/>
    <col min="12" max="15" width="8.7109375" style="5" customWidth="1"/>
    <col min="16" max="16" width="10.7109375" style="1" customWidth="1"/>
    <col min="17" max="16384" width="10.85546875" style="1"/>
  </cols>
  <sheetData>
    <row r="1" spans="2:15" ht="30" customHeight="1" x14ac:dyDescent="0.3">
      <c r="C1" s="169" t="s">
        <v>4</v>
      </c>
      <c r="D1" s="169"/>
      <c r="E1" s="169"/>
      <c r="F1" s="169"/>
      <c r="G1" s="169"/>
      <c r="H1" s="7"/>
      <c r="I1" s="7"/>
      <c r="J1" s="7"/>
      <c r="K1" s="7"/>
      <c r="L1" s="7"/>
      <c r="M1" s="7"/>
      <c r="N1" s="7"/>
      <c r="O1" s="7"/>
    </row>
    <row r="2" spans="2:15" ht="30" customHeight="1" x14ac:dyDescent="0.3">
      <c r="C2" s="169" t="s">
        <v>5</v>
      </c>
      <c r="D2" s="169"/>
      <c r="E2" s="1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ht="50.1" customHeight="1" x14ac:dyDescent="0.25"/>
    <row r="4" spans="2:15" s="4" customFormat="1" ht="15" customHeight="1" x14ac:dyDescent="0.25">
      <c r="C4" s="167" t="s">
        <v>6</v>
      </c>
      <c r="D4" s="167"/>
      <c r="E4" s="167" t="s">
        <v>2</v>
      </c>
      <c r="F4" s="167"/>
      <c r="G4" s="167" t="s">
        <v>7</v>
      </c>
      <c r="H4" s="167" t="s">
        <v>9</v>
      </c>
      <c r="I4" s="167" t="s">
        <v>8</v>
      </c>
      <c r="J4" s="167"/>
      <c r="K4" s="20"/>
      <c r="L4" s="20"/>
      <c r="M4" s="20"/>
      <c r="N4" s="20"/>
      <c r="O4" s="20"/>
    </row>
    <row r="5" spans="2:15" ht="15" customHeight="1" x14ac:dyDescent="0.25">
      <c r="C5" s="167"/>
      <c r="D5" s="167"/>
      <c r="E5" s="167"/>
      <c r="F5" s="167"/>
      <c r="G5" s="167"/>
      <c r="H5" s="167"/>
      <c r="I5" s="170"/>
      <c r="J5" s="170"/>
    </row>
    <row r="6" spans="2:15" x14ac:dyDescent="0.25">
      <c r="C6" s="167"/>
      <c r="D6" s="167"/>
      <c r="E6" s="167"/>
      <c r="F6" s="167"/>
      <c r="G6" s="167"/>
      <c r="H6" s="167"/>
      <c r="I6" s="8" t="s">
        <v>1</v>
      </c>
      <c r="J6" s="8" t="s">
        <v>0</v>
      </c>
    </row>
    <row r="7" spans="2:15" ht="15.75" thickBot="1" x14ac:dyDescent="0.3">
      <c r="C7" s="171"/>
      <c r="D7" s="171"/>
      <c r="E7" s="171"/>
      <c r="F7" s="171"/>
      <c r="G7" s="171"/>
      <c r="H7" s="171"/>
      <c r="I7" s="171"/>
      <c r="J7" s="171"/>
    </row>
    <row r="8" spans="2:15" x14ac:dyDescent="0.25">
      <c r="B8" s="17"/>
      <c r="C8" s="159" t="s">
        <v>104</v>
      </c>
      <c r="D8" s="162" t="s">
        <v>107</v>
      </c>
      <c r="E8" s="165">
        <v>1</v>
      </c>
      <c r="F8" s="166" t="s">
        <v>124</v>
      </c>
      <c r="G8" s="152">
        <v>140</v>
      </c>
      <c r="H8" s="77" t="s">
        <v>11</v>
      </c>
      <c r="I8" s="78">
        <v>0.5</v>
      </c>
      <c r="J8" s="79">
        <v>0.5</v>
      </c>
      <c r="K8" s="19"/>
      <c r="L8" s="2"/>
      <c r="M8" s="2"/>
      <c r="N8" s="2"/>
    </row>
    <row r="9" spans="2:15" x14ac:dyDescent="0.25">
      <c r="B9" s="17"/>
      <c r="C9" s="160"/>
      <c r="D9" s="163"/>
      <c r="E9" s="154"/>
      <c r="F9" s="156"/>
      <c r="G9" s="153"/>
      <c r="H9" s="10" t="s">
        <v>15</v>
      </c>
      <c r="I9" s="13">
        <v>0.6</v>
      </c>
      <c r="J9" s="80">
        <v>0.4</v>
      </c>
      <c r="K9" s="19"/>
      <c r="L9" s="2"/>
      <c r="M9" s="2"/>
      <c r="N9" s="2"/>
    </row>
    <row r="10" spans="2:15" x14ac:dyDescent="0.25">
      <c r="B10" s="17"/>
      <c r="C10" s="160"/>
      <c r="D10" s="163"/>
      <c r="E10" s="154"/>
      <c r="F10" s="156"/>
      <c r="G10" s="153"/>
      <c r="H10" s="11" t="s">
        <v>16</v>
      </c>
      <c r="I10" s="14">
        <v>0.95</v>
      </c>
      <c r="J10" s="81">
        <v>0.05</v>
      </c>
      <c r="K10" s="19"/>
      <c r="L10" s="2"/>
      <c r="M10" s="2"/>
      <c r="N10" s="2"/>
    </row>
    <row r="11" spans="2:15" x14ac:dyDescent="0.25">
      <c r="B11" s="17"/>
      <c r="C11" s="160"/>
      <c r="D11" s="163"/>
      <c r="E11" s="154">
        <v>2</v>
      </c>
      <c r="F11" s="156" t="s">
        <v>3</v>
      </c>
      <c r="G11" s="153">
        <v>70</v>
      </c>
      <c r="H11" s="9" t="s">
        <v>11</v>
      </c>
      <c r="I11" s="12">
        <v>0.6</v>
      </c>
      <c r="J11" s="82">
        <v>0.4</v>
      </c>
      <c r="K11" s="18"/>
    </row>
    <row r="12" spans="2:15" x14ac:dyDescent="0.25">
      <c r="B12" s="17"/>
      <c r="C12" s="160"/>
      <c r="D12" s="163"/>
      <c r="E12" s="154"/>
      <c r="F12" s="156"/>
      <c r="G12" s="153"/>
      <c r="H12" s="10" t="s">
        <v>15</v>
      </c>
      <c r="I12" s="13">
        <v>0.6</v>
      </c>
      <c r="J12" s="80">
        <v>0.4</v>
      </c>
      <c r="K12" s="18"/>
    </row>
    <row r="13" spans="2:15" ht="15.75" thickBot="1" x14ac:dyDescent="0.3">
      <c r="B13" s="17"/>
      <c r="C13" s="161"/>
      <c r="D13" s="164"/>
      <c r="E13" s="155"/>
      <c r="F13" s="157"/>
      <c r="G13" s="158"/>
      <c r="H13" s="83" t="s">
        <v>16</v>
      </c>
      <c r="I13" s="84">
        <v>0.95</v>
      </c>
      <c r="J13" s="85">
        <v>0.05</v>
      </c>
      <c r="K13" s="18"/>
    </row>
    <row r="14" spans="2:15" x14ac:dyDescent="0.25">
      <c r="B14" s="17"/>
      <c r="C14" s="159" t="s">
        <v>105</v>
      </c>
      <c r="D14" s="162" t="s">
        <v>108</v>
      </c>
      <c r="E14" s="165">
        <v>1</v>
      </c>
      <c r="F14" s="166" t="s">
        <v>124</v>
      </c>
      <c r="G14" s="152">
        <v>120</v>
      </c>
      <c r="H14" s="77" t="s">
        <v>11</v>
      </c>
      <c r="I14" s="78">
        <v>0.5</v>
      </c>
      <c r="J14" s="79">
        <v>0.5</v>
      </c>
      <c r="K14" s="18"/>
    </row>
    <row r="15" spans="2:15" x14ac:dyDescent="0.25">
      <c r="B15" s="17"/>
      <c r="C15" s="160"/>
      <c r="D15" s="163"/>
      <c r="E15" s="154"/>
      <c r="F15" s="156"/>
      <c r="G15" s="153"/>
      <c r="H15" s="10" t="s">
        <v>15</v>
      </c>
      <c r="I15" s="13">
        <v>0.6</v>
      </c>
      <c r="J15" s="80">
        <v>0.4</v>
      </c>
      <c r="K15" s="18"/>
    </row>
    <row r="16" spans="2:15" x14ac:dyDescent="0.25">
      <c r="B16" s="17"/>
      <c r="C16" s="160"/>
      <c r="D16" s="163"/>
      <c r="E16" s="154"/>
      <c r="F16" s="156"/>
      <c r="G16" s="153"/>
      <c r="H16" s="11" t="s">
        <v>16</v>
      </c>
      <c r="I16" s="14">
        <v>0.95</v>
      </c>
      <c r="J16" s="81">
        <v>0.05</v>
      </c>
      <c r="K16" s="18"/>
    </row>
    <row r="17" spans="2:11" x14ac:dyDescent="0.25">
      <c r="B17" s="17"/>
      <c r="C17" s="160"/>
      <c r="D17" s="163"/>
      <c r="E17" s="154">
        <v>2</v>
      </c>
      <c r="F17" s="156" t="s">
        <v>3</v>
      </c>
      <c r="G17" s="153">
        <v>60</v>
      </c>
      <c r="H17" s="9" t="s">
        <v>11</v>
      </c>
      <c r="I17" s="12">
        <v>0.6</v>
      </c>
      <c r="J17" s="82">
        <v>0.4</v>
      </c>
      <c r="K17" s="18"/>
    </row>
    <row r="18" spans="2:11" x14ac:dyDescent="0.25">
      <c r="B18" s="17"/>
      <c r="C18" s="160"/>
      <c r="D18" s="163"/>
      <c r="E18" s="154"/>
      <c r="F18" s="156"/>
      <c r="G18" s="153"/>
      <c r="H18" s="10" t="s">
        <v>15</v>
      </c>
      <c r="I18" s="13">
        <v>0.6</v>
      </c>
      <c r="J18" s="80">
        <v>0.4</v>
      </c>
      <c r="K18" s="18"/>
    </row>
    <row r="19" spans="2:11" ht="15.75" thickBot="1" x14ac:dyDescent="0.3">
      <c r="B19" s="17"/>
      <c r="C19" s="161"/>
      <c r="D19" s="164"/>
      <c r="E19" s="155"/>
      <c r="F19" s="157"/>
      <c r="G19" s="158"/>
      <c r="H19" s="83" t="s">
        <v>16</v>
      </c>
      <c r="I19" s="84">
        <v>0.95</v>
      </c>
      <c r="J19" s="85">
        <v>0.05</v>
      </c>
      <c r="K19" s="18"/>
    </row>
    <row r="20" spans="2:11" x14ac:dyDescent="0.25">
      <c r="B20" s="17"/>
      <c r="C20" s="159" t="s">
        <v>106</v>
      </c>
      <c r="D20" s="162" t="s">
        <v>109</v>
      </c>
      <c r="E20" s="165">
        <v>1</v>
      </c>
      <c r="F20" s="166" t="s">
        <v>124</v>
      </c>
      <c r="G20" s="152">
        <v>100</v>
      </c>
      <c r="H20" s="77" t="s">
        <v>11</v>
      </c>
      <c r="I20" s="78">
        <v>0.5</v>
      </c>
      <c r="J20" s="79">
        <v>0.5</v>
      </c>
      <c r="K20" s="18"/>
    </row>
    <row r="21" spans="2:11" x14ac:dyDescent="0.25">
      <c r="C21" s="160"/>
      <c r="D21" s="163"/>
      <c r="E21" s="154"/>
      <c r="F21" s="156"/>
      <c r="G21" s="153"/>
      <c r="H21" s="10" t="s">
        <v>15</v>
      </c>
      <c r="I21" s="13">
        <v>0.6</v>
      </c>
      <c r="J21" s="80">
        <v>0.4</v>
      </c>
    </row>
    <row r="22" spans="2:11" ht="15" customHeight="1" x14ac:dyDescent="0.25">
      <c r="C22" s="160"/>
      <c r="D22" s="163"/>
      <c r="E22" s="154"/>
      <c r="F22" s="156"/>
      <c r="G22" s="153"/>
      <c r="H22" s="11" t="s">
        <v>16</v>
      </c>
      <c r="I22" s="14">
        <v>0.95</v>
      </c>
      <c r="J22" s="81">
        <v>0.05</v>
      </c>
    </row>
    <row r="23" spans="2:11" x14ac:dyDescent="0.25">
      <c r="C23" s="160"/>
      <c r="D23" s="163"/>
      <c r="E23" s="154">
        <v>2</v>
      </c>
      <c r="F23" s="156" t="s">
        <v>3</v>
      </c>
      <c r="G23" s="153">
        <v>50</v>
      </c>
      <c r="H23" s="9" t="s">
        <v>11</v>
      </c>
      <c r="I23" s="12">
        <v>0.6</v>
      </c>
      <c r="J23" s="82">
        <v>0.4</v>
      </c>
    </row>
    <row r="24" spans="2:11" x14ac:dyDescent="0.25">
      <c r="C24" s="160"/>
      <c r="D24" s="163"/>
      <c r="E24" s="154"/>
      <c r="F24" s="156"/>
      <c r="G24" s="153"/>
      <c r="H24" s="10" t="s">
        <v>15</v>
      </c>
      <c r="I24" s="13">
        <v>0.6</v>
      </c>
      <c r="J24" s="80">
        <v>0.4</v>
      </c>
    </row>
    <row r="25" spans="2:11" ht="15.75" thickBot="1" x14ac:dyDescent="0.3">
      <c r="C25" s="161"/>
      <c r="D25" s="164"/>
      <c r="E25" s="155"/>
      <c r="F25" s="157"/>
      <c r="G25" s="158"/>
      <c r="H25" s="83" t="s">
        <v>16</v>
      </c>
      <c r="I25" s="84">
        <v>0.95</v>
      </c>
      <c r="J25" s="85">
        <v>0.05</v>
      </c>
    </row>
    <row r="26" spans="2:11" ht="15.75" thickBot="1" x14ac:dyDescent="0.3">
      <c r="C26" s="168"/>
      <c r="D26" s="168"/>
      <c r="E26" s="168"/>
      <c r="F26" s="168"/>
      <c r="G26" s="168"/>
      <c r="H26" s="168"/>
      <c r="I26" s="168"/>
      <c r="J26" s="168"/>
    </row>
    <row r="27" spans="2:11" x14ac:dyDescent="0.25">
      <c r="C27" s="159" t="s">
        <v>10</v>
      </c>
      <c r="D27" s="162" t="s">
        <v>13</v>
      </c>
      <c r="E27" s="165">
        <v>1</v>
      </c>
      <c r="F27" s="166" t="s">
        <v>124</v>
      </c>
      <c r="G27" s="152">
        <v>80</v>
      </c>
      <c r="H27" s="77" t="s">
        <v>11</v>
      </c>
      <c r="I27" s="78">
        <v>0.6</v>
      </c>
      <c r="J27" s="79">
        <v>0.4</v>
      </c>
    </row>
    <row r="28" spans="2:11" x14ac:dyDescent="0.25">
      <c r="C28" s="160"/>
      <c r="D28" s="163"/>
      <c r="E28" s="154"/>
      <c r="F28" s="156"/>
      <c r="G28" s="153"/>
      <c r="H28" s="10" t="s">
        <v>15</v>
      </c>
      <c r="I28" s="13">
        <v>0.6</v>
      </c>
      <c r="J28" s="80">
        <v>0.4</v>
      </c>
    </row>
    <row r="29" spans="2:11" x14ac:dyDescent="0.25">
      <c r="C29" s="160"/>
      <c r="D29" s="163"/>
      <c r="E29" s="154"/>
      <c r="F29" s="156"/>
      <c r="G29" s="153"/>
      <c r="H29" s="11" t="s">
        <v>16</v>
      </c>
      <c r="I29" s="14">
        <v>0.95</v>
      </c>
      <c r="J29" s="81">
        <v>0.05</v>
      </c>
    </row>
    <row r="30" spans="2:11" x14ac:dyDescent="0.25">
      <c r="C30" s="160"/>
      <c r="D30" s="163"/>
      <c r="E30" s="154">
        <v>2</v>
      </c>
      <c r="F30" s="156" t="s">
        <v>3</v>
      </c>
      <c r="G30" s="153">
        <v>40</v>
      </c>
      <c r="H30" s="9" t="s">
        <v>11</v>
      </c>
      <c r="I30" s="12">
        <v>0.7</v>
      </c>
      <c r="J30" s="82">
        <v>0.3</v>
      </c>
    </row>
    <row r="31" spans="2:11" x14ac:dyDescent="0.25">
      <c r="C31" s="160"/>
      <c r="D31" s="163"/>
      <c r="E31" s="154"/>
      <c r="F31" s="156"/>
      <c r="G31" s="153"/>
      <c r="H31" s="10" t="s">
        <v>15</v>
      </c>
      <c r="I31" s="13">
        <v>0.6</v>
      </c>
      <c r="J31" s="80">
        <v>0.4</v>
      </c>
    </row>
    <row r="32" spans="2:11" ht="15.75" thickBot="1" x14ac:dyDescent="0.3">
      <c r="C32" s="161"/>
      <c r="D32" s="164"/>
      <c r="E32" s="155"/>
      <c r="F32" s="157"/>
      <c r="G32" s="158"/>
      <c r="H32" s="83" t="s">
        <v>16</v>
      </c>
      <c r="I32" s="84">
        <v>0.95</v>
      </c>
      <c r="J32" s="85">
        <v>0.05</v>
      </c>
    </row>
    <row r="33" spans="3:10" ht="15.75" thickBot="1" x14ac:dyDescent="0.3">
      <c r="C33" s="58"/>
      <c r="D33" s="58"/>
      <c r="E33" s="58"/>
      <c r="F33" s="58"/>
      <c r="G33" s="58"/>
      <c r="H33" s="58"/>
      <c r="I33" s="58"/>
      <c r="J33" s="58"/>
    </row>
    <row r="34" spans="3:10" x14ac:dyDescent="0.25">
      <c r="C34" s="159" t="s">
        <v>11</v>
      </c>
      <c r="D34" s="162" t="s">
        <v>123</v>
      </c>
      <c r="E34" s="165">
        <v>1</v>
      </c>
      <c r="F34" s="166" t="s">
        <v>124</v>
      </c>
      <c r="G34" s="152">
        <v>60</v>
      </c>
      <c r="H34" s="77" t="s">
        <v>11</v>
      </c>
      <c r="I34" s="77">
        <v>0.6</v>
      </c>
      <c r="J34" s="86">
        <v>0.4</v>
      </c>
    </row>
    <row r="35" spans="3:10" x14ac:dyDescent="0.25">
      <c r="C35" s="160"/>
      <c r="D35" s="163"/>
      <c r="E35" s="154"/>
      <c r="F35" s="156"/>
      <c r="G35" s="153"/>
      <c r="H35" s="10" t="s">
        <v>15</v>
      </c>
      <c r="I35" s="10">
        <v>0.6</v>
      </c>
      <c r="J35" s="87">
        <v>0.4</v>
      </c>
    </row>
    <row r="36" spans="3:10" x14ac:dyDescent="0.25">
      <c r="C36" s="160"/>
      <c r="D36" s="163"/>
      <c r="E36" s="154"/>
      <c r="F36" s="156"/>
      <c r="G36" s="153"/>
      <c r="H36" s="11" t="s">
        <v>16</v>
      </c>
      <c r="I36" s="14">
        <v>0.95</v>
      </c>
      <c r="J36" s="81">
        <v>0.05</v>
      </c>
    </row>
    <row r="37" spans="3:10" x14ac:dyDescent="0.25">
      <c r="C37" s="160"/>
      <c r="D37" s="163"/>
      <c r="E37" s="154">
        <v>2</v>
      </c>
      <c r="F37" s="156" t="s">
        <v>3</v>
      </c>
      <c r="G37" s="153">
        <v>30</v>
      </c>
      <c r="H37" s="9" t="s">
        <v>11</v>
      </c>
      <c r="I37" s="9">
        <v>0.7</v>
      </c>
      <c r="J37" s="88">
        <v>0.3</v>
      </c>
    </row>
    <row r="38" spans="3:10" x14ac:dyDescent="0.25">
      <c r="C38" s="160"/>
      <c r="D38" s="163"/>
      <c r="E38" s="154"/>
      <c r="F38" s="156"/>
      <c r="G38" s="153"/>
      <c r="H38" s="10" t="s">
        <v>15</v>
      </c>
      <c r="I38" s="10">
        <v>0.6</v>
      </c>
      <c r="J38" s="87">
        <v>0.4</v>
      </c>
    </row>
    <row r="39" spans="3:10" ht="15.75" thickBot="1" x14ac:dyDescent="0.3">
      <c r="C39" s="161"/>
      <c r="D39" s="164"/>
      <c r="E39" s="155"/>
      <c r="F39" s="157"/>
      <c r="G39" s="158"/>
      <c r="H39" s="83" t="s">
        <v>16</v>
      </c>
      <c r="I39" s="84">
        <v>0.95</v>
      </c>
      <c r="J39" s="85">
        <v>0.05</v>
      </c>
    </row>
    <row r="40" spans="3:10" ht="15.75" thickBot="1" x14ac:dyDescent="0.3">
      <c r="C40" s="168"/>
      <c r="D40" s="168"/>
      <c r="E40" s="168"/>
      <c r="F40" s="168"/>
      <c r="G40" s="168"/>
      <c r="H40" s="168"/>
      <c r="I40" s="168"/>
      <c r="J40" s="168"/>
    </row>
    <row r="41" spans="3:10" x14ac:dyDescent="0.25">
      <c r="C41" s="159" t="s">
        <v>12</v>
      </c>
      <c r="D41" s="162" t="s">
        <v>14</v>
      </c>
      <c r="E41" s="165">
        <v>1</v>
      </c>
      <c r="F41" s="166" t="s">
        <v>124</v>
      </c>
      <c r="G41" s="152">
        <v>50</v>
      </c>
      <c r="H41" s="77" t="s">
        <v>11</v>
      </c>
      <c r="I41" s="77">
        <v>0.7</v>
      </c>
      <c r="J41" s="86">
        <v>0.3</v>
      </c>
    </row>
    <row r="42" spans="3:10" x14ac:dyDescent="0.25">
      <c r="C42" s="160"/>
      <c r="D42" s="163"/>
      <c r="E42" s="154"/>
      <c r="F42" s="156"/>
      <c r="G42" s="153"/>
      <c r="H42" s="10" t="s">
        <v>15</v>
      </c>
      <c r="I42" s="10">
        <v>0.6</v>
      </c>
      <c r="J42" s="87">
        <v>0.4</v>
      </c>
    </row>
    <row r="43" spans="3:10" x14ac:dyDescent="0.25">
      <c r="C43" s="160"/>
      <c r="D43" s="163"/>
      <c r="E43" s="154"/>
      <c r="F43" s="156"/>
      <c r="G43" s="153"/>
      <c r="H43" s="11" t="s">
        <v>16</v>
      </c>
      <c r="I43" s="14">
        <v>0.95</v>
      </c>
      <c r="J43" s="81">
        <v>0.05</v>
      </c>
    </row>
    <row r="44" spans="3:10" x14ac:dyDescent="0.25">
      <c r="C44" s="160"/>
      <c r="D44" s="163"/>
      <c r="E44" s="154">
        <v>2</v>
      </c>
      <c r="F44" s="156" t="s">
        <v>3</v>
      </c>
      <c r="G44" s="153">
        <v>25</v>
      </c>
      <c r="H44" s="9" t="s">
        <v>11</v>
      </c>
      <c r="I44" s="9">
        <v>0.7</v>
      </c>
      <c r="J44" s="88">
        <v>0.3</v>
      </c>
    </row>
    <row r="45" spans="3:10" x14ac:dyDescent="0.25">
      <c r="C45" s="160"/>
      <c r="D45" s="163"/>
      <c r="E45" s="154"/>
      <c r="F45" s="156"/>
      <c r="G45" s="153"/>
      <c r="H45" s="10" t="s">
        <v>15</v>
      </c>
      <c r="I45" s="10">
        <v>0.6</v>
      </c>
      <c r="J45" s="87">
        <v>0.4</v>
      </c>
    </row>
    <row r="46" spans="3:10" ht="15.75" thickBot="1" x14ac:dyDescent="0.3">
      <c r="C46" s="161"/>
      <c r="D46" s="164"/>
      <c r="E46" s="155"/>
      <c r="F46" s="157"/>
      <c r="G46" s="158"/>
      <c r="H46" s="83" t="s">
        <v>16</v>
      </c>
      <c r="I46" s="84">
        <v>0.95</v>
      </c>
      <c r="J46" s="85">
        <v>0.05</v>
      </c>
    </row>
    <row r="52" spans="8:9" x14ac:dyDescent="0.25">
      <c r="H52" s="15"/>
      <c r="I52" s="16"/>
    </row>
    <row r="53" spans="8:9" x14ac:dyDescent="0.25">
      <c r="H53" s="15"/>
      <c r="I53" s="16"/>
    </row>
    <row r="54" spans="8:9" x14ac:dyDescent="0.25">
      <c r="H54" s="15"/>
      <c r="I54" s="16"/>
    </row>
    <row r="55" spans="8:9" x14ac:dyDescent="0.25">
      <c r="H55" s="15"/>
      <c r="I55" s="16"/>
    </row>
    <row r="56" spans="8:9" x14ac:dyDescent="0.25">
      <c r="H56" s="15"/>
      <c r="I56" s="16"/>
    </row>
    <row r="57" spans="8:9" x14ac:dyDescent="0.25">
      <c r="H57" s="15"/>
      <c r="I57" s="16"/>
    </row>
    <row r="58" spans="8:9" x14ac:dyDescent="0.25">
      <c r="H58" s="15"/>
      <c r="I58" s="16"/>
    </row>
    <row r="59" spans="8:9" x14ac:dyDescent="0.25">
      <c r="H59" s="15"/>
      <c r="I59" s="16"/>
    </row>
  </sheetData>
  <mergeCells count="58">
    <mergeCell ref="C1:G1"/>
    <mergeCell ref="C2:D2"/>
    <mergeCell ref="I4:J5"/>
    <mergeCell ref="H4:H6"/>
    <mergeCell ref="C7:J7"/>
    <mergeCell ref="C4:D6"/>
    <mergeCell ref="C34:C39"/>
    <mergeCell ref="C41:C46"/>
    <mergeCell ref="D8:D13"/>
    <mergeCell ref="D27:D32"/>
    <mergeCell ref="D34:D39"/>
    <mergeCell ref="D41:D46"/>
    <mergeCell ref="C40:J40"/>
    <mergeCell ref="F44:F46"/>
    <mergeCell ref="F41:F43"/>
    <mergeCell ref="F37:F39"/>
    <mergeCell ref="F34:F36"/>
    <mergeCell ref="F30:F32"/>
    <mergeCell ref="F27:F29"/>
    <mergeCell ref="F11:F13"/>
    <mergeCell ref="F8:F10"/>
    <mergeCell ref="C8:C13"/>
    <mergeCell ref="C27:C32"/>
    <mergeCell ref="G4:G6"/>
    <mergeCell ref="G30:G32"/>
    <mergeCell ref="E27:E29"/>
    <mergeCell ref="E30:E32"/>
    <mergeCell ref="C26:J26"/>
    <mergeCell ref="G8:G10"/>
    <mergeCell ref="G11:G13"/>
    <mergeCell ref="G27:G29"/>
    <mergeCell ref="E4:F6"/>
    <mergeCell ref="E8:E10"/>
    <mergeCell ref="E11:E13"/>
    <mergeCell ref="C14:C19"/>
    <mergeCell ref="D14:D19"/>
    <mergeCell ref="E14:E16"/>
    <mergeCell ref="F14:F16"/>
    <mergeCell ref="G34:G36"/>
    <mergeCell ref="G37:G39"/>
    <mergeCell ref="G41:G43"/>
    <mergeCell ref="G44:G46"/>
    <mergeCell ref="E41:E43"/>
    <mergeCell ref="E44:E46"/>
    <mergeCell ref="E34:E36"/>
    <mergeCell ref="E37:E39"/>
    <mergeCell ref="G14:G16"/>
    <mergeCell ref="E17:E19"/>
    <mergeCell ref="F17:F19"/>
    <mergeCell ref="G17:G19"/>
    <mergeCell ref="C20:C25"/>
    <mergeCell ref="D20:D25"/>
    <mergeCell ref="E20:E22"/>
    <mergeCell ref="F20:F22"/>
    <mergeCell ref="G20:G22"/>
    <mergeCell ref="E23:E25"/>
    <mergeCell ref="F23:F25"/>
    <mergeCell ref="G23:G2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workbookViewId="0">
      <selection activeCell="A71" sqref="A71"/>
    </sheetView>
  </sheetViews>
  <sheetFormatPr baseColWidth="10" defaultRowHeight="15" x14ac:dyDescent="0.25"/>
  <cols>
    <col min="1" max="1" width="21.42578125" bestFit="1" customWidth="1"/>
  </cols>
  <sheetData>
    <row r="1" spans="1:4" x14ac:dyDescent="0.25">
      <c r="A1" t="s">
        <v>39</v>
      </c>
      <c r="B1" t="s">
        <v>37</v>
      </c>
      <c r="C1" t="s">
        <v>9</v>
      </c>
      <c r="D1" t="s">
        <v>38</v>
      </c>
    </row>
    <row r="2" spans="1:4" x14ac:dyDescent="0.25">
      <c r="A2" t="s">
        <v>60</v>
      </c>
      <c r="B2" t="s">
        <v>104</v>
      </c>
      <c r="C2" t="s">
        <v>11</v>
      </c>
      <c r="D2" s="60">
        <v>0</v>
      </c>
    </row>
    <row r="3" spans="1:4" x14ac:dyDescent="0.25">
      <c r="A3" t="s">
        <v>78</v>
      </c>
      <c r="B3" t="s">
        <v>105</v>
      </c>
      <c r="C3" t="s">
        <v>15</v>
      </c>
      <c r="D3" s="60">
        <v>0.05</v>
      </c>
    </row>
    <row r="4" spans="1:4" x14ac:dyDescent="0.25">
      <c r="A4" t="s">
        <v>92</v>
      </c>
      <c r="B4" t="s">
        <v>106</v>
      </c>
      <c r="C4" t="s">
        <v>16</v>
      </c>
      <c r="D4" s="60">
        <v>0.1</v>
      </c>
    </row>
    <row r="5" spans="1:4" x14ac:dyDescent="0.25">
      <c r="A5" t="s">
        <v>112</v>
      </c>
      <c r="B5" t="s">
        <v>10</v>
      </c>
      <c r="D5" s="60">
        <v>0.15</v>
      </c>
    </row>
    <row r="6" spans="1:4" x14ac:dyDescent="0.25">
      <c r="A6" t="s">
        <v>61</v>
      </c>
      <c r="B6" t="s">
        <v>11</v>
      </c>
      <c r="D6" s="60">
        <v>0.2</v>
      </c>
    </row>
    <row r="7" spans="1:4" x14ac:dyDescent="0.25">
      <c r="A7" t="s">
        <v>40</v>
      </c>
      <c r="B7" t="s">
        <v>12</v>
      </c>
      <c r="D7" s="60">
        <v>0.25</v>
      </c>
    </row>
    <row r="8" spans="1:4" x14ac:dyDescent="0.25">
      <c r="A8" t="s">
        <v>62</v>
      </c>
      <c r="D8" s="60">
        <v>0.3</v>
      </c>
    </row>
    <row r="9" spans="1:4" x14ac:dyDescent="0.25">
      <c r="A9" t="s">
        <v>63</v>
      </c>
      <c r="D9" s="60">
        <v>0.35</v>
      </c>
    </row>
    <row r="10" spans="1:4" x14ac:dyDescent="0.25">
      <c r="A10" t="s">
        <v>41</v>
      </c>
      <c r="D10" s="60">
        <v>0.4</v>
      </c>
    </row>
    <row r="11" spans="1:4" x14ac:dyDescent="0.25">
      <c r="A11" t="s">
        <v>121</v>
      </c>
      <c r="D11" s="60">
        <v>0.45</v>
      </c>
    </row>
    <row r="12" spans="1:4" x14ac:dyDescent="0.25">
      <c r="A12" t="s">
        <v>64</v>
      </c>
      <c r="D12" s="60">
        <v>0.5</v>
      </c>
    </row>
    <row r="13" spans="1:4" x14ac:dyDescent="0.25">
      <c r="A13" t="s">
        <v>42</v>
      </c>
      <c r="D13" s="60">
        <v>0.55000000000000004</v>
      </c>
    </row>
    <row r="14" spans="1:4" x14ac:dyDescent="0.25">
      <c r="A14" t="s">
        <v>79</v>
      </c>
      <c r="D14" s="60">
        <v>0.6</v>
      </c>
    </row>
    <row r="15" spans="1:4" x14ac:dyDescent="0.25">
      <c r="A15" t="s">
        <v>65</v>
      </c>
      <c r="D15" s="60">
        <v>0.65</v>
      </c>
    </row>
    <row r="16" spans="1:4" x14ac:dyDescent="0.25">
      <c r="A16" t="s">
        <v>43</v>
      </c>
      <c r="D16" s="60">
        <v>0.7</v>
      </c>
    </row>
    <row r="17" spans="1:4" x14ac:dyDescent="0.25">
      <c r="A17" t="s">
        <v>66</v>
      </c>
      <c r="D17" s="60">
        <v>0.75</v>
      </c>
    </row>
    <row r="18" spans="1:4" x14ac:dyDescent="0.25">
      <c r="A18" t="s">
        <v>44</v>
      </c>
      <c r="D18" s="60">
        <v>0.8</v>
      </c>
    </row>
    <row r="19" spans="1:4" x14ac:dyDescent="0.25">
      <c r="A19" t="s">
        <v>67</v>
      </c>
      <c r="D19" s="60">
        <v>0.85</v>
      </c>
    </row>
    <row r="20" spans="1:4" x14ac:dyDescent="0.25">
      <c r="A20" t="s">
        <v>110</v>
      </c>
      <c r="D20" s="60">
        <v>0.9</v>
      </c>
    </row>
    <row r="21" spans="1:4" x14ac:dyDescent="0.25">
      <c r="A21" t="s">
        <v>68</v>
      </c>
      <c r="D21" s="60">
        <v>0.95</v>
      </c>
    </row>
    <row r="22" spans="1:4" x14ac:dyDescent="0.25">
      <c r="A22" t="s">
        <v>45</v>
      </c>
      <c r="D22" s="60">
        <v>1</v>
      </c>
    </row>
    <row r="23" spans="1:4" x14ac:dyDescent="0.25">
      <c r="A23" t="s">
        <v>46</v>
      </c>
    </row>
    <row r="24" spans="1:4" x14ac:dyDescent="0.25">
      <c r="A24" t="s">
        <v>69</v>
      </c>
    </row>
    <row r="25" spans="1:4" x14ac:dyDescent="0.25">
      <c r="A25" t="s">
        <v>120</v>
      </c>
    </row>
    <row r="26" spans="1:4" x14ac:dyDescent="0.25">
      <c r="A26" t="s">
        <v>47</v>
      </c>
    </row>
    <row r="27" spans="1:4" x14ac:dyDescent="0.25">
      <c r="A27" t="s">
        <v>70</v>
      </c>
    </row>
    <row r="28" spans="1:4" x14ac:dyDescent="0.25">
      <c r="A28" t="s">
        <v>48</v>
      </c>
    </row>
    <row r="29" spans="1:4" x14ac:dyDescent="0.25">
      <c r="A29" t="s">
        <v>49</v>
      </c>
    </row>
    <row r="30" spans="1:4" x14ac:dyDescent="0.25">
      <c r="A30" t="s">
        <v>50</v>
      </c>
    </row>
    <row r="31" spans="1:4" x14ac:dyDescent="0.25">
      <c r="A31" t="s">
        <v>71</v>
      </c>
    </row>
    <row r="32" spans="1:4" x14ac:dyDescent="0.25">
      <c r="A32" t="s">
        <v>72</v>
      </c>
    </row>
    <row r="33" spans="1:1" x14ac:dyDescent="0.25">
      <c r="A33" t="s">
        <v>111</v>
      </c>
    </row>
    <row r="34" spans="1:1" x14ac:dyDescent="0.25">
      <c r="A34" t="s">
        <v>118</v>
      </c>
    </row>
    <row r="35" spans="1:1" x14ac:dyDescent="0.25">
      <c r="A35" t="s">
        <v>73</v>
      </c>
    </row>
    <row r="36" spans="1:1" x14ac:dyDescent="0.25">
      <c r="A36" t="s">
        <v>80</v>
      </c>
    </row>
    <row r="37" spans="1:1" x14ac:dyDescent="0.25">
      <c r="A37" t="s">
        <v>81</v>
      </c>
    </row>
    <row r="38" spans="1:1" x14ac:dyDescent="0.25">
      <c r="A38" t="s">
        <v>83</v>
      </c>
    </row>
    <row r="39" spans="1:1" x14ac:dyDescent="0.25">
      <c r="A39" t="s">
        <v>86</v>
      </c>
    </row>
    <row r="40" spans="1:1" x14ac:dyDescent="0.25">
      <c r="A40" t="s">
        <v>93</v>
      </c>
    </row>
    <row r="41" spans="1:1" x14ac:dyDescent="0.25">
      <c r="A41" t="s">
        <v>89</v>
      </c>
    </row>
    <row r="42" spans="1:1" x14ac:dyDescent="0.25">
      <c r="A42" t="s">
        <v>94</v>
      </c>
    </row>
    <row r="43" spans="1:1" x14ac:dyDescent="0.25">
      <c r="A43" t="s">
        <v>82</v>
      </c>
    </row>
    <row r="44" spans="1:1" x14ac:dyDescent="0.25">
      <c r="A44" t="s">
        <v>84</v>
      </c>
    </row>
    <row r="45" spans="1:1" x14ac:dyDescent="0.25">
      <c r="A45" t="s">
        <v>85</v>
      </c>
    </row>
    <row r="46" spans="1:1" x14ac:dyDescent="0.25">
      <c r="A46" t="s">
        <v>119</v>
      </c>
    </row>
    <row r="47" spans="1:1" x14ac:dyDescent="0.25">
      <c r="A47" t="s">
        <v>74</v>
      </c>
    </row>
    <row r="48" spans="1:1" x14ac:dyDescent="0.25">
      <c r="A48" t="s">
        <v>51</v>
      </c>
    </row>
    <row r="49" spans="1:1" x14ac:dyDescent="0.25">
      <c r="A49" t="s">
        <v>52</v>
      </c>
    </row>
    <row r="50" spans="1:1" x14ac:dyDescent="0.25">
      <c r="A50" t="s">
        <v>87</v>
      </c>
    </row>
    <row r="51" spans="1:1" x14ac:dyDescent="0.25">
      <c r="A51" t="s">
        <v>116</v>
      </c>
    </row>
    <row r="52" spans="1:1" x14ac:dyDescent="0.25">
      <c r="A52" t="s">
        <v>53</v>
      </c>
    </row>
    <row r="53" spans="1:1" x14ac:dyDescent="0.25">
      <c r="A53" t="s">
        <v>88</v>
      </c>
    </row>
    <row r="54" spans="1:1" x14ac:dyDescent="0.25">
      <c r="A54" t="s">
        <v>54</v>
      </c>
    </row>
    <row r="55" spans="1:1" x14ac:dyDescent="0.25">
      <c r="A55" t="s">
        <v>75</v>
      </c>
    </row>
    <row r="56" spans="1:1" x14ac:dyDescent="0.25">
      <c r="A56" t="s">
        <v>55</v>
      </c>
    </row>
    <row r="57" spans="1:1" x14ac:dyDescent="0.25">
      <c r="A57" t="s">
        <v>76</v>
      </c>
    </row>
    <row r="58" spans="1:1" x14ac:dyDescent="0.25">
      <c r="A58" t="s">
        <v>56</v>
      </c>
    </row>
    <row r="59" spans="1:1" x14ac:dyDescent="0.25">
      <c r="A59" t="s">
        <v>90</v>
      </c>
    </row>
    <row r="60" spans="1:1" x14ac:dyDescent="0.25">
      <c r="A60" t="s">
        <v>95</v>
      </c>
    </row>
    <row r="61" spans="1:1" x14ac:dyDescent="0.25">
      <c r="A61" t="s">
        <v>57</v>
      </c>
    </row>
    <row r="62" spans="1:1" x14ac:dyDescent="0.25">
      <c r="A62" t="s">
        <v>91</v>
      </c>
    </row>
    <row r="63" spans="1:1" x14ac:dyDescent="0.25">
      <c r="A63" t="s">
        <v>113</v>
      </c>
    </row>
    <row r="64" spans="1:1" x14ac:dyDescent="0.25">
      <c r="A64" t="s">
        <v>58</v>
      </c>
    </row>
    <row r="65" spans="1:1" x14ac:dyDescent="0.25">
      <c r="A65" t="s">
        <v>114</v>
      </c>
    </row>
    <row r="66" spans="1:1" x14ac:dyDescent="0.25">
      <c r="A66" t="s">
        <v>59</v>
      </c>
    </row>
    <row r="67" spans="1:1" x14ac:dyDescent="0.25">
      <c r="A67" t="s">
        <v>77</v>
      </c>
    </row>
    <row r="68" spans="1:1" x14ac:dyDescent="0.25">
      <c r="A68" t="s">
        <v>117</v>
      </c>
    </row>
    <row r="69" spans="1:1" x14ac:dyDescent="0.25">
      <c r="A69" t="s">
        <v>115</v>
      </c>
    </row>
    <row r="70" spans="1:1" x14ac:dyDescent="0.25">
      <c r="A70" t="s">
        <v>122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6</vt:i4>
      </vt:variant>
    </vt:vector>
  </HeadingPairs>
  <TitlesOfParts>
    <vt:vector size="10" baseType="lpstr">
      <vt:lpstr>Cockpit</vt:lpstr>
      <vt:lpstr>Evaluation</vt:lpstr>
      <vt:lpstr>#Indicateurs</vt:lpstr>
      <vt:lpstr>#Liste</vt:lpstr>
      <vt:lpstr>Affectation</vt:lpstr>
      <vt:lpstr>Commune</vt:lpstr>
      <vt:lpstr>Reduction</vt:lpstr>
      <vt:lpstr>Typologie</vt:lpstr>
      <vt:lpstr>'#Indicateurs'!Zone_d_impression</vt:lpstr>
      <vt:lpstr>Evaluation!Zone_d_impression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Macquat Arnaud</dc:creator>
  <cp:lastModifiedBy>Morin Anthony</cp:lastModifiedBy>
  <cp:lastPrinted>2017-06-29T15:31:30Z</cp:lastPrinted>
  <dcterms:created xsi:type="dcterms:W3CDTF">2016-01-12T10:31:31Z</dcterms:created>
  <dcterms:modified xsi:type="dcterms:W3CDTF">2017-08-25T08:27:38Z</dcterms:modified>
</cp:coreProperties>
</file>