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8" activeTab="8"/>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<sst xmlns="http://schemas.openxmlformats.org/spreadsheetml/2006/main" count="5454" uniqueCount="864">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</sst>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1">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6" t="s">
        <v>71</v>
      </c>
      <c r="C5" s="217"/>
      <c r="D5" s="218"/>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849</v>
      </c>
      <c r="B1" s="7"/>
      <c r="C1" s="7"/>
      <c r="D1" s="7"/>
      <c r="E1" s="78"/>
    </row>
    <row r="3" spans="1:6" ht="15.75" thickBot="1" x14ac:dyDescent="0.3"/>
    <row r="4" spans="1:6" ht="15.75" thickBot="1" x14ac:dyDescent="0.3">
      <c r="A4" t="s">
        <v>635</v>
      </c>
      <c r="E4" s="174" t="s">
        <v>25</v>
      </c>
    </row>
    <row r="7" spans="1:6" ht="21" x14ac:dyDescent="0.35">
      <c r="A7" s="73">
        <v>1</v>
      </c>
      <c r="B7" s="73"/>
      <c r="C7" s="73"/>
      <c r="D7" s="73"/>
      <c r="E7" s="73" t="s">
        <v>239</v>
      </c>
      <c r="F7" s="175">
        <f>HLOOKUP($E$4,'5. Bilan'!$F$3:$BF$226,2,0)</f>
        <v>5851353.3700000001</v>
      </c>
    </row>
    <row r="8" spans="1:6" x14ac:dyDescent="0.25">
      <c r="A8" s="78"/>
      <c r="B8" s="74">
        <v>10</v>
      </c>
      <c r="C8" s="74"/>
      <c r="D8" s="74"/>
      <c r="E8" s="74" t="s">
        <v>240</v>
      </c>
      <c r="F8" s="75">
        <f>HLOOKUP($E$4,'5. Bilan'!$F$3:$BF$226,3,0)</f>
        <v>2304845.67</v>
      </c>
    </row>
    <row r="9" spans="1:6" x14ac:dyDescent="0.25">
      <c r="A9" s="79"/>
      <c r="B9" s="79"/>
      <c r="C9" s="69">
        <v>100</v>
      </c>
      <c r="D9" s="69"/>
      <c r="E9" s="69" t="s">
        <v>241</v>
      </c>
      <c r="F9" s="176">
        <f>SUM(F10:F15)</f>
        <v>817219.69</v>
      </c>
    </row>
    <row r="10" spans="1:6" x14ac:dyDescent="0.25">
      <c r="D10">
        <v>1000</v>
      </c>
      <c r="E10" t="s">
        <v>313</v>
      </c>
      <c r="F10" s="4">
        <f>HLOOKUP($E$4,'5. Bilan'!$F$3:$BF$226,5,0)</f>
        <v>959.85</v>
      </c>
    </row>
    <row r="11" spans="1:6" x14ac:dyDescent="0.25">
      <c r="D11">
        <v>1001</v>
      </c>
      <c r="E11" t="s">
        <v>314</v>
      </c>
      <c r="F11" s="4">
        <f>HLOOKUP($E$4,'5. Bilan'!$F$3:$BF$226,6,0)</f>
        <v>6990.75</v>
      </c>
    </row>
    <row r="12" spans="1:6" x14ac:dyDescent="0.25">
      <c r="D12">
        <v>1002</v>
      </c>
      <c r="E12" t="s">
        <v>322</v>
      </c>
      <c r="F12" s="4">
        <f>HLOOKUP($E$4,'5. Bilan'!$F$3:$BF$226,7,0)</f>
        <v>809269.09</v>
      </c>
    </row>
    <row r="13" spans="1:6" x14ac:dyDescent="0.25">
      <c r="D13">
        <v>1003</v>
      </c>
      <c r="E13" t="s">
        <v>315</v>
      </c>
      <c r="F13" s="4">
        <f>HLOOKUP($E$4,'5. Bilan'!$F$3:$BF$226,8,0)</f>
        <v>0</v>
      </c>
    </row>
    <row r="14" spans="1:6" x14ac:dyDescent="0.25">
      <c r="D14">
        <v>1004</v>
      </c>
      <c r="E14" t="s">
        <v>316</v>
      </c>
      <c r="F14" s="4">
        <f>HLOOKUP($E$4,'5. Bilan'!$F$3:$BF$226,9,0)</f>
        <v>0</v>
      </c>
    </row>
    <row r="15" spans="1:6" x14ac:dyDescent="0.25">
      <c r="D15">
        <v>1009</v>
      </c>
      <c r="E15" t="s">
        <v>317</v>
      </c>
      <c r="F15" s="4">
        <f>HLOOKUP($E$4,'5. Bilan'!$F$3:$BF$226,10,0)</f>
        <v>0</v>
      </c>
    </row>
    <row r="16" spans="1:6" x14ac:dyDescent="0.25">
      <c r="F16" s="4"/>
    </row>
    <row r="17" spans="1:6" x14ac:dyDescent="0.25">
      <c r="A17" s="79"/>
      <c r="B17" s="79"/>
      <c r="C17" s="69">
        <v>101</v>
      </c>
      <c r="D17" s="69"/>
      <c r="E17" s="69" t="s">
        <v>242</v>
      </c>
      <c r="F17" s="70">
        <f>SUM(F18:F25)</f>
        <v>438183.51000000007</v>
      </c>
    </row>
    <row r="18" spans="1:6" x14ac:dyDescent="0.25">
      <c r="D18">
        <v>1010</v>
      </c>
      <c r="E18" t="s">
        <v>318</v>
      </c>
      <c r="F18" s="4">
        <f>HLOOKUP($E$4,'5. Bilan'!$F$3:$BF$226,13,0)</f>
        <v>72304.460000000006</v>
      </c>
    </row>
    <row r="19" spans="1:6" x14ac:dyDescent="0.25">
      <c r="D19">
        <v>1011</v>
      </c>
      <c r="E19" t="s">
        <v>399</v>
      </c>
      <c r="F19" s="4">
        <f>HLOOKUP($E$4,'5. Bilan'!$F$3:$BF$226,14,0)</f>
        <v>0</v>
      </c>
    </row>
    <row r="20" spans="1:6" x14ac:dyDescent="0.25">
      <c r="D20">
        <v>1012</v>
      </c>
      <c r="E20" t="s">
        <v>319</v>
      </c>
      <c r="F20" s="4">
        <f>HLOOKUP($E$4,'5. Bilan'!$F$3:$BF$226,15,0)</f>
        <v>355424.65</v>
      </c>
    </row>
    <row r="21" spans="1:6" x14ac:dyDescent="0.25">
      <c r="D21">
        <v>1013</v>
      </c>
      <c r="E21" t="s">
        <v>320</v>
      </c>
      <c r="F21" s="4">
        <f>HLOOKUP($E$4,'5. Bilan'!$F$3:$BF$226,16,0)</f>
        <v>0</v>
      </c>
    </row>
    <row r="22" spans="1:6" x14ac:dyDescent="0.25">
      <c r="D22">
        <v>1014</v>
      </c>
      <c r="E22" t="s">
        <v>321</v>
      </c>
      <c r="F22" s="4">
        <f>HLOOKUP($E$4,'5. Bilan'!$F$3:$BF$226,17,0)</f>
        <v>10454.4</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0</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154102.47</v>
      </c>
    </row>
    <row r="34" spans="3:6" x14ac:dyDescent="0.25">
      <c r="D34">
        <v>1040</v>
      </c>
      <c r="E34" t="s">
        <v>61</v>
      </c>
      <c r="F34" s="4">
        <f>HLOOKUP($E$4,'5. Bilan'!$F$3:$BF$226,29,0)</f>
        <v>0</v>
      </c>
    </row>
    <row r="35" spans="3:6" x14ac:dyDescent="0.25">
      <c r="D35">
        <v>1041</v>
      </c>
      <c r="E35" t="s">
        <v>330</v>
      </c>
      <c r="F35" s="4">
        <f>HLOOKUP($E$4,'5. Bilan'!$F$3:$BF$226,30,0)</f>
        <v>3409.8</v>
      </c>
    </row>
    <row r="36" spans="3:6" x14ac:dyDescent="0.25">
      <c r="D36">
        <v>1042</v>
      </c>
      <c r="E36" t="s">
        <v>331</v>
      </c>
      <c r="F36" s="4">
        <f>HLOOKUP($E$4,'5. Bilan'!$F$3:$BF$226,31,0)</f>
        <v>89965.61</v>
      </c>
    </row>
    <row r="37" spans="3:6" x14ac:dyDescent="0.25">
      <c r="D37">
        <v>1043</v>
      </c>
      <c r="E37" t="s">
        <v>332</v>
      </c>
      <c r="F37" s="4">
        <f>HLOOKUP($E$4,'5. Bilan'!$F$3:$BF$226,32,0)</f>
        <v>60727.06</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5</v>
      </c>
    </row>
    <row r="51" spans="3:6" x14ac:dyDescent="0.25">
      <c r="D51">
        <v>1070</v>
      </c>
      <c r="E51" t="s">
        <v>342</v>
      </c>
      <c r="F51" s="4">
        <f>HLOOKUP($E$4,'5. Bilan'!$F$3:$BF$226,46,0)</f>
        <v>5</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895335</v>
      </c>
    </row>
    <row r="57" spans="3:6" x14ac:dyDescent="0.25">
      <c r="D57">
        <v>1080</v>
      </c>
      <c r="E57" t="s">
        <v>347</v>
      </c>
      <c r="F57" s="4">
        <f>HLOOKUP($E$4,'5. Bilan'!$F$3:$BF$226,52,0)</f>
        <v>185335</v>
      </c>
    </row>
    <row r="58" spans="3:6" x14ac:dyDescent="0.25">
      <c r="D58">
        <v>1084</v>
      </c>
      <c r="E58" t="s">
        <v>348</v>
      </c>
      <c r="F58" s="4">
        <f>HLOOKUP($E$4,'5. Bilan'!$F$3:$BF$226,53,0)</f>
        <v>710000</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3546507.7</v>
      </c>
    </row>
    <row r="71" spans="2:6" x14ac:dyDescent="0.25">
      <c r="C71" s="69">
        <v>140</v>
      </c>
      <c r="D71" s="69"/>
      <c r="E71" s="69" t="s">
        <v>249</v>
      </c>
      <c r="F71" s="70">
        <f>SUM(F72:F80)</f>
        <v>3487453</v>
      </c>
    </row>
    <row r="72" spans="2:6" x14ac:dyDescent="0.25">
      <c r="D72">
        <v>1400</v>
      </c>
      <c r="E72" t="s">
        <v>357</v>
      </c>
      <c r="F72" s="4">
        <f>HLOOKUP($E$4,'5. Bilan'!$F$3:$BF$226,67,0)</f>
        <v>163195</v>
      </c>
    </row>
    <row r="73" spans="2:6" x14ac:dyDescent="0.25">
      <c r="D73">
        <v>1401</v>
      </c>
      <c r="E73" t="s">
        <v>358</v>
      </c>
      <c r="F73" s="4">
        <f>HLOOKUP($E$4,'5. Bilan'!$F$3:$BF$226,68,0)</f>
        <v>674800</v>
      </c>
    </row>
    <row r="74" spans="2:6" x14ac:dyDescent="0.25">
      <c r="D74">
        <v>1402</v>
      </c>
      <c r="E74" t="s">
        <v>359</v>
      </c>
      <c r="F74" s="4">
        <f>HLOOKUP($E$4,'5. Bilan'!$F$3:$BF$226,69,0)</f>
        <v>69545</v>
      </c>
    </row>
    <row r="75" spans="2:6" x14ac:dyDescent="0.25">
      <c r="D75">
        <v>1403</v>
      </c>
      <c r="E75" t="s">
        <v>360</v>
      </c>
      <c r="F75" s="4">
        <f>HLOOKUP($E$4,'5. Bilan'!$F$3:$BF$226,70,0)</f>
        <v>244100</v>
      </c>
    </row>
    <row r="76" spans="2:6" x14ac:dyDescent="0.25">
      <c r="D76">
        <v>1404</v>
      </c>
      <c r="E76" t="s">
        <v>361</v>
      </c>
      <c r="F76" s="4">
        <f>HLOOKUP($E$4,'5. Bilan'!$F$3:$BF$226,71,0)</f>
        <v>1124800</v>
      </c>
    </row>
    <row r="77" spans="2:6" x14ac:dyDescent="0.25">
      <c r="D77">
        <v>1405</v>
      </c>
      <c r="E77" t="s">
        <v>362</v>
      </c>
      <c r="F77" s="4">
        <f>HLOOKUP($E$4,'5. Bilan'!$F$3:$BF$226,72,0)</f>
        <v>1211010</v>
      </c>
    </row>
    <row r="78" spans="2:6" x14ac:dyDescent="0.25">
      <c r="D78">
        <v>1406</v>
      </c>
      <c r="E78" t="s">
        <v>363</v>
      </c>
      <c r="F78" s="4">
        <f>HLOOKUP($E$4,'5. Bilan'!$F$3:$BF$226,73,0)</f>
        <v>3</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36554.699999999997</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36554.699999999997</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22500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22500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0</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0</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5851353.3699999992</v>
      </c>
    </row>
    <row r="124" spans="1:6" x14ac:dyDescent="0.25">
      <c r="A124" s="7"/>
      <c r="B124" s="85">
        <v>20</v>
      </c>
      <c r="C124" s="85"/>
      <c r="D124" s="85"/>
      <c r="E124" s="85" t="s">
        <v>252</v>
      </c>
      <c r="F124" s="86">
        <f>HLOOKUP($E$4,'5. Bilan'!$F$3:$BF$226,119,0)</f>
        <v>4285692.38</v>
      </c>
    </row>
    <row r="125" spans="1:6" x14ac:dyDescent="0.25">
      <c r="C125" s="83">
        <v>200</v>
      </c>
      <c r="D125" s="83"/>
      <c r="E125" s="83" t="s">
        <v>253</v>
      </c>
      <c r="F125" s="84">
        <f>SUM(F126:F133)</f>
        <v>275797.32999999996</v>
      </c>
    </row>
    <row r="126" spans="1:6" x14ac:dyDescent="0.25">
      <c r="D126">
        <v>2000</v>
      </c>
      <c r="E126" t="s">
        <v>398</v>
      </c>
      <c r="F126" s="4">
        <f>HLOOKUP($E$4,'5. Bilan'!$F$3:$BF$226,121,0)</f>
        <v>79105.850000000006</v>
      </c>
    </row>
    <row r="127" spans="1:6" x14ac:dyDescent="0.25">
      <c r="D127">
        <v>2001</v>
      </c>
      <c r="E127" t="s">
        <v>399</v>
      </c>
      <c r="F127" s="4">
        <f>HLOOKUP($E$4,'5. Bilan'!$F$3:$BF$226,122,0)</f>
        <v>0</v>
      </c>
    </row>
    <row r="128" spans="1:6" x14ac:dyDescent="0.25">
      <c r="D128">
        <v>2002</v>
      </c>
      <c r="E128" t="s">
        <v>400</v>
      </c>
      <c r="F128" s="4">
        <f>HLOOKUP($E$4,'5. Bilan'!$F$3:$BF$226,123,0)</f>
        <v>5283.43</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191408.05</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185450.16</v>
      </c>
    </row>
    <row r="136" spans="3:6" x14ac:dyDescent="0.25">
      <c r="D136">
        <v>2010</v>
      </c>
      <c r="E136" t="s">
        <v>405</v>
      </c>
      <c r="F136" s="4">
        <f>HLOOKUP($E$4,'5. Bilan'!$F$3:$BF$226,131,0)</f>
        <v>37365.160000000003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148085</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244666.74</v>
      </c>
    </row>
    <row r="146" spans="3:6" x14ac:dyDescent="0.25">
      <c r="D146">
        <v>2040</v>
      </c>
      <c r="E146" t="s">
        <v>61</v>
      </c>
      <c r="F146" s="4">
        <f>HLOOKUP($E$4,'5. Bilan'!$F$3:$BF$226,141,0)</f>
        <v>0</v>
      </c>
    </row>
    <row r="147" spans="3:6" x14ac:dyDescent="0.25">
      <c r="D147">
        <v>2041</v>
      </c>
      <c r="E147" t="s">
        <v>277</v>
      </c>
      <c r="F147" s="4">
        <f>HLOOKUP($E$4,'5. Bilan'!$F$3:$BF$226,142,0)</f>
        <v>3248.9</v>
      </c>
    </row>
    <row r="148" spans="3:6" x14ac:dyDescent="0.25">
      <c r="D148">
        <v>2042</v>
      </c>
      <c r="E148" t="s">
        <v>331</v>
      </c>
      <c r="F148" s="4">
        <f>HLOOKUP($E$4,'5. Bilan'!$F$3:$BF$226,143,0)</f>
        <v>0</v>
      </c>
    </row>
    <row r="149" spans="3:6" x14ac:dyDescent="0.25">
      <c r="D149">
        <v>2043</v>
      </c>
      <c r="E149" t="s">
        <v>332</v>
      </c>
      <c r="F149" s="4">
        <f>HLOOKUP($E$4,'5. Bilan'!$F$3:$BF$226,144,0)</f>
        <v>241417.84</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3579778.15</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3579778.15</v>
      </c>
    </row>
    <row r="171" spans="3:6" x14ac:dyDescent="0.25">
      <c r="D171">
        <v>2064</v>
      </c>
      <c r="E171" t="s">
        <v>448</v>
      </c>
      <c r="F171" s="4">
        <f>HLOOKUP($E$4,'5. Bilan'!$F$3:$BF$226,166,0)</f>
        <v>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0</v>
      </c>
    </row>
    <row r="187" spans="2:6" x14ac:dyDescent="0.25">
      <c r="D187">
        <v>2090</v>
      </c>
      <c r="E187" t="s">
        <v>259</v>
      </c>
      <c r="F187" s="4">
        <f>HLOOKUP($E$4,'5. Bilan'!$F$3:$BF$226,182,0)</f>
        <v>0</v>
      </c>
    </row>
    <row r="188" spans="2:6" x14ac:dyDescent="0.25">
      <c r="D188">
        <v>2091</v>
      </c>
      <c r="E188" t="s">
        <v>440</v>
      </c>
      <c r="F188" s="4">
        <f>HLOOKUP($E$4,'5. Bilan'!$F$3:$BF$226,183,0)</f>
        <v>0</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1565660.9900000002</v>
      </c>
    </row>
    <row r="193" spans="3:6" x14ac:dyDescent="0.25">
      <c r="C193" s="83">
        <v>290</v>
      </c>
      <c r="D193" s="83"/>
      <c r="E193" s="83" t="s">
        <v>261</v>
      </c>
      <c r="F193" s="84">
        <f>SUM(F194)</f>
        <v>820358.56</v>
      </c>
    </row>
    <row r="194" spans="3:6" x14ac:dyDescent="0.25">
      <c r="D194">
        <v>2900</v>
      </c>
      <c r="E194" t="s">
        <v>261</v>
      </c>
      <c r="F194" s="4">
        <f>HLOOKUP($E$4,'5. Bilan'!$F$3:$BF$226,189,0)</f>
        <v>820358.56</v>
      </c>
    </row>
    <row r="195" spans="3:6" x14ac:dyDescent="0.25">
      <c r="F195" s="4"/>
    </row>
    <row r="196" spans="3:6" x14ac:dyDescent="0.25">
      <c r="C196" s="83">
        <v>291</v>
      </c>
      <c r="D196" s="83"/>
      <c r="E196" s="83" t="s">
        <v>262</v>
      </c>
      <c r="F196" s="84">
        <f>SUM(F197:F198)</f>
        <v>0</v>
      </c>
    </row>
    <row r="197" spans="3:6" x14ac:dyDescent="0.25">
      <c r="D197">
        <v>2910</v>
      </c>
      <c r="E197" t="s">
        <v>262</v>
      </c>
      <c r="F197" s="4">
        <f>HLOOKUP($E$4,'5. Bilan'!$F$3:$BF$226,192,0)</f>
        <v>0</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60000</v>
      </c>
    </row>
    <row r="207" spans="3:6" x14ac:dyDescent="0.25">
      <c r="D207">
        <v>2940</v>
      </c>
      <c r="E207" t="s">
        <v>265</v>
      </c>
      <c r="F207" s="4">
        <f>HLOOKUP($E$4,'5. Bilan'!$F$3:$BF$226,202,0)</f>
        <v>60000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685302.43</v>
      </c>
    </row>
    <row r="219" spans="3:6" x14ac:dyDescent="0.25">
      <c r="D219">
        <v>2990</v>
      </c>
      <c r="E219" t="s">
        <v>444</v>
      </c>
      <c r="F219" s="4">
        <f>HLOOKUP($E$4,'5. Bilan'!$F$3:$BF$226,214,0)</f>
        <v>66157.88</v>
      </c>
    </row>
    <row r="220" spans="3:6" x14ac:dyDescent="0.25">
      <c r="D220">
        <v>2999</v>
      </c>
      <c r="E220" t="s">
        <v>582</v>
      </c>
      <c r="F220" s="4">
        <f>HLOOKUP($E$4,'5. Bilan'!$F$3:$BF$226,215,0)</f>
        <v>619144.55000000005</v>
      </c>
    </row>
    <row r="221" spans="3:6" x14ac:dyDescent="0.25">
      <c r="F221" s="4"/>
    </row>
    <row r="222" spans="3:6" x14ac:dyDescent="0.25">
      <c r="C222" s="160"/>
      <c r="D222" s="160"/>
      <c r="E222" s="160" t="s">
        <v>587</v>
      </c>
      <c r="F222" s="178"/>
    </row>
    <row r="223" spans="3:6" x14ac:dyDescent="0.25">
      <c r="D223">
        <v>290</v>
      </c>
      <c r="E223" t="s">
        <v>586</v>
      </c>
      <c r="F223" s="4">
        <f>HLOOKUP($E$4,'5. Bilan'!$F$3:$BF$226,218,0)</f>
        <v>49855.73</v>
      </c>
    </row>
    <row r="224" spans="3:6" x14ac:dyDescent="0.25">
      <c r="D224">
        <v>2990</v>
      </c>
      <c r="E224" t="s">
        <v>590</v>
      </c>
      <c r="F224" s="4">
        <f>HLOOKUP($E$4,'5. Bilan'!$F$3:$BF$226,219,0)</f>
        <v>66157.88</v>
      </c>
    </row>
    <row r="225" spans="5:6" x14ac:dyDescent="0.25">
      <c r="F225" s="4"/>
    </row>
    <row r="226" spans="5:6" x14ac:dyDescent="0.25">
      <c r="E226" s="7" t="s">
        <v>589</v>
      </c>
      <c r="F226" s="4">
        <f>HLOOKUP($E$4,'5. Bilan'!$F$3:$BF$226,221,0)</f>
        <v>116013.61000000002</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abSelected="1" workbookViewId="0">
      <selection activeCell="D4" sqref="D4"/>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56</v>
      </c>
    </row>
    <row r="7" spans="1:5" x14ac:dyDescent="0.25">
      <c r="E7" s="65" t="s">
        <v>202</v>
      </c>
    </row>
    <row r="8" spans="1:5" ht="21" x14ac:dyDescent="0.35">
      <c r="A8" s="92">
        <v>3</v>
      </c>
      <c r="B8" s="92"/>
      <c r="C8" s="92"/>
      <c r="D8" s="92" t="s">
        <v>60</v>
      </c>
      <c r="E8" s="171">
        <f>HLOOKUP($D$5,'4.9 Comptes 2021 par habitant'!$E$3:$BE$158,2,0)</f>
        <v>3746.4921436114041</v>
      </c>
    </row>
    <row r="9" spans="1:5" x14ac:dyDescent="0.25">
      <c r="A9" s="94"/>
      <c r="B9" s="94">
        <v>30</v>
      </c>
      <c r="C9" s="94"/>
      <c r="D9" s="94" t="s">
        <v>61</v>
      </c>
      <c r="E9" s="95">
        <f>SUM(E10:E17)</f>
        <v>475.91372756071809</v>
      </c>
    </row>
    <row r="10" spans="1:5" x14ac:dyDescent="0.25">
      <c r="C10">
        <v>300</v>
      </c>
      <c r="D10" t="s">
        <v>80</v>
      </c>
      <c r="E10" s="89">
        <f>HLOOKUP($D$5,'4.9 Comptes 2021 par habitant'!$E$3:$BE$158,4,0)</f>
        <v>42.832101372756071</v>
      </c>
    </row>
    <row r="11" spans="1:5" x14ac:dyDescent="0.25">
      <c r="C11">
        <v>301</v>
      </c>
      <c r="D11" t="s">
        <v>81</v>
      </c>
      <c r="E11" s="89">
        <f>HLOOKUP($D$5,'4.9 Comptes 2021 par habitant'!$E$3:$BE$158,5,0)</f>
        <v>361.25549102428721</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71.021488912354812</v>
      </c>
    </row>
    <row r="16" spans="1:5" x14ac:dyDescent="0.25">
      <c r="C16">
        <v>306</v>
      </c>
      <c r="D16" t="s">
        <v>85</v>
      </c>
      <c r="E16" s="89">
        <f>HLOOKUP($D$5,'4.9 Comptes 2021 par habitant'!$E$3:$BE$158,10,0)</f>
        <v>0</v>
      </c>
    </row>
    <row r="17" spans="2:5" x14ac:dyDescent="0.25">
      <c r="C17">
        <v>309</v>
      </c>
      <c r="D17" t="s">
        <v>86</v>
      </c>
      <c r="E17" s="89">
        <f>HLOOKUP($D$5,'4.9 Comptes 2021 par habitant'!$E$3:$BE$158,11,0)</f>
        <v>0.80464625131995771</v>
      </c>
    </row>
    <row r="18" spans="2:5" x14ac:dyDescent="0.25">
      <c r="E18" s="4"/>
    </row>
    <row r="19" spans="2:5" x14ac:dyDescent="0.25">
      <c r="B19" s="94">
        <v>31</v>
      </c>
      <c r="C19" s="94"/>
      <c r="D19" s="94" t="s">
        <v>87</v>
      </c>
      <c r="E19" s="95">
        <f>SUM(E20:E29)</f>
        <v>580.59492080253438</v>
      </c>
    </row>
    <row r="20" spans="2:5" x14ac:dyDescent="0.25">
      <c r="C20">
        <v>310</v>
      </c>
      <c r="D20" t="s">
        <v>88</v>
      </c>
      <c r="E20" s="89">
        <f>HLOOKUP($D$5,'4.9 Comptes 2021 par habitant'!$E$3:$BE$158,14,0)</f>
        <v>87.623600844772966</v>
      </c>
    </row>
    <row r="21" spans="2:5" x14ac:dyDescent="0.25">
      <c r="C21">
        <v>311</v>
      </c>
      <c r="D21" t="s">
        <v>452</v>
      </c>
      <c r="E21" s="89">
        <f>HLOOKUP($D$5,'4.9 Comptes 2021 par habitant'!$E$3:$BE$158,15,0)</f>
        <v>32.317212249208026</v>
      </c>
    </row>
    <row r="22" spans="2:5" x14ac:dyDescent="0.25">
      <c r="C22">
        <v>312</v>
      </c>
      <c r="D22" t="s">
        <v>90</v>
      </c>
      <c r="E22" s="89">
        <f>HLOOKUP($D$5,'4.9 Comptes 2021 par habitant'!$E$3:$BE$158,16,0)</f>
        <v>88.475923970432945</v>
      </c>
    </row>
    <row r="23" spans="2:5" x14ac:dyDescent="0.25">
      <c r="C23">
        <v>313</v>
      </c>
      <c r="D23" t="s">
        <v>91</v>
      </c>
      <c r="E23" s="89">
        <f>HLOOKUP($D$5,'4.9 Comptes 2021 par habitant'!$E$3:$BE$158,17,0)</f>
        <v>145.36868004223865</v>
      </c>
    </row>
    <row r="24" spans="2:5" x14ac:dyDescent="0.25">
      <c r="C24">
        <v>314</v>
      </c>
      <c r="D24" t="s">
        <v>92</v>
      </c>
      <c r="E24" s="89">
        <f>HLOOKUP($D$5,'4.9 Comptes 2021 par habitant'!$E$3:$BE$158,18,0)</f>
        <v>193.57655755015838</v>
      </c>
    </row>
    <row r="25" spans="2:5" x14ac:dyDescent="0.25">
      <c r="C25">
        <v>315</v>
      </c>
      <c r="D25" t="s">
        <v>93</v>
      </c>
      <c r="E25" s="89">
        <f>HLOOKUP($D$5,'4.9 Comptes 2021 par habitant'!$E$3:$BE$158,19,0)</f>
        <v>52.730253431890183</v>
      </c>
    </row>
    <row r="26" spans="2:5" x14ac:dyDescent="0.25">
      <c r="C26">
        <v>316</v>
      </c>
      <c r="D26" t="s">
        <v>94</v>
      </c>
      <c r="E26" s="89">
        <f>HLOOKUP($D$5,'4.9 Comptes 2021 par habitant'!$E$3:$BE$158,20,0)</f>
        <v>4.0941921858500523</v>
      </c>
    </row>
    <row r="27" spans="2:5" x14ac:dyDescent="0.25">
      <c r="C27">
        <v>317</v>
      </c>
      <c r="D27" t="s">
        <v>95</v>
      </c>
      <c r="E27" s="89">
        <f>HLOOKUP($D$5,'4.9 Comptes 2021 par habitant'!$E$3:$BE$158,21,0)</f>
        <v>24.927824709609293</v>
      </c>
    </row>
    <row r="28" spans="2:5" x14ac:dyDescent="0.25">
      <c r="C28">
        <v>318</v>
      </c>
      <c r="D28" t="s">
        <v>96</v>
      </c>
      <c r="E28" s="89">
        <f>HLOOKUP($D$5,'4.9 Comptes 2021 par habitant'!$E$3:$BE$158,22,0)</f>
        <v>-49.48711721224921</v>
      </c>
    </row>
    <row r="29" spans="2:5" x14ac:dyDescent="0.25">
      <c r="C29">
        <v>319</v>
      </c>
      <c r="D29" t="s">
        <v>97</v>
      </c>
      <c r="E29" s="89">
        <f>HLOOKUP($D$5,'4.9 Comptes 2021 par habitant'!$E$3:$BE$158,23,0)</f>
        <v>0.96779303062302002</v>
      </c>
    </row>
    <row r="30" spans="2:5" x14ac:dyDescent="0.25">
      <c r="E30" s="4"/>
    </row>
    <row r="31" spans="2:5" x14ac:dyDescent="0.25">
      <c r="B31" s="94">
        <v>33</v>
      </c>
      <c r="C31" s="94"/>
      <c r="D31" s="94" t="s">
        <v>98</v>
      </c>
      <c r="E31" s="95">
        <f>SUM(E32:E33)</f>
        <v>297.92052798310453</v>
      </c>
    </row>
    <row r="32" spans="2:5" x14ac:dyDescent="0.25">
      <c r="C32">
        <v>330</v>
      </c>
      <c r="D32" t="s">
        <v>100</v>
      </c>
      <c r="E32" s="89">
        <f>HLOOKUP($D$5,'4.9 Comptes 2021 par habitant'!$E$3:$BE$158,26,0)</f>
        <v>297.92052798310453</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41.113674762407605</v>
      </c>
    </row>
    <row r="36" spans="2:5" x14ac:dyDescent="0.25">
      <c r="C36">
        <v>340</v>
      </c>
      <c r="D36" t="s">
        <v>102</v>
      </c>
      <c r="E36" s="89">
        <f>HLOOKUP($D$5,'4.9 Comptes 2021 par habitant'!$E$3:$BE$158,30,0)</f>
        <v>41.113674762407605</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0</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17.928986272439282</v>
      </c>
    </row>
    <row r="44" spans="2:5" x14ac:dyDescent="0.25">
      <c r="C44">
        <v>350</v>
      </c>
      <c r="D44" t="s">
        <v>109</v>
      </c>
      <c r="E44" s="89">
        <f>HLOOKUP($D$5,'4.9 Comptes 2021 par habitant'!$E$3:$BE$158,38,0)</f>
        <v>0</v>
      </c>
    </row>
    <row r="45" spans="2:5" x14ac:dyDescent="0.25">
      <c r="C45">
        <v>351</v>
      </c>
      <c r="D45" t="s">
        <v>108</v>
      </c>
      <c r="E45" s="89">
        <f>HLOOKUP($D$5,'4.9 Comptes 2021 par habitant'!$E$3:$BE$158,39,0)</f>
        <v>17.928986272439282</v>
      </c>
    </row>
    <row r="46" spans="2:5" x14ac:dyDescent="0.25">
      <c r="E46" s="4"/>
    </row>
    <row r="47" spans="2:5" x14ac:dyDescent="0.25">
      <c r="B47" s="94">
        <v>36</v>
      </c>
      <c r="C47" s="94"/>
      <c r="D47" s="94" t="s">
        <v>110</v>
      </c>
      <c r="E47" s="95">
        <f>SUM(E48:E55)</f>
        <v>2333.0203062302003</v>
      </c>
    </row>
    <row r="48" spans="2:5" x14ac:dyDescent="0.25">
      <c r="C48">
        <v>360</v>
      </c>
      <c r="D48" t="s">
        <v>111</v>
      </c>
      <c r="E48" s="89">
        <f>HLOOKUP($D$5,'4.9 Comptes 2021 par habitant'!$E$3:$BE$158,42,0)</f>
        <v>4.6247096092925029</v>
      </c>
    </row>
    <row r="49" spans="2:5" x14ac:dyDescent="0.25">
      <c r="C49">
        <v>361</v>
      </c>
      <c r="D49" t="s">
        <v>112</v>
      </c>
      <c r="E49" s="89">
        <f>HLOOKUP($D$5,'4.9 Comptes 2021 par habitant'!$E$3:$BE$158,43,0)</f>
        <v>1734.9487117212248</v>
      </c>
    </row>
    <row r="50" spans="2:5" x14ac:dyDescent="0.25">
      <c r="C50">
        <v>362</v>
      </c>
      <c r="D50" t="s">
        <v>113</v>
      </c>
      <c r="E50" s="89">
        <f>HLOOKUP($D$5,'4.9 Comptes 2021 par habitant'!$E$3:$BE$158,44,0)</f>
        <v>23.351636747624077</v>
      </c>
    </row>
    <row r="51" spans="2:5" x14ac:dyDescent="0.25">
      <c r="C51">
        <v>363</v>
      </c>
      <c r="D51" t="s">
        <v>114</v>
      </c>
      <c r="E51" s="89">
        <f>HLOOKUP($D$5,'4.9 Comptes 2021 par habitant'!$E$3:$BE$158,45,0)</f>
        <v>561.3043294614572</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8.7909186906019006</v>
      </c>
    </row>
    <row r="56" spans="2:5" x14ac:dyDescent="0.25">
      <c r="E56" s="4"/>
    </row>
    <row r="57" spans="2:5" x14ac:dyDescent="0.25">
      <c r="B57" s="94">
        <v>37</v>
      </c>
      <c r="C57" s="94"/>
      <c r="D57" s="94" t="s">
        <v>119</v>
      </c>
      <c r="E57" s="95">
        <f>SUM(E58)</f>
        <v>0</v>
      </c>
    </row>
    <row r="58" spans="2:5" x14ac:dyDescent="0.25">
      <c r="C58">
        <v>370</v>
      </c>
      <c r="D58" t="s">
        <v>120</v>
      </c>
      <c r="E58" s="89">
        <f>HLOOKUP($D$5,'4.9 Comptes 2021 par habitant'!$E$3:$BE$158,52,0)</f>
        <v>0</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0</v>
      </c>
    </row>
    <row r="69" spans="1:5" x14ac:dyDescent="0.25">
      <c r="C69">
        <v>390</v>
      </c>
      <c r="D69" t="s">
        <v>129</v>
      </c>
      <c r="E69" s="89">
        <f>HLOOKUP($D$5,'4.9 Comptes 2021 par habitant'!$E$3:$BE$158,63,0)</f>
        <v>0</v>
      </c>
    </row>
    <row r="70" spans="1:5" x14ac:dyDescent="0.25">
      <c r="C70">
        <v>391</v>
      </c>
      <c r="D70" t="s">
        <v>130</v>
      </c>
      <c r="E70" s="89">
        <f>HLOOKUP($D$5,'4.9 Comptes 2021 par habitant'!$E$3:$BE$158,64,0)</f>
        <v>0</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3793.9346990496297</v>
      </c>
    </row>
    <row r="80" spans="1:5" x14ac:dyDescent="0.25">
      <c r="A80" s="7"/>
      <c r="B80" s="96">
        <v>40</v>
      </c>
      <c r="C80" s="96"/>
      <c r="D80" s="96" t="s">
        <v>79</v>
      </c>
      <c r="E80" s="91">
        <f>SUM(E81:E84)</f>
        <v>2623.704804646251</v>
      </c>
    </row>
    <row r="81" spans="2:5" x14ac:dyDescent="0.25">
      <c r="C81">
        <v>400</v>
      </c>
      <c r="D81" t="s">
        <v>138</v>
      </c>
      <c r="E81" s="89">
        <f>HLOOKUP($D$5,'4.9 Comptes 2021 par habitant'!$E$3:$BE$158,75,0)</f>
        <v>2206.3866948257655</v>
      </c>
    </row>
    <row r="82" spans="2:5" x14ac:dyDescent="0.25">
      <c r="C82">
        <v>401</v>
      </c>
      <c r="D82" t="s">
        <v>139</v>
      </c>
      <c r="E82" s="89">
        <f>HLOOKUP($D$5,'4.9 Comptes 2021 par habitant'!$E$3:$BE$158,76,0)</f>
        <v>105.4433474128828</v>
      </c>
    </row>
    <row r="83" spans="2:5" x14ac:dyDescent="0.25">
      <c r="C83">
        <v>402</v>
      </c>
      <c r="D83" t="s">
        <v>140</v>
      </c>
      <c r="E83" s="89">
        <f>HLOOKUP($D$5,'4.9 Comptes 2021 par habitant'!$E$3:$BE$158,77,0)</f>
        <v>296.85681098204861</v>
      </c>
    </row>
    <row r="84" spans="2:5" x14ac:dyDescent="0.25">
      <c r="C84">
        <v>403</v>
      </c>
      <c r="D84" t="s">
        <v>141</v>
      </c>
      <c r="E84" s="89">
        <f>HLOOKUP($D$5,'4.9 Comptes 2021 par habitant'!$E$3:$BE$158,78,0)</f>
        <v>15.017951425554383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654.45691657866951</v>
      </c>
    </row>
    <row r="93" spans="2:5" x14ac:dyDescent="0.25">
      <c r="C93">
        <v>420</v>
      </c>
      <c r="D93" t="s">
        <v>148</v>
      </c>
      <c r="E93" s="89">
        <f>HLOOKUP($D$5,'4.9 Comptes 2021 par habitant'!$E$3:$BE$158,87,0)</f>
        <v>40.84112988384372</v>
      </c>
    </row>
    <row r="94" spans="2:5" x14ac:dyDescent="0.25">
      <c r="C94">
        <v>421</v>
      </c>
      <c r="D94" t="s">
        <v>149</v>
      </c>
      <c r="E94" s="89">
        <f>HLOOKUP($D$5,'4.9 Comptes 2021 par habitant'!$E$3:$BE$158,88,0)</f>
        <v>19.779039070749736</v>
      </c>
    </row>
    <row r="95" spans="2:5" x14ac:dyDescent="0.25">
      <c r="C95">
        <v>422</v>
      </c>
      <c r="D95" t="s">
        <v>150</v>
      </c>
      <c r="E95" s="89">
        <f>HLOOKUP($D$5,'4.9 Comptes 2021 par habitant'!$E$3:$BE$158,89,0)</f>
        <v>0</v>
      </c>
    </row>
    <row r="96" spans="2:5" x14ac:dyDescent="0.25">
      <c r="C96">
        <v>423</v>
      </c>
      <c r="D96" t="s">
        <v>151</v>
      </c>
      <c r="E96" s="89">
        <f>HLOOKUP($D$5,'4.9 Comptes 2021 par habitant'!$E$3:$BE$158,90,0)</f>
        <v>2.8722280887011618</v>
      </c>
    </row>
    <row r="97" spans="2:5" x14ac:dyDescent="0.25">
      <c r="C97">
        <v>424</v>
      </c>
      <c r="D97" t="s">
        <v>152</v>
      </c>
      <c r="E97" s="89">
        <f>HLOOKUP($D$5,'4.9 Comptes 2021 par habitant'!$E$3:$BE$158,91,0)</f>
        <v>546.61019007391758</v>
      </c>
    </row>
    <row r="98" spans="2:5" x14ac:dyDescent="0.25">
      <c r="C98">
        <v>425</v>
      </c>
      <c r="D98" t="s">
        <v>153</v>
      </c>
      <c r="E98" s="89">
        <f>HLOOKUP($D$5,'4.9 Comptes 2021 par habitant'!$E$3:$BE$158,92,0)</f>
        <v>11.121594508975713</v>
      </c>
    </row>
    <row r="99" spans="2:5" x14ac:dyDescent="0.25">
      <c r="C99">
        <v>426</v>
      </c>
      <c r="D99" t="s">
        <v>154</v>
      </c>
      <c r="E99" s="89">
        <f>HLOOKUP($D$5,'4.9 Comptes 2021 par habitant'!$E$3:$BE$158,93,0)</f>
        <v>33.021541710665261</v>
      </c>
    </row>
    <row r="100" spans="2:5" x14ac:dyDescent="0.25">
      <c r="C100">
        <v>427</v>
      </c>
      <c r="D100" t="s">
        <v>155</v>
      </c>
      <c r="E100" s="89">
        <f>HLOOKUP($D$5,'4.9 Comptes 2021 par habitant'!$E$3:$BE$158,94,0)</f>
        <v>0.21119324181626187</v>
      </c>
    </row>
    <row r="101" spans="2:5" x14ac:dyDescent="0.25">
      <c r="C101">
        <v>429</v>
      </c>
      <c r="D101" t="s">
        <v>156</v>
      </c>
      <c r="E101" s="89">
        <f>HLOOKUP($D$5,'4.9 Comptes 2021 par habitant'!$E$3:$BE$158,95,0)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107.8072439281943</v>
      </c>
    </row>
    <row r="110" spans="2:5" x14ac:dyDescent="0.25">
      <c r="C110">
        <v>440</v>
      </c>
      <c r="D110" t="s">
        <v>163</v>
      </c>
      <c r="E110" s="89">
        <f>HLOOKUP($D$5,'4.9 Comptes 2021 par habitant'!$E$3:$BE$158,104,0)</f>
        <v>18.852069693769799</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4.118268215417107E-2</v>
      </c>
    </row>
    <row r="113" spans="2:5" x14ac:dyDescent="0.25">
      <c r="C113">
        <v>443</v>
      </c>
      <c r="D113" t="s">
        <v>166</v>
      </c>
      <c r="E113" s="89">
        <f>HLOOKUP($D$5,'4.9 Comptes 2021 par habitant'!$E$3:$BE$158,107,0)</f>
        <v>24.352164730728617</v>
      </c>
    </row>
    <row r="114" spans="2:5" x14ac:dyDescent="0.25">
      <c r="C114">
        <v>444</v>
      </c>
      <c r="D114" t="s">
        <v>106</v>
      </c>
      <c r="E114" s="89">
        <f>HLOOKUP($D$5,'4.9 Comptes 2021 par habitant'!$E$3:$BE$158,108,0)</f>
        <v>62.991710665258715</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1.5701161562829991</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49.395353748680044</v>
      </c>
    </row>
    <row r="122" spans="2:5" x14ac:dyDescent="0.25">
      <c r="C122">
        <v>450</v>
      </c>
      <c r="D122" t="s">
        <v>172</v>
      </c>
      <c r="E122" s="89">
        <f>HLOOKUP($D$5,'4.9 Comptes 2021 par habitant'!$E$3:$BE$158,116,0)</f>
        <v>4.4477296726504756</v>
      </c>
    </row>
    <row r="123" spans="2:5" x14ac:dyDescent="0.25">
      <c r="C123">
        <v>451</v>
      </c>
      <c r="D123" t="s">
        <v>173</v>
      </c>
      <c r="E123" s="89">
        <f>HLOOKUP($D$5,'4.9 Comptes 2021 par habitant'!$E$3:$BE$158,117,0)</f>
        <v>44.94762407602957</v>
      </c>
    </row>
    <row r="124" spans="2:5" x14ac:dyDescent="0.25">
      <c r="E124" s="4"/>
    </row>
    <row r="125" spans="2:5" x14ac:dyDescent="0.25">
      <c r="B125" s="96">
        <v>46</v>
      </c>
      <c r="C125" s="96"/>
      <c r="D125" s="96" t="s">
        <v>175</v>
      </c>
      <c r="E125" s="91">
        <f>SUM(E126:E130)</f>
        <v>358.57038014783524</v>
      </c>
    </row>
    <row r="126" spans="2:5" x14ac:dyDescent="0.25">
      <c r="C126">
        <v>460</v>
      </c>
      <c r="D126" t="s">
        <v>176</v>
      </c>
      <c r="E126" s="89">
        <f>HLOOKUP($D$5,'4.9 Comptes 2021 par habitant'!$E$3:$BE$158,120,0)</f>
        <v>8.4772967265047523</v>
      </c>
    </row>
    <row r="127" spans="2:5" x14ac:dyDescent="0.25">
      <c r="C127">
        <v>461</v>
      </c>
      <c r="D127" t="s">
        <v>177</v>
      </c>
      <c r="E127" s="89">
        <f>HLOOKUP($D$5,'4.9 Comptes 2021 par habitant'!$E$3:$BE$158,121,0)</f>
        <v>290.67238648363252</v>
      </c>
    </row>
    <row r="128" spans="2:5" x14ac:dyDescent="0.25">
      <c r="C128">
        <v>462</v>
      </c>
      <c r="D128" t="s">
        <v>113</v>
      </c>
      <c r="E128" s="89">
        <f>HLOOKUP($D$5,'4.9 Comptes 2021 par habitant'!$E$3:$BE$158,122,0)</f>
        <v>0</v>
      </c>
    </row>
    <row r="129" spans="2:5" x14ac:dyDescent="0.25">
      <c r="C129">
        <v>463</v>
      </c>
      <c r="D129" t="s">
        <v>178</v>
      </c>
      <c r="E129" s="89">
        <f>HLOOKUP($D$5,'4.9 Comptes 2021 par habitant'!$E$3:$BE$158,123,0)</f>
        <v>59.308870116156285</v>
      </c>
    </row>
    <row r="130" spans="2:5" x14ac:dyDescent="0.25">
      <c r="C130">
        <v>469</v>
      </c>
      <c r="D130" t="s">
        <v>179</v>
      </c>
      <c r="E130" s="89">
        <f>HLOOKUP($D$5,'4.9 Comptes 2021 par habitant'!$E$3:$BE$158,124,0)</f>
        <v>0.11182682154171067</v>
      </c>
    </row>
    <row r="131" spans="2:5" x14ac:dyDescent="0.25">
      <c r="E131" s="4"/>
    </row>
    <row r="132" spans="2:5" x14ac:dyDescent="0.25">
      <c r="B132" s="96">
        <v>47</v>
      </c>
      <c r="C132" s="96"/>
      <c r="D132" s="96" t="s">
        <v>119</v>
      </c>
      <c r="E132" s="91">
        <f>SUM(E133)</f>
        <v>0</v>
      </c>
    </row>
    <row r="133" spans="2:5" x14ac:dyDescent="0.25">
      <c r="C133">
        <v>470</v>
      </c>
      <c r="D133" t="s">
        <v>180</v>
      </c>
      <c r="E133" s="89">
        <f>HLOOKUP($D$5,'4.9 Comptes 2021 par habitant'!$E$3:$BE$158,127,0)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HLOOKUP($D$5,'4.9 Comptes 2021 par habitant'!$E$3:$BE$158,139,0)</f>
        <v>0</v>
      </c>
    </row>
    <row r="146" spans="1:5" x14ac:dyDescent="0.25">
      <c r="C146">
        <v>491</v>
      </c>
      <c r="D146" t="s">
        <v>130</v>
      </c>
      <c r="E146" s="89">
        <f>HLOOKUP($D$5,'4.9 Comptes 2021 par habitant'!$E$3:$BE$158,140,0)</f>
        <v>0</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47.44255543822598</v>
      </c>
    </row>
    <row r="158" spans="1:5" x14ac:dyDescent="0.25">
      <c r="C158">
        <v>900</v>
      </c>
      <c r="D158" t="s">
        <v>196</v>
      </c>
      <c r="E158" s="89">
        <f>HLOOKUP($D$5,'4.9 Comptes 2021 par habitant'!$E$3:$BE$158,152,0)</f>
        <v>-166.44686378035902</v>
      </c>
    </row>
    <row r="159" spans="1:5" x14ac:dyDescent="0.25">
      <c r="C159">
        <v>901</v>
      </c>
      <c r="D159" t="s">
        <v>197</v>
      </c>
      <c r="E159" s="89">
        <f>HLOOKUP($D$5,'4.9 Comptes 2021 par habitant'!$E$3:$BE$158,153,0)</f>
        <v>213.889419218585</v>
      </c>
    </row>
    <row r="160" spans="1:5" x14ac:dyDescent="0.25">
      <c r="E160" s="4"/>
    </row>
    <row r="161" spans="4:5" x14ac:dyDescent="0.25">
      <c r="D161" s="7" t="s">
        <v>198</v>
      </c>
      <c r="E161" s="80">
        <f>HLOOKUP($D$5,'4.9 Comptes 2021 par habitant'!$E$3:$BE$158,155,0)</f>
        <v>47.44255543822598</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2023-06-05T12:25:47Z</dcterms:modified>
</cp:coreProperties>
</file>