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44" activeTab="44"/>
  </bookViews>
  <sheets>
    <sheet name="Sommaire" sheetId="47" state="hidden"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state="hidden" r:id="rId7"/>
    <sheet name="4.9 Comptes 2021 par habitant" sheetId="29" state="hidden" r:id="rId8"/>
    <sheet name="4.10 Comptes 2021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8.1 Bourgeoisies Comptes 2021" sheetId="55" state="hidden" r:id="rId38"/>
    <sheet name="8.2 Comptes par Bourgeoisie" sheetId="56" state="hidden" r:id="rId39"/>
    <sheet name="8.5 Bourgeoisie vue d'ensemble" sheetId="57" state="hidden" r:id="rId40"/>
    <sheet name="8.6 Vue par Bourgeoisie" sheetId="58" state="hidden" r:id="rId41"/>
    <sheet name="8.3 Bourgeoisie 3 niveaux" sheetId="59" state="hidden" r:id="rId42"/>
    <sheet name="8.4 3 niveaux par bourgeoisie" sheetId="60" state="hidden" r:id="rId43"/>
    <sheet name="8.7 Autofinancement" sheetId="61" state="hidden" r:id="rId44"/>
    <sheet name="8.8 par Bourgeoisie" sheetId="62" r:id="rId45"/>
    <sheet name="8.9 Bourgeoisie bilan" sheetId="63" state="hidden" r:id="rId46"/>
    <sheet name="8.10 Bilan par bourgeoisie" sheetId="64" state="hidden" r:id="rId47"/>
    <sheet name="8.11 Bourgeoisie endettement" sheetId="65" state="hidden" r:id="rId48"/>
    <sheet name="8.12Endettement par bourgeoisie" sheetId="66" state="hidden" r:id="rId49"/>
    <sheet name="8.13 Bourgeoisie investissement" sheetId="67" state="hidden" r:id="rId50"/>
    <sheet name="8.14 par bourgeoisie" sheetId="68" state="hidden" r:id="rId51"/>
    <sheet name="9.1 Syndicats comptes 2021" sheetId="69" state="hidden" r:id="rId52"/>
    <sheet name="9.2 Comptes 2021 par Syndicats" sheetId="70" state="hidden" r:id="rId53"/>
    <sheet name="9.5 Syndicats vue d'ensemble" sheetId="71" state="hidden" r:id="rId54"/>
    <sheet name="9.6 Vue d'ensemble par syndicat" sheetId="72" state="hidden" r:id="rId55"/>
    <sheet name="9.3 Syndicats à 3 niveaux" sheetId="73" state="hidden" r:id="rId56"/>
    <sheet name="9.4 3 niveaux par syndicat" sheetId="74" state="hidden" r:id="rId57"/>
    <sheet name="9.7 Syndicats Bilan" sheetId="75" state="hidden" r:id="rId58"/>
    <sheet name="9.8 Bilan par Syndicats" sheetId="76" state="hidden" r:id="rId59"/>
    <sheet name="9.9 Syndicats endettement" sheetId="77" state="hidden" r:id="rId60"/>
    <sheet name="9.10 Endettement par syndicat" sheetId="78" state="hidden" r:id="rId61"/>
  </sheets>
  <definedNames>
    <definedName name="_xlnm.Print_Area" localSheetId="13">'4.7 Autofinancement'!$A$1:$D$92</definedName>
    <definedName name="_xlnm.Print_Area" localSheetId="44">'8.8 par Bourgeoisie'!$A$1:$E$34</definedName>
    <definedName name="_xlnm.Print_Area" localSheetId="35">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12" i="35"/>
  <c r="E13" i="35"/>
  <c r="E17" i="35"/>
  <c r="E18" i="35"/>
  <c r="E19" i="35"/>
  <c r="E20" i="35"/>
  <c r="E30" i="35"/>
  <c r="E31" i="35"/>
  <c r="E32" i="35"/>
  <c r="E33" i="35"/>
  <c r="E34" i="35"/>
  <c r="E35" i="35"/>
  <c r="E36" i="35"/>
  <c r="E37" i="35"/>
  <c r="E38" i="35"/>
  <c r="E39" i="35"/>
  <c r="E43" i="35"/>
  <c r="E44" i="35"/>
  <c r="E22" i="35" l="1"/>
  <c r="E16" i="39" s="1"/>
  <c r="E41" i="35"/>
  <c r="E24" i="38" s="1"/>
  <c r="E15" i="35"/>
  <c r="E17" i="40" s="1"/>
  <c r="E46" i="35"/>
  <c r="E48" i="35" s="1"/>
  <c r="E26" i="40" s="1"/>
  <c r="E24"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43" i="37" s="1"/>
  <c r="N35" i="40" s="1"/>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F44" i="35"/>
  <c r="G44" i="35"/>
  <c r="H44" i="35"/>
  <c r="I44" i="35"/>
  <c r="J44" i="35"/>
  <c r="K44" i="35"/>
  <c r="L44" i="35"/>
  <c r="M44" i="35"/>
  <c r="N44" i="35"/>
  <c r="O44" i="35"/>
  <c r="P44" i="35"/>
  <c r="Q44" i="35"/>
  <c r="R44" i="35"/>
  <c r="S44" i="35"/>
  <c r="T44" i="35"/>
  <c r="U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F43" i="35"/>
  <c r="G43" i="35"/>
  <c r="H43" i="35"/>
  <c r="I43" i="35"/>
  <c r="J43" i="35"/>
  <c r="K43" i="35"/>
  <c r="L43" i="35"/>
  <c r="M43" i="35"/>
  <c r="N43" i="35"/>
  <c r="O43" i="35"/>
  <c r="P43" i="35"/>
  <c r="Q43" i="35"/>
  <c r="R43" i="35"/>
  <c r="S43" i="35"/>
  <c r="T43" i="35"/>
  <c r="U43" i="35"/>
  <c r="V46" i="35"/>
  <c r="W43" i="35"/>
  <c r="W46" i="35" s="1"/>
  <c r="X43" i="35"/>
  <c r="Y43" i="35"/>
  <c r="Y46" i="35" s="1"/>
  <c r="Z43" i="35"/>
  <c r="Z46" i="35" s="1"/>
  <c r="AA43" i="35"/>
  <c r="AA46" i="35" s="1"/>
  <c r="AA48" i="35" s="1"/>
  <c r="AA26" i="40" s="1"/>
  <c r="AB43" i="35"/>
  <c r="AB46" i="35" s="1"/>
  <c r="AC43" i="35"/>
  <c r="AC46" i="35" s="1"/>
  <c r="AD43" i="35"/>
  <c r="AD46" i="35" s="1"/>
  <c r="AE43" i="35"/>
  <c r="AE46" i="35" s="1"/>
  <c r="AF43" i="35"/>
  <c r="AF46" i="35" s="1"/>
  <c r="AG43" i="35"/>
  <c r="AH43" i="35"/>
  <c r="AH46" i="35" s="1"/>
  <c r="AI43" i="35"/>
  <c r="AI46" i="35" s="1"/>
  <c r="AI48" i="35" s="1"/>
  <c r="AI26" i="40" s="1"/>
  <c r="AJ43" i="35"/>
  <c r="AJ46" i="35" s="1"/>
  <c r="AJ48" i="35" s="1"/>
  <c r="AJ26" i="40" s="1"/>
  <c r="AK43" i="35"/>
  <c r="AL43" i="35"/>
  <c r="AL46" i="35" s="1"/>
  <c r="AM43" i="35"/>
  <c r="AM46" i="35" s="1"/>
  <c r="AN43" i="35"/>
  <c r="AN46" i="35" s="1"/>
  <c r="AO43" i="35"/>
  <c r="AO46" i="35" s="1"/>
  <c r="AP43" i="35"/>
  <c r="AP46" i="35" s="1"/>
  <c r="AQ43" i="35"/>
  <c r="AQ46" i="35" s="1"/>
  <c r="AR43" i="35"/>
  <c r="AR46" i="35" s="1"/>
  <c r="AS43" i="35"/>
  <c r="AS46" i="35" s="1"/>
  <c r="AT43" i="35"/>
  <c r="AT46" i="35" s="1"/>
  <c r="AU43" i="35"/>
  <c r="AU46" i="35" s="1"/>
  <c r="AV43" i="35"/>
  <c r="AV46" i="35" s="1"/>
  <c r="AW43" i="35"/>
  <c r="AW46" i="35" s="1"/>
  <c r="AX43" i="35"/>
  <c r="AX46" i="35" s="1"/>
  <c r="AX48" i="35" s="1"/>
  <c r="AX26" i="40" s="1"/>
  <c r="AY43" i="35"/>
  <c r="AY46" i="35" s="1"/>
  <c r="AY48" i="35" s="1"/>
  <c r="AY26" i="40" s="1"/>
  <c r="AZ43" i="35"/>
  <c r="AZ46" i="35" s="1"/>
  <c r="AZ48" i="35" s="1"/>
  <c r="AZ26" i="40" s="1"/>
  <c r="BA43" i="35"/>
  <c r="BA46" i="35" s="1"/>
  <c r="BB43" i="35"/>
  <c r="BB46" i="35" s="1"/>
  <c r="BC43" i="35"/>
  <c r="BC46" i="35" s="1"/>
  <c r="BC48" i="35" s="1"/>
  <c r="BC26" i="40" s="1"/>
  <c r="BD43" i="35"/>
  <c r="BD46" i="35" s="1"/>
  <c r="BE43" i="35"/>
  <c r="BE46" i="35" s="1"/>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G41" i="35" s="1"/>
  <c r="H30" i="35"/>
  <c r="H41" i="35" s="1"/>
  <c r="I30" i="35"/>
  <c r="I41" i="35" s="1"/>
  <c r="J30" i="35"/>
  <c r="J41" i="35" s="1"/>
  <c r="K30" i="35"/>
  <c r="K41" i="35" s="1"/>
  <c r="L30" i="35"/>
  <c r="L41" i="35" s="1"/>
  <c r="M30" i="35"/>
  <c r="M41" i="35" s="1"/>
  <c r="N30" i="35"/>
  <c r="N41" i="35" s="1"/>
  <c r="O30" i="35"/>
  <c r="O41" i="35" s="1"/>
  <c r="P30" i="35"/>
  <c r="P41" i="35" s="1"/>
  <c r="Q30" i="35"/>
  <c r="Q41" i="35" s="1"/>
  <c r="R30" i="35"/>
  <c r="R41" i="35" s="1"/>
  <c r="S30" i="35"/>
  <c r="S41" i="35" s="1"/>
  <c r="T30" i="35"/>
  <c r="T41" i="35" s="1"/>
  <c r="U30" i="35"/>
  <c r="U41" i="35" s="1"/>
  <c r="V30" i="35"/>
  <c r="V41" i="35" s="1"/>
  <c r="W30" i="35"/>
  <c r="W41" i="35" s="1"/>
  <c r="X30" i="35"/>
  <c r="Y30" i="35"/>
  <c r="Y41" i="35" s="1"/>
  <c r="Z30" i="35"/>
  <c r="Z41" i="35" s="1"/>
  <c r="AA30" i="35"/>
  <c r="AA41" i="35" s="1"/>
  <c r="AB30" i="35"/>
  <c r="AB41" i="35" s="1"/>
  <c r="AC30" i="35"/>
  <c r="AC41" i="35" s="1"/>
  <c r="AD30" i="35"/>
  <c r="AD41" i="35" s="1"/>
  <c r="AE30" i="35"/>
  <c r="AE41" i="35" s="1"/>
  <c r="AF30" i="35"/>
  <c r="AF41" i="35" s="1"/>
  <c r="AG30" i="35"/>
  <c r="AG41" i="35" s="1"/>
  <c r="AH30" i="35"/>
  <c r="AH41" i="35" s="1"/>
  <c r="AI30" i="35"/>
  <c r="AI41" i="35" s="1"/>
  <c r="AJ30" i="35"/>
  <c r="AJ41" i="35" s="1"/>
  <c r="AK30" i="35"/>
  <c r="AL30" i="35"/>
  <c r="AL41" i="35" s="1"/>
  <c r="AM30" i="35"/>
  <c r="AM41" i="35" s="1"/>
  <c r="AN30" i="35"/>
  <c r="AN41" i="35" s="1"/>
  <c r="AO30" i="35"/>
  <c r="AO41" i="35" s="1"/>
  <c r="AP30" i="35"/>
  <c r="AP41" i="35" s="1"/>
  <c r="AQ30" i="35"/>
  <c r="AQ41" i="35" s="1"/>
  <c r="AR30" i="35"/>
  <c r="AR41" i="35" s="1"/>
  <c r="AS30" i="35"/>
  <c r="AS41" i="35" s="1"/>
  <c r="AT30" i="35"/>
  <c r="AT41" i="35" s="1"/>
  <c r="AU30" i="35"/>
  <c r="AU41" i="35" s="1"/>
  <c r="AV30" i="35"/>
  <c r="AV41" i="35" s="1"/>
  <c r="AW30" i="35"/>
  <c r="AW41" i="35" s="1"/>
  <c r="AX30" i="35"/>
  <c r="AX41" i="35" s="1"/>
  <c r="AY30" i="35"/>
  <c r="AY41" i="35" s="1"/>
  <c r="AZ30" i="35"/>
  <c r="AZ41" i="35" s="1"/>
  <c r="BA30" i="35"/>
  <c r="BA41" i="35" s="1"/>
  <c r="BB30" i="35"/>
  <c r="BB41" i="35" s="1"/>
  <c r="BC30" i="35"/>
  <c r="BC41" i="35" s="1"/>
  <c r="BD30" i="35"/>
  <c r="BD41" i="35" s="1"/>
  <c r="BE30" i="35"/>
  <c r="BE41" i="35" s="1"/>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G22" i="35" s="1"/>
  <c r="H17" i="35"/>
  <c r="H22" i="35" s="1"/>
  <c r="I17" i="35"/>
  <c r="I22" i="35" s="1"/>
  <c r="J17" i="35"/>
  <c r="J22" i="35" s="1"/>
  <c r="K17" i="35"/>
  <c r="K22" i="35" s="1"/>
  <c r="L17" i="35"/>
  <c r="L22" i="35" s="1"/>
  <c r="M17" i="35"/>
  <c r="N17" i="35"/>
  <c r="N22" i="35" s="1"/>
  <c r="O17" i="35"/>
  <c r="O22" i="35" s="1"/>
  <c r="P17" i="35"/>
  <c r="P22" i="35" s="1"/>
  <c r="Q17" i="35"/>
  <c r="Q22" i="35" s="1"/>
  <c r="R17" i="35"/>
  <c r="R22" i="35" s="1"/>
  <c r="S17" i="35"/>
  <c r="S22" i="35" s="1"/>
  <c r="T17" i="35"/>
  <c r="T22" i="35" s="1"/>
  <c r="U17" i="35"/>
  <c r="V17" i="35"/>
  <c r="V22" i="35" s="1"/>
  <c r="W17" i="35"/>
  <c r="W22" i="35" s="1"/>
  <c r="X17" i="35"/>
  <c r="Y17" i="35"/>
  <c r="Y22" i="35" s="1"/>
  <c r="Z17" i="35"/>
  <c r="Z22" i="35" s="1"/>
  <c r="AA17" i="35"/>
  <c r="AA22" i="35" s="1"/>
  <c r="AB17" i="35"/>
  <c r="AB22" i="35" s="1"/>
  <c r="AC17" i="35"/>
  <c r="AD17" i="35"/>
  <c r="AD22" i="35" s="1"/>
  <c r="AE17" i="35"/>
  <c r="AE22" i="35" s="1"/>
  <c r="AF17" i="35"/>
  <c r="AF22" i="35" s="1"/>
  <c r="AG17" i="35"/>
  <c r="AG22" i="35" s="1"/>
  <c r="AH17" i="35"/>
  <c r="AH22" i="35" s="1"/>
  <c r="AI17" i="35"/>
  <c r="AI22" i="35" s="1"/>
  <c r="AJ17" i="35"/>
  <c r="AJ22" i="35" s="1"/>
  <c r="AK17" i="35"/>
  <c r="AK22" i="35" s="1"/>
  <c r="AL17" i="35"/>
  <c r="AL22" i="35" s="1"/>
  <c r="AM17" i="35"/>
  <c r="AM22" i="35" s="1"/>
  <c r="AN17" i="35"/>
  <c r="AN22" i="35" s="1"/>
  <c r="AO17" i="35"/>
  <c r="AO22" i="35" s="1"/>
  <c r="AP17" i="35"/>
  <c r="AP22" i="35" s="1"/>
  <c r="AQ17" i="35"/>
  <c r="AQ22" i="35" s="1"/>
  <c r="AR17" i="35"/>
  <c r="AR22" i="35" s="1"/>
  <c r="AS17" i="35"/>
  <c r="AT17" i="35"/>
  <c r="AT22" i="35" s="1"/>
  <c r="AU17" i="35"/>
  <c r="AU22" i="35" s="1"/>
  <c r="AV17" i="35"/>
  <c r="AV22" i="35" s="1"/>
  <c r="AW17" i="35"/>
  <c r="AW22" i="35" s="1"/>
  <c r="AX17" i="35"/>
  <c r="AX22" i="35" s="1"/>
  <c r="AY17" i="35"/>
  <c r="AY22" i="35" s="1"/>
  <c r="AZ17" i="35"/>
  <c r="AZ22" i="35" s="1"/>
  <c r="BA17" i="35"/>
  <c r="BB17" i="35"/>
  <c r="BB22" i="35" s="1"/>
  <c r="BC17" i="35"/>
  <c r="BC22" i="35" s="1"/>
  <c r="BD17" i="35"/>
  <c r="BD22" i="35" s="1"/>
  <c r="BE17" i="35"/>
  <c r="BE22" i="35" s="1"/>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AG46" i="35" l="1"/>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Q48" i="35" s="1"/>
  <c r="Q26" i="40" s="1"/>
  <c r="O46" i="35"/>
  <c r="O48" i="35" s="1"/>
  <c r="O26" i="40" s="1"/>
  <c r="BF15" i="38"/>
  <c r="Q43" i="37"/>
  <c r="Q35" i="40" s="1"/>
  <c r="AW43" i="37"/>
  <c r="AW35" i="40" s="1"/>
  <c r="F43" i="37"/>
  <c r="F35" i="40" s="1"/>
  <c r="V43" i="37"/>
  <c r="V35" i="40" s="1"/>
  <c r="Z43" i="37"/>
  <c r="Z35" i="40" s="1"/>
  <c r="M46" i="35"/>
  <c r="K46" i="35"/>
  <c r="I46" i="35"/>
  <c r="I48" i="35" s="1"/>
  <c r="I26" i="40" s="1"/>
  <c r="G46" i="35"/>
  <c r="G48" i="35" s="1"/>
  <c r="G26" i="40" s="1"/>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R48" i="35" s="1"/>
  <c r="R26" i="40" s="1"/>
  <c r="P46" i="35"/>
  <c r="P48" i="35" s="1"/>
  <c r="P26" i="40" s="1"/>
  <c r="N46" i="35"/>
  <c r="N48" i="35" s="1"/>
  <c r="N26" i="40" s="1"/>
  <c r="L46" i="35"/>
  <c r="L48" i="35" s="1"/>
  <c r="L26" i="40" s="1"/>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H43" i="37"/>
  <c r="H35" i="40" s="1"/>
  <c r="AJ43" i="37"/>
  <c r="AJ35" i="40" s="1"/>
  <c r="AR43" i="37"/>
  <c r="AR35" i="40" s="1"/>
  <c r="AZ43" i="37"/>
  <c r="AZ35" i="40" s="1"/>
  <c r="AT43" i="37"/>
  <c r="AT35" i="40" s="1"/>
  <c r="AX43" i="37"/>
  <c r="AX35" i="40" s="1"/>
  <c r="AP48" i="35"/>
  <c r="AP26" i="40" s="1"/>
  <c r="AB48" i="35"/>
  <c r="AB26" i="40" s="1"/>
  <c r="AE48" i="35"/>
  <c r="AE26" i="40" s="1"/>
  <c r="V48" i="35"/>
  <c r="V26" i="40" s="1"/>
  <c r="T43" i="37"/>
  <c r="T35" i="40" s="1"/>
  <c r="BB43" i="37"/>
  <c r="BB35" i="40" s="1"/>
  <c r="AV43" i="37"/>
  <c r="AV35" i="40" s="1"/>
  <c r="AS22"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22" i="35"/>
  <c r="AC16" i="39" s="1"/>
  <c r="AC18" i="39" s="1"/>
  <c r="AC43" i="40" s="1"/>
  <c r="AA43" i="37"/>
  <c r="AA35" i="40" s="1"/>
  <c r="U22" i="35"/>
  <c r="U16" i="39" s="1"/>
  <c r="U18" i="39" s="1"/>
  <c r="U43" i="40" s="1"/>
  <c r="AU43" i="37"/>
  <c r="AU35" i="40" s="1"/>
  <c r="AD48" i="35"/>
  <c r="AD26" i="40" s="1"/>
  <c r="AD43" i="37"/>
  <c r="AD35" i="40" s="1"/>
  <c r="P43" i="37"/>
  <c r="P35" i="40" s="1"/>
  <c r="G43" i="37"/>
  <c r="G35" i="40" s="1"/>
  <c r="I15" i="35"/>
  <c r="I17" i="40" s="1"/>
  <c r="BD43" i="37"/>
  <c r="BD35" i="40" s="1"/>
  <c r="L43" i="37"/>
  <c r="L35" i="40" s="1"/>
  <c r="M48" i="35"/>
  <c r="M26" i="40" s="1"/>
  <c r="M22" i="35"/>
  <c r="M16" i="39" s="1"/>
  <c r="M18" i="39" s="1"/>
  <c r="M43" i="40" s="1"/>
  <c r="Z48" i="35"/>
  <c r="Z26" i="40" s="1"/>
  <c r="BA22" i="35"/>
  <c r="BA16" i="39" s="1"/>
  <c r="BA18" i="39" s="1"/>
  <c r="BA43" i="40" s="1"/>
  <c r="BH39" i="37"/>
  <c r="O43" i="37"/>
  <c r="O35" i="40" s="1"/>
  <c r="BE16" i="39"/>
  <c r="BE18" i="39" s="1"/>
  <c r="BE43" i="40" s="1"/>
  <c r="BE24" i="35"/>
  <c r="BE19" i="40" s="1"/>
  <c r="AW16" i="39"/>
  <c r="AW18" i="39" s="1"/>
  <c r="AW43" i="40" s="1"/>
  <c r="AW24" i="35"/>
  <c r="AW19" i="40" s="1"/>
  <c r="AO16" i="39"/>
  <c r="AO18" i="39" s="1"/>
  <c r="AO43" i="40" s="1"/>
  <c r="AO24" i="35"/>
  <c r="AO19" i="40" s="1"/>
  <c r="AG16" i="39"/>
  <c r="AG18" i="39" s="1"/>
  <c r="AG43" i="40" s="1"/>
  <c r="AG24" i="35"/>
  <c r="AG19" i="40" s="1"/>
  <c r="Y16" i="39"/>
  <c r="Y18" i="39" s="1"/>
  <c r="Y43" i="40" s="1"/>
  <c r="Y24" i="35"/>
  <c r="Y19" i="40" s="1"/>
  <c r="Q16" i="39"/>
  <c r="Q18" i="39" s="1"/>
  <c r="Q43" i="40" s="1"/>
  <c r="Q24" i="35"/>
  <c r="Q19" i="40" s="1"/>
  <c r="I16" i="39"/>
  <c r="I18" i="39" s="1"/>
  <c r="I43" i="40" s="1"/>
  <c r="BG12" i="35"/>
  <c r="BF12" i="35"/>
  <c r="F15" i="35"/>
  <c r="BG13" i="35"/>
  <c r="BF13" i="35"/>
  <c r="AK16" i="39"/>
  <c r="X15" i="35"/>
  <c r="BC16" i="39"/>
  <c r="BC18" i="39" s="1"/>
  <c r="BC43" i="40" s="1"/>
  <c r="BC24" i="35"/>
  <c r="BC19" i="40" s="1"/>
  <c r="AY16" i="39"/>
  <c r="AY18" i="39" s="1"/>
  <c r="AY43" i="40" s="1"/>
  <c r="AY24" i="35"/>
  <c r="AY19" i="40" s="1"/>
  <c r="AU16" i="39"/>
  <c r="AU18" i="39" s="1"/>
  <c r="AU43" i="40" s="1"/>
  <c r="AU24" i="35"/>
  <c r="AU19" i="40" s="1"/>
  <c r="AQ16" i="39"/>
  <c r="AQ18" i="39" s="1"/>
  <c r="AQ43" i="40" s="1"/>
  <c r="AQ24" i="35"/>
  <c r="AQ19" i="40" s="1"/>
  <c r="AM16" i="39"/>
  <c r="AM18" i="39" s="1"/>
  <c r="AM43" i="40" s="1"/>
  <c r="AM24" i="35"/>
  <c r="AM19" i="40" s="1"/>
  <c r="BH17" i="35"/>
  <c r="AI16" i="39"/>
  <c r="AI18" i="39" s="1"/>
  <c r="AI43" i="40" s="1"/>
  <c r="AI24" i="35"/>
  <c r="AI19" i="40" s="1"/>
  <c r="AE16" i="39"/>
  <c r="AE18" i="39" s="1"/>
  <c r="AE43" i="40" s="1"/>
  <c r="AE24" i="35"/>
  <c r="AE19" i="40" s="1"/>
  <c r="AA16" i="39"/>
  <c r="AA18" i="39" s="1"/>
  <c r="AA43" i="40" s="1"/>
  <c r="AA24" i="35"/>
  <c r="AA19" i="40" s="1"/>
  <c r="W16" i="39"/>
  <c r="W18" i="39" s="1"/>
  <c r="W43" i="40" s="1"/>
  <c r="W24" i="35"/>
  <c r="W19" i="40" s="1"/>
  <c r="S16" i="39"/>
  <c r="S18" i="39" s="1"/>
  <c r="S43" i="40" s="1"/>
  <c r="S24" i="35"/>
  <c r="S19" i="40" s="1"/>
  <c r="O16" i="39"/>
  <c r="O18" i="39" s="1"/>
  <c r="O43" i="40" s="1"/>
  <c r="O24" i="35"/>
  <c r="O19" i="40" s="1"/>
  <c r="K16" i="39"/>
  <c r="K18" i="39" s="1"/>
  <c r="K43" i="40" s="1"/>
  <c r="K24" i="35"/>
  <c r="K19" i="40" s="1"/>
  <c r="G16" i="39"/>
  <c r="G18" i="39" s="1"/>
  <c r="G43" i="40" s="1"/>
  <c r="G24" i="35"/>
  <c r="G19" i="40" s="1"/>
  <c r="BH18" i="35"/>
  <c r="BH19" i="35"/>
  <c r="BH20" i="35"/>
  <c r="BA24" i="35"/>
  <c r="BA19" i="40" s="1"/>
  <c r="BE24" i="40"/>
  <c r="BE24" i="38"/>
  <c r="BE28" i="38" s="1"/>
  <c r="BE39" i="40" s="1"/>
  <c r="BC24" i="40"/>
  <c r="BC24" i="38"/>
  <c r="BC28" i="38" s="1"/>
  <c r="BC39" i="40" s="1"/>
  <c r="BA24" i="40"/>
  <c r="BA24" i="38"/>
  <c r="BA28" i="38" s="1"/>
  <c r="BA39" i="40" s="1"/>
  <c r="AY24" i="40"/>
  <c r="AY24" i="38"/>
  <c r="AY28" i="38" s="1"/>
  <c r="AY39" i="40" s="1"/>
  <c r="AW24" i="40"/>
  <c r="AW24" i="38"/>
  <c r="AW28" i="38" s="1"/>
  <c r="AW39" i="40" s="1"/>
  <c r="AU24" i="40"/>
  <c r="AU24" i="38"/>
  <c r="AU28" i="38" s="1"/>
  <c r="AU39" i="40" s="1"/>
  <c r="AS24" i="40"/>
  <c r="AS24" i="38"/>
  <c r="AS28" i="38" s="1"/>
  <c r="AS39" i="40" s="1"/>
  <c r="AQ24" i="40"/>
  <c r="AQ24" i="38"/>
  <c r="AQ28" i="38" s="1"/>
  <c r="AQ39" i="40" s="1"/>
  <c r="AO24" i="40"/>
  <c r="AO24" i="38"/>
  <c r="AO28" i="38" s="1"/>
  <c r="AO39" i="40" s="1"/>
  <c r="AM24" i="40"/>
  <c r="AM24" i="38"/>
  <c r="AM28" i="38" s="1"/>
  <c r="AM39" i="40" s="1"/>
  <c r="AI24" i="40"/>
  <c r="AI24" i="38"/>
  <c r="AI28" i="38" s="1"/>
  <c r="AI39" i="40" s="1"/>
  <c r="AG24" i="40"/>
  <c r="AG24" i="38"/>
  <c r="AG28" i="38" s="1"/>
  <c r="AG39" i="40" s="1"/>
  <c r="AE24" i="40"/>
  <c r="AE24" i="38"/>
  <c r="AE28" i="38" s="1"/>
  <c r="AE39" i="40" s="1"/>
  <c r="AC24" i="40"/>
  <c r="AC24" i="38"/>
  <c r="AC28" i="38" s="1"/>
  <c r="AC39" i="40" s="1"/>
  <c r="AA24" i="40"/>
  <c r="AA24" i="38"/>
  <c r="AA28" i="38" s="1"/>
  <c r="AA39" i="40" s="1"/>
  <c r="Y24" i="40"/>
  <c r="Y24" i="38"/>
  <c r="Y28" i="38" s="1"/>
  <c r="Y39" i="40" s="1"/>
  <c r="W24" i="40"/>
  <c r="W24" i="38"/>
  <c r="W28" i="38" s="1"/>
  <c r="W39" i="40" s="1"/>
  <c r="U24" i="40"/>
  <c r="U24" i="38"/>
  <c r="U28" i="38" s="1"/>
  <c r="U39" i="40" s="1"/>
  <c r="S24" i="40"/>
  <c r="S24" i="38"/>
  <c r="S28" i="38" s="1"/>
  <c r="S39" i="40" s="1"/>
  <c r="Q24" i="40"/>
  <c r="Q24" i="38"/>
  <c r="Q28" i="38" s="1"/>
  <c r="Q39" i="40" s="1"/>
  <c r="O24" i="40"/>
  <c r="O24" i="38"/>
  <c r="O28" i="38" s="1"/>
  <c r="O39" i="40" s="1"/>
  <c r="M24" i="40"/>
  <c r="M24" i="38"/>
  <c r="M28" i="38" s="1"/>
  <c r="M39" i="40" s="1"/>
  <c r="K24" i="40"/>
  <c r="K24" i="38"/>
  <c r="K28" i="38" s="1"/>
  <c r="K39" i="40" s="1"/>
  <c r="I24" i="40"/>
  <c r="I24" i="38"/>
  <c r="I28" i="38" s="1"/>
  <c r="I39" i="40" s="1"/>
  <c r="G24" i="40"/>
  <c r="G24" i="38"/>
  <c r="G28" i="38" s="1"/>
  <c r="G39" i="40" s="1"/>
  <c r="BH30" i="35"/>
  <c r="BH31" i="35"/>
  <c r="BH32" i="35"/>
  <c r="BH33" i="35"/>
  <c r="BH34" i="35"/>
  <c r="BH35" i="35"/>
  <c r="BH36" i="35"/>
  <c r="BH37" i="35"/>
  <c r="BH38" i="35"/>
  <c r="BH39" i="35"/>
  <c r="AK41" i="35"/>
  <c r="BH43" i="35"/>
  <c r="BH44" i="35"/>
  <c r="AK46" i="35"/>
  <c r="BH12" i="35"/>
  <c r="BH13" i="35"/>
  <c r="AK15" i="35"/>
  <c r="AK24" i="35" s="1"/>
  <c r="AK19" i="40" s="1"/>
  <c r="BD16" i="39"/>
  <c r="BD18" i="39" s="1"/>
  <c r="BD43" i="40" s="1"/>
  <c r="BD24" i="35"/>
  <c r="BD19" i="40" s="1"/>
  <c r="BB16" i="39"/>
  <c r="BB18" i="39" s="1"/>
  <c r="BB43" i="40" s="1"/>
  <c r="BB24" i="35"/>
  <c r="BB19" i="40" s="1"/>
  <c r="AZ16" i="39"/>
  <c r="AZ18" i="39" s="1"/>
  <c r="AZ43" i="40" s="1"/>
  <c r="AZ24" i="35"/>
  <c r="AZ19" i="40" s="1"/>
  <c r="AX16" i="39"/>
  <c r="AX18" i="39" s="1"/>
  <c r="AX43" i="40" s="1"/>
  <c r="AX24" i="35"/>
  <c r="AX19" i="40" s="1"/>
  <c r="AV16" i="39"/>
  <c r="AV18" i="39" s="1"/>
  <c r="AV43" i="40" s="1"/>
  <c r="AV24" i="35"/>
  <c r="AV19" i="40" s="1"/>
  <c r="AT16" i="39"/>
  <c r="AT18" i="39" s="1"/>
  <c r="AT43" i="40" s="1"/>
  <c r="AT24" i="35"/>
  <c r="AT19" i="40" s="1"/>
  <c r="AR16" i="39"/>
  <c r="AR18" i="39" s="1"/>
  <c r="AR43" i="40" s="1"/>
  <c r="AR24" i="35"/>
  <c r="AR19" i="40" s="1"/>
  <c r="AP16" i="39"/>
  <c r="AP18" i="39" s="1"/>
  <c r="AP43" i="40" s="1"/>
  <c r="AP24" i="35"/>
  <c r="AP19" i="40" s="1"/>
  <c r="AN16" i="39"/>
  <c r="AN18" i="39" s="1"/>
  <c r="AN43" i="40" s="1"/>
  <c r="AN24" i="35"/>
  <c r="AN19" i="40" s="1"/>
  <c r="AL16" i="39"/>
  <c r="AL18" i="39" s="1"/>
  <c r="AL43" i="40" s="1"/>
  <c r="AL24" i="35"/>
  <c r="AL19" i="40" s="1"/>
  <c r="AJ16" i="39"/>
  <c r="AJ18" i="39" s="1"/>
  <c r="AJ43" i="40" s="1"/>
  <c r="AJ24" i="35"/>
  <c r="AJ19" i="40" s="1"/>
  <c r="AH16" i="39"/>
  <c r="AH18" i="39" s="1"/>
  <c r="AH43" i="40" s="1"/>
  <c r="AH24" i="35"/>
  <c r="AH19" i="40" s="1"/>
  <c r="AF16" i="39"/>
  <c r="AF18" i="39" s="1"/>
  <c r="AF43" i="40" s="1"/>
  <c r="AF24" i="35"/>
  <c r="AF19" i="40" s="1"/>
  <c r="AD16" i="39"/>
  <c r="AD18" i="39" s="1"/>
  <c r="AD43" i="40" s="1"/>
  <c r="AD24" i="35"/>
  <c r="AD19" i="40" s="1"/>
  <c r="AB16" i="39"/>
  <c r="AB18" i="39" s="1"/>
  <c r="AB43" i="40" s="1"/>
  <c r="AB24" i="35"/>
  <c r="AB19" i="40" s="1"/>
  <c r="Z16" i="39"/>
  <c r="Z18" i="39" s="1"/>
  <c r="Z43" i="40" s="1"/>
  <c r="Z24" i="35"/>
  <c r="Z19" i="40" s="1"/>
  <c r="V16" i="39"/>
  <c r="V18" i="39" s="1"/>
  <c r="V43" i="40" s="1"/>
  <c r="V24" i="35"/>
  <c r="V19" i="40" s="1"/>
  <c r="T16" i="39"/>
  <c r="T18" i="39" s="1"/>
  <c r="T43" i="40" s="1"/>
  <c r="T24" i="35"/>
  <c r="T19" i="40" s="1"/>
  <c r="R16" i="39"/>
  <c r="R18" i="39" s="1"/>
  <c r="R43" i="40" s="1"/>
  <c r="R24" i="35"/>
  <c r="R19" i="40" s="1"/>
  <c r="P16" i="39"/>
  <c r="P18" i="39" s="1"/>
  <c r="P43" i="40" s="1"/>
  <c r="P24" i="35"/>
  <c r="P19" i="40" s="1"/>
  <c r="N16" i="39"/>
  <c r="N18" i="39" s="1"/>
  <c r="N43" i="40" s="1"/>
  <c r="N24" i="35"/>
  <c r="N19" i="40" s="1"/>
  <c r="L16" i="39"/>
  <c r="L18" i="39" s="1"/>
  <c r="L43" i="40" s="1"/>
  <c r="L24" i="35"/>
  <c r="L19" i="40" s="1"/>
  <c r="J16" i="39"/>
  <c r="J18" i="39" s="1"/>
  <c r="J43" i="40" s="1"/>
  <c r="J24" i="35"/>
  <c r="J19" i="40" s="1"/>
  <c r="H16" i="39"/>
  <c r="H18" i="39" s="1"/>
  <c r="H43" i="40" s="1"/>
  <c r="H24" i="35"/>
  <c r="H19" i="40" s="1"/>
  <c r="BD24" i="40"/>
  <c r="BD24" i="38"/>
  <c r="BD28" i="38" s="1"/>
  <c r="BD39" i="40" s="1"/>
  <c r="BB24" i="40"/>
  <c r="BB24" i="38"/>
  <c r="BB28" i="38" s="1"/>
  <c r="BB39" i="40" s="1"/>
  <c r="AZ24" i="40"/>
  <c r="AZ24" i="38"/>
  <c r="AZ28" i="38" s="1"/>
  <c r="AZ39" i="40" s="1"/>
  <c r="AX24" i="40"/>
  <c r="AX24" i="38"/>
  <c r="AX28" i="38" s="1"/>
  <c r="AX39" i="40" s="1"/>
  <c r="AV24" i="40"/>
  <c r="AV24" i="38"/>
  <c r="AV28" i="38" s="1"/>
  <c r="AV39" i="40" s="1"/>
  <c r="AT24" i="40"/>
  <c r="AT24" i="38"/>
  <c r="AT28" i="38" s="1"/>
  <c r="AT39" i="40" s="1"/>
  <c r="AR24" i="40"/>
  <c r="AR24" i="38"/>
  <c r="AR28" i="38" s="1"/>
  <c r="AR39" i="40" s="1"/>
  <c r="AP24" i="40"/>
  <c r="AP24" i="38"/>
  <c r="AP28" i="38" s="1"/>
  <c r="AP39" i="40" s="1"/>
  <c r="AN24" i="40"/>
  <c r="AN24" i="38"/>
  <c r="AN28" i="38" s="1"/>
  <c r="AN39" i="40" s="1"/>
  <c r="AL24" i="40"/>
  <c r="AL24" i="38"/>
  <c r="AL28" i="38" s="1"/>
  <c r="AL39" i="40" s="1"/>
  <c r="AJ24" i="40"/>
  <c r="AJ24" i="38"/>
  <c r="AJ28" i="38" s="1"/>
  <c r="AJ39" i="40" s="1"/>
  <c r="AH24" i="40"/>
  <c r="AH24" i="38"/>
  <c r="AH28" i="38" s="1"/>
  <c r="AH39" i="40" s="1"/>
  <c r="AF24" i="40"/>
  <c r="AF24" i="38"/>
  <c r="AF28" i="38" s="1"/>
  <c r="AF39" i="40" s="1"/>
  <c r="AD24" i="40"/>
  <c r="AD24" i="38"/>
  <c r="AD28" i="38" s="1"/>
  <c r="AD39" i="40" s="1"/>
  <c r="AB24" i="40"/>
  <c r="AB24" i="38"/>
  <c r="AB28" i="38" s="1"/>
  <c r="AB39" i="40" s="1"/>
  <c r="Z24" i="40"/>
  <c r="Z24" i="38"/>
  <c r="Z28" i="38" s="1"/>
  <c r="Z39" i="40" s="1"/>
  <c r="V24" i="40"/>
  <c r="V24" i="38"/>
  <c r="V28" i="38" s="1"/>
  <c r="V39" i="40" s="1"/>
  <c r="T24" i="40"/>
  <c r="T24" i="38"/>
  <c r="T28" i="38" s="1"/>
  <c r="T39" i="40" s="1"/>
  <c r="R24" i="40"/>
  <c r="R24" i="38"/>
  <c r="R28" i="38" s="1"/>
  <c r="R39" i="40" s="1"/>
  <c r="P24" i="40"/>
  <c r="P24" i="38"/>
  <c r="P28" i="38" s="1"/>
  <c r="P39" i="40" s="1"/>
  <c r="N24" i="40"/>
  <c r="N24" i="38"/>
  <c r="N28" i="38" s="1"/>
  <c r="N39" i="40" s="1"/>
  <c r="L24" i="40"/>
  <c r="L24" i="38"/>
  <c r="L28" i="38" s="1"/>
  <c r="L39" i="40" s="1"/>
  <c r="J24" i="40"/>
  <c r="J24" i="38"/>
  <c r="J28" i="38" s="1"/>
  <c r="J39" i="40" s="1"/>
  <c r="H24" i="40"/>
  <c r="H24" i="38"/>
  <c r="H28" i="38" s="1"/>
  <c r="H39" i="40" s="1"/>
  <c r="BG17" i="35"/>
  <c r="BF17" i="35"/>
  <c r="BG18" i="35"/>
  <c r="BF18" i="35"/>
  <c r="BG19" i="35"/>
  <c r="BF19" i="35"/>
  <c r="BG20" i="35"/>
  <c r="BF20" i="35"/>
  <c r="X22" i="35"/>
  <c r="F22"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F35" i="40" s="1"/>
  <c r="BG39" i="37"/>
  <c r="BG46" i="38"/>
  <c r="BG48" i="38" s="1"/>
  <c r="X48" i="38"/>
  <c r="X41" i="40" s="1"/>
  <c r="BG41" i="40" s="1"/>
  <c r="BH46" i="38"/>
  <c r="BH48" i="38" s="1"/>
  <c r="AK48" i="38"/>
  <c r="AK41" i="40" s="1"/>
  <c r="BH41" i="40" s="1"/>
  <c r="BF46" i="38"/>
  <c r="BF48" i="38" s="1"/>
  <c r="E48" i="38"/>
  <c r="E41" i="40" s="1"/>
  <c r="BF41" i="40" s="1"/>
  <c r="BF33" i="40" l="1"/>
  <c r="D30" i="43"/>
  <c r="D26" i="43"/>
  <c r="D38" i="43"/>
  <c r="D32" i="43"/>
  <c r="I24" i="35"/>
  <c r="I19" i="40" s="1"/>
  <c r="D40" i="43"/>
  <c r="D18" i="43"/>
  <c r="AS24" i="35"/>
  <c r="AS19" i="40" s="1"/>
  <c r="BH22" i="35"/>
  <c r="BH19" i="40"/>
  <c r="AC24" i="35"/>
  <c r="AC19" i="40" s="1"/>
  <c r="U24" i="35"/>
  <c r="U19" i="40" s="1"/>
  <c r="M24" i="35"/>
  <c r="M19" i="40" s="1"/>
  <c r="BF46" i="35"/>
  <c r="F48" i="35"/>
  <c r="F26" i="40" s="1"/>
  <c r="BF26" i="40" s="1"/>
  <c r="F24" i="40"/>
  <c r="BF24" i="40" s="1"/>
  <c r="BF41" i="35"/>
  <c r="F24" i="38"/>
  <c r="BF22" i="35"/>
  <c r="F16" i="39"/>
  <c r="F24" i="35"/>
  <c r="F19" i="40" s="1"/>
  <c r="BF19" i="40" s="1"/>
  <c r="BH15" i="35"/>
  <c r="AK17" i="40"/>
  <c r="BH17" i="40" s="1"/>
  <c r="BH46" i="35"/>
  <c r="AK48" i="35"/>
  <c r="AK26" i="40" s="1"/>
  <c r="BH26" i="40" s="1"/>
  <c r="BG15" i="35"/>
  <c r="X17" i="40"/>
  <c r="BG17" i="40" s="1"/>
  <c r="BH16" i="39"/>
  <c r="BH18" i="39" s="1"/>
  <c r="AK18" i="39"/>
  <c r="AK43" i="40" s="1"/>
  <c r="BH43" i="40" s="1"/>
  <c r="BF15" i="35"/>
  <c r="F17" i="40"/>
  <c r="BF17" i="40" s="1"/>
  <c r="BG46" i="35"/>
  <c r="X48" i="35"/>
  <c r="X26" i="40" s="1"/>
  <c r="BG26" i="40" s="1"/>
  <c r="BG41" i="35"/>
  <c r="X24" i="40"/>
  <c r="X24" i="38"/>
  <c r="BG24" i="38" s="1"/>
  <c r="X16" i="39"/>
  <c r="BG22" i="35"/>
  <c r="BG24" i="35" s="1"/>
  <c r="X24" i="35"/>
  <c r="X19" i="40" s="1"/>
  <c r="BG19" i="40" s="1"/>
  <c r="AK24" i="40"/>
  <c r="BH24" i="40" s="1"/>
  <c r="BH41" i="35"/>
  <c r="AK24" i="38"/>
  <c r="BH24" i="38" s="1"/>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31" i="40" l="1"/>
  <c r="D28" i="43"/>
  <c r="BH24" i="35"/>
  <c r="BG28" i="38"/>
  <c r="X28" i="38"/>
  <c r="X39" i="40" s="1"/>
  <c r="BG39" i="40" s="1"/>
  <c r="BG48" i="35"/>
  <c r="BH48" i="35"/>
  <c r="D24" i="43"/>
  <c r="D22" i="43"/>
  <c r="BF24" i="38"/>
  <c r="F28" i="38"/>
  <c r="F39" i="40" s="1"/>
  <c r="BF48" i="35"/>
  <c r="BH28" i="38"/>
  <c r="F18" i="39"/>
  <c r="F43" i="40" s="1"/>
  <c r="BF43" i="40" s="1"/>
  <c r="BF16" i="39"/>
  <c r="BF18" i="39" s="1"/>
  <c r="BF28" i="38"/>
  <c r="X18" i="39"/>
  <c r="X43" i="40" s="1"/>
  <c r="BG43" i="40" s="1"/>
  <c r="BG16" i="39"/>
  <c r="BG18"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12" i="38" s="1"/>
  <c r="BF39" i="40" l="1"/>
  <c r="D36" i="43"/>
  <c r="D36" i="37"/>
  <c r="D35" i="35"/>
  <c r="D30" i="35"/>
  <c r="D19"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13" i="38"/>
  <c r="D13"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6" i="35"/>
  <c r="D41" i="35"/>
  <c r="D24" i="38" s="1"/>
  <c r="D22" i="35"/>
  <c r="D16" i="39" s="1"/>
  <c r="D15" i="35"/>
  <c r="D17" i="40" s="1"/>
  <c r="D26" i="38" l="1"/>
  <c r="D41" i="37"/>
  <c r="D43" i="37" s="1"/>
  <c r="D35" i="40" s="1"/>
  <c r="D48" i="35"/>
  <c r="D26" i="40" s="1"/>
  <c r="D18" i="39"/>
  <c r="D43" i="40" s="1"/>
  <c r="D24"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4"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10" i="35"/>
  <c r="G11" i="40"/>
  <c r="G10" i="39"/>
  <c r="G10" i="38"/>
  <c r="G17" i="38" s="1"/>
  <c r="G19" i="38" s="1"/>
  <c r="G37" i="40" s="1"/>
  <c r="G10" i="37"/>
  <c r="G10" i="36"/>
  <c r="G10" i="35"/>
  <c r="I11" i="40"/>
  <c r="I10" i="39"/>
  <c r="I10" i="38"/>
  <c r="I17" i="38" s="1"/>
  <c r="I19" i="38" s="1"/>
  <c r="I37" i="40" s="1"/>
  <c r="I10" i="37"/>
  <c r="I10" i="36"/>
  <c r="I10" i="35"/>
  <c r="K11" i="40"/>
  <c r="K10" i="39"/>
  <c r="K10" i="38"/>
  <c r="K17" i="38" s="1"/>
  <c r="K19" i="38" s="1"/>
  <c r="K37" i="40" s="1"/>
  <c r="K10" i="37"/>
  <c r="K10" i="36"/>
  <c r="K10" i="35"/>
  <c r="M11" i="40"/>
  <c r="M10" i="39"/>
  <c r="M10" i="38"/>
  <c r="M17" i="38" s="1"/>
  <c r="M19" i="38" s="1"/>
  <c r="M37" i="40" s="1"/>
  <c r="M10" i="37"/>
  <c r="M10" i="36"/>
  <c r="M10" i="35"/>
  <c r="O11" i="40"/>
  <c r="O10" i="39"/>
  <c r="O10" i="38"/>
  <c r="O17" i="38" s="1"/>
  <c r="O19" i="38" s="1"/>
  <c r="O37" i="40" s="1"/>
  <c r="O10" i="37"/>
  <c r="O10" i="36"/>
  <c r="O10" i="35"/>
  <c r="Q11" i="40"/>
  <c r="Q10" i="39"/>
  <c r="Q10" i="38"/>
  <c r="Q17" i="38" s="1"/>
  <c r="Q19" i="38" s="1"/>
  <c r="Q37" i="40" s="1"/>
  <c r="Q10" i="37"/>
  <c r="Q10" i="36"/>
  <c r="Q10" i="35"/>
  <c r="S11" i="40"/>
  <c r="S10" i="39"/>
  <c r="S10" i="38"/>
  <c r="S17" i="38" s="1"/>
  <c r="S19" i="38" s="1"/>
  <c r="S37" i="40" s="1"/>
  <c r="S10" i="37"/>
  <c r="S10" i="36"/>
  <c r="S10" i="35"/>
  <c r="U11" i="40"/>
  <c r="U10" i="39"/>
  <c r="U10" i="38"/>
  <c r="U17" i="38" s="1"/>
  <c r="U19" i="38" s="1"/>
  <c r="U37" i="40" s="1"/>
  <c r="U10" i="37"/>
  <c r="U10" i="36"/>
  <c r="U10" i="35"/>
  <c r="W11" i="40"/>
  <c r="W10" i="39"/>
  <c r="W10" i="38"/>
  <c r="W17" i="38" s="1"/>
  <c r="W19" i="38" s="1"/>
  <c r="W37" i="40" s="1"/>
  <c r="W10" i="37"/>
  <c r="W10" i="36"/>
  <c r="W10" i="35"/>
  <c r="Y11" i="40"/>
  <c r="Y10" i="39"/>
  <c r="Y10" i="38"/>
  <c r="Y17" i="38" s="1"/>
  <c r="Y19" i="38" s="1"/>
  <c r="Y37" i="40" s="1"/>
  <c r="Y10" i="37"/>
  <c r="Y10" i="36"/>
  <c r="Y10" i="35"/>
  <c r="AA11" i="40"/>
  <c r="AA10" i="39"/>
  <c r="AA10" i="38"/>
  <c r="AA17" i="38" s="1"/>
  <c r="AA19" i="38" s="1"/>
  <c r="AA37" i="40" s="1"/>
  <c r="AA10" i="37"/>
  <c r="AA10" i="36"/>
  <c r="AA10" i="35"/>
  <c r="AC11" i="40"/>
  <c r="AC10" i="39"/>
  <c r="AC10" i="38"/>
  <c r="AC17" i="38" s="1"/>
  <c r="AC19" i="38" s="1"/>
  <c r="AC37" i="40" s="1"/>
  <c r="AC10" i="37"/>
  <c r="AC10" i="36"/>
  <c r="AC10" i="35"/>
  <c r="AE11" i="40"/>
  <c r="AE10" i="39"/>
  <c r="AE10" i="38"/>
  <c r="AE17" i="38" s="1"/>
  <c r="AE19" i="38" s="1"/>
  <c r="AE37" i="40" s="1"/>
  <c r="AE10" i="37"/>
  <c r="AE10" i="36"/>
  <c r="AE10" i="35"/>
  <c r="AG11" i="40"/>
  <c r="AG10" i="39"/>
  <c r="AG10" i="38"/>
  <c r="AG17" i="38" s="1"/>
  <c r="AG19" i="38" s="1"/>
  <c r="AG37" i="40" s="1"/>
  <c r="AG10" i="37"/>
  <c r="AG10" i="36"/>
  <c r="AG10" i="35"/>
  <c r="AI11" i="40"/>
  <c r="AI10" i="39"/>
  <c r="AI10" i="38"/>
  <c r="AI17" i="38" s="1"/>
  <c r="AI19" i="38" s="1"/>
  <c r="AI37" i="40" s="1"/>
  <c r="AI10" i="37"/>
  <c r="AI10" i="36"/>
  <c r="AI10" i="35"/>
  <c r="AK11" i="40"/>
  <c r="AK10" i="39"/>
  <c r="AK10" i="38"/>
  <c r="AK17" i="38" s="1"/>
  <c r="AK10" i="37"/>
  <c r="AK10" i="36"/>
  <c r="AK10" i="35"/>
  <c r="AM11" i="40"/>
  <c r="AM10" i="39"/>
  <c r="AM10" i="38"/>
  <c r="AM17" i="38" s="1"/>
  <c r="AM19" i="38" s="1"/>
  <c r="AM37" i="40" s="1"/>
  <c r="AM10" i="37"/>
  <c r="AM10" i="36"/>
  <c r="AM10" i="35"/>
  <c r="AO11" i="40"/>
  <c r="AO10" i="39"/>
  <c r="AO10" i="38"/>
  <c r="AO17" i="38" s="1"/>
  <c r="AO19" i="38" s="1"/>
  <c r="AO37" i="40" s="1"/>
  <c r="AO10" i="37"/>
  <c r="AO10" i="36"/>
  <c r="AO10" i="35"/>
  <c r="AQ11" i="40"/>
  <c r="AQ10" i="39"/>
  <c r="AQ10" i="38"/>
  <c r="AQ17" i="38" s="1"/>
  <c r="AQ19" i="38" s="1"/>
  <c r="AQ37" i="40" s="1"/>
  <c r="AQ10" i="37"/>
  <c r="AQ10" i="36"/>
  <c r="AQ10" i="35"/>
  <c r="AS11" i="40"/>
  <c r="AS10" i="39"/>
  <c r="AS10" i="38"/>
  <c r="AS17" i="38" s="1"/>
  <c r="AS19" i="38" s="1"/>
  <c r="AS37" i="40" s="1"/>
  <c r="AS10" i="37"/>
  <c r="AS10" i="36"/>
  <c r="AS10" i="35"/>
  <c r="AU11" i="40"/>
  <c r="AU10" i="39"/>
  <c r="AU10" i="38"/>
  <c r="AU17" i="38" s="1"/>
  <c r="AU19" i="38" s="1"/>
  <c r="AU37" i="40" s="1"/>
  <c r="AU10" i="37"/>
  <c r="AU10" i="36"/>
  <c r="AU10" i="35"/>
  <c r="AW11" i="40"/>
  <c r="AW10" i="39"/>
  <c r="AW10" i="38"/>
  <c r="AW17" i="38" s="1"/>
  <c r="AW19" i="38" s="1"/>
  <c r="AW37" i="40" s="1"/>
  <c r="AW10" i="37"/>
  <c r="AW10" i="36"/>
  <c r="AW10" i="35"/>
  <c r="AY11" i="40"/>
  <c r="AY10" i="39"/>
  <c r="AY10" i="38"/>
  <c r="AY17" i="38" s="1"/>
  <c r="AY19" i="38" s="1"/>
  <c r="AY37" i="40" s="1"/>
  <c r="AY10" i="37"/>
  <c r="AY10" i="36"/>
  <c r="AY10" i="35"/>
  <c r="BA11" i="40"/>
  <c r="BA10" i="39"/>
  <c r="BA10" i="38"/>
  <c r="BA17" i="38" s="1"/>
  <c r="BA19" i="38" s="1"/>
  <c r="BA37" i="40" s="1"/>
  <c r="BA10" i="37"/>
  <c r="BA10" i="36"/>
  <c r="BA10" i="35"/>
  <c r="BC11" i="40"/>
  <c r="BC10" i="39"/>
  <c r="BC10" i="38"/>
  <c r="BC17" i="38" s="1"/>
  <c r="BC19" i="38" s="1"/>
  <c r="BC37" i="40" s="1"/>
  <c r="BC10" i="37"/>
  <c r="BC10" i="36"/>
  <c r="BC10" i="35"/>
  <c r="BE11" i="40"/>
  <c r="BE10" i="39"/>
  <c r="BE10" i="38"/>
  <c r="BE17" i="38" s="1"/>
  <c r="BE19" i="38" s="1"/>
  <c r="BE37" i="40" s="1"/>
  <c r="BE10" i="37"/>
  <c r="BE10" i="36"/>
  <c r="BE10" i="35"/>
  <c r="F11" i="40"/>
  <c r="F10" i="39"/>
  <c r="F10" i="38"/>
  <c r="F17" i="38" s="1"/>
  <c r="F19" i="38" s="1"/>
  <c r="F37" i="40" s="1"/>
  <c r="F10" i="37"/>
  <c r="F10" i="36"/>
  <c r="F10" i="35"/>
  <c r="H11" i="40"/>
  <c r="H10" i="39"/>
  <c r="H10" i="38"/>
  <c r="H17" i="38" s="1"/>
  <c r="H19" i="38" s="1"/>
  <c r="H37" i="40" s="1"/>
  <c r="H10" i="37"/>
  <c r="H10" i="36"/>
  <c r="H10" i="35"/>
  <c r="J10" i="37"/>
  <c r="J10" i="36"/>
  <c r="J11" i="40"/>
  <c r="J10" i="39"/>
  <c r="J10" i="38"/>
  <c r="J17" i="38" s="1"/>
  <c r="J19" i="38" s="1"/>
  <c r="J37" i="40" s="1"/>
  <c r="J10" i="35"/>
  <c r="L11" i="40"/>
  <c r="L10" i="39"/>
  <c r="L10" i="38"/>
  <c r="L17" i="38" s="1"/>
  <c r="L19" i="38" s="1"/>
  <c r="L37" i="40" s="1"/>
  <c r="L10" i="37"/>
  <c r="L10" i="36"/>
  <c r="L10" i="35"/>
  <c r="N11" i="40"/>
  <c r="N10" i="39"/>
  <c r="N10" i="38"/>
  <c r="N17" i="38" s="1"/>
  <c r="N19" i="38" s="1"/>
  <c r="N37" i="40" s="1"/>
  <c r="N10" i="37"/>
  <c r="N10" i="36"/>
  <c r="N10" i="35"/>
  <c r="P11" i="40"/>
  <c r="P10" i="39"/>
  <c r="P10" i="38"/>
  <c r="P17" i="38" s="1"/>
  <c r="P19" i="38" s="1"/>
  <c r="P37" i="40" s="1"/>
  <c r="P10" i="37"/>
  <c r="P10" i="36"/>
  <c r="P10" i="35"/>
  <c r="R10" i="37"/>
  <c r="R10" i="36"/>
  <c r="R11" i="40"/>
  <c r="R10" i="39"/>
  <c r="R10" i="38"/>
  <c r="R17" i="38" s="1"/>
  <c r="R19" i="38" s="1"/>
  <c r="R37" i="40" s="1"/>
  <c r="R10" i="35"/>
  <c r="T11" i="40"/>
  <c r="T10" i="39"/>
  <c r="T10" i="38"/>
  <c r="T17" i="38" s="1"/>
  <c r="T19" i="38" s="1"/>
  <c r="T37" i="40" s="1"/>
  <c r="T10" i="37"/>
  <c r="T10" i="36"/>
  <c r="T10" i="35"/>
  <c r="V11" i="40"/>
  <c r="V10" i="39"/>
  <c r="V10" i="38"/>
  <c r="V17" i="38" s="1"/>
  <c r="V19" i="38" s="1"/>
  <c r="V37" i="40" s="1"/>
  <c r="V10" i="37"/>
  <c r="V10" i="36"/>
  <c r="V10" i="35"/>
  <c r="X11" i="40"/>
  <c r="X10" i="39"/>
  <c r="X10" i="38"/>
  <c r="X17" i="38" s="1"/>
  <c r="X10" i="37"/>
  <c r="X10" i="36"/>
  <c r="X10" i="35"/>
  <c r="Z10" i="37"/>
  <c r="Z10" i="36"/>
  <c r="Z11" i="40"/>
  <c r="Z10" i="39"/>
  <c r="Z10" i="38"/>
  <c r="Z17" i="38" s="1"/>
  <c r="Z19" i="38" s="1"/>
  <c r="Z37" i="40" s="1"/>
  <c r="Z10" i="35"/>
  <c r="AB11" i="40"/>
  <c r="AB10" i="39"/>
  <c r="AB10" i="38"/>
  <c r="AB17" i="38" s="1"/>
  <c r="AB19" i="38" s="1"/>
  <c r="AB37" i="40" s="1"/>
  <c r="AB10" i="37"/>
  <c r="AB10" i="36"/>
  <c r="AB10" i="35"/>
  <c r="AD11" i="40"/>
  <c r="AD10" i="39"/>
  <c r="AD10" i="38"/>
  <c r="AD17" i="38" s="1"/>
  <c r="AD19" i="38" s="1"/>
  <c r="AD37" i="40" s="1"/>
  <c r="AD10" i="37"/>
  <c r="AD10" i="36"/>
  <c r="AD10" i="35"/>
  <c r="AF11" i="40"/>
  <c r="AF10" i="39"/>
  <c r="AF10" i="38"/>
  <c r="AF17" i="38" s="1"/>
  <c r="AF19" i="38" s="1"/>
  <c r="AF37" i="40" s="1"/>
  <c r="AF10" i="37"/>
  <c r="AF10" i="36"/>
  <c r="AF10" i="35"/>
  <c r="AH10" i="37"/>
  <c r="AH10" i="36"/>
  <c r="AH11" i="40"/>
  <c r="AH10" i="39"/>
  <c r="AH10" i="38"/>
  <c r="AH17" i="38" s="1"/>
  <c r="AH19" i="38" s="1"/>
  <c r="AH37" i="40" s="1"/>
  <c r="AH10" i="35"/>
  <c r="AJ11" i="40"/>
  <c r="AJ10" i="39"/>
  <c r="AJ10" i="38"/>
  <c r="AJ17" i="38" s="1"/>
  <c r="AJ19" i="38" s="1"/>
  <c r="AJ37" i="40" s="1"/>
  <c r="AJ10" i="37"/>
  <c r="AJ10" i="36"/>
  <c r="AJ10" i="35"/>
  <c r="AL11" i="40"/>
  <c r="AL10" i="39"/>
  <c r="AL10" i="38"/>
  <c r="AL17" i="38" s="1"/>
  <c r="AL19" i="38" s="1"/>
  <c r="AL37" i="40" s="1"/>
  <c r="AL10" i="37"/>
  <c r="AL10" i="36"/>
  <c r="AL10" i="35"/>
  <c r="AN11" i="40"/>
  <c r="AN10" i="39"/>
  <c r="AN10" i="38"/>
  <c r="AN17" i="38" s="1"/>
  <c r="AN19" i="38" s="1"/>
  <c r="AN37" i="40" s="1"/>
  <c r="AN10" i="37"/>
  <c r="AN10" i="36"/>
  <c r="AN10" i="35"/>
  <c r="AP10" i="37"/>
  <c r="AP11" i="40"/>
  <c r="AP10" i="39"/>
  <c r="AP10" i="38"/>
  <c r="AP17" i="38" s="1"/>
  <c r="AP19" i="38" s="1"/>
  <c r="AP37" i="40" s="1"/>
  <c r="AP10" i="36"/>
  <c r="AP10" i="35"/>
  <c r="AR11" i="40"/>
  <c r="AR10" i="39"/>
  <c r="AR10" i="38"/>
  <c r="AR17" i="38" s="1"/>
  <c r="AR19" i="38" s="1"/>
  <c r="AR37" i="40" s="1"/>
  <c r="AR10" i="37"/>
  <c r="AR10" i="36"/>
  <c r="AR10" i="35"/>
  <c r="AT11" i="40"/>
  <c r="AT10" i="39"/>
  <c r="AT10" i="38"/>
  <c r="AT17" i="38" s="1"/>
  <c r="AT19" i="38" s="1"/>
  <c r="AT37" i="40" s="1"/>
  <c r="AT10" i="37"/>
  <c r="AT10" i="36"/>
  <c r="AT10" i="35"/>
  <c r="AV11" i="40"/>
  <c r="AV10" i="39"/>
  <c r="AV10" i="38"/>
  <c r="AV17" i="38" s="1"/>
  <c r="AV19" i="38" s="1"/>
  <c r="AV37" i="40" s="1"/>
  <c r="AV10" i="37"/>
  <c r="AV10" i="36"/>
  <c r="AV10" i="35"/>
  <c r="AX10" i="37"/>
  <c r="AX11" i="40"/>
  <c r="AX10" i="39"/>
  <c r="AX10" i="38"/>
  <c r="AX17" i="38" s="1"/>
  <c r="AX19" i="38" s="1"/>
  <c r="AX37" i="40" s="1"/>
  <c r="AX10" i="36"/>
  <c r="AX10" i="35"/>
  <c r="AZ11" i="40"/>
  <c r="AZ10" i="39"/>
  <c r="AZ10" i="38"/>
  <c r="AZ17" i="38" s="1"/>
  <c r="AZ19" i="38" s="1"/>
  <c r="AZ37" i="40" s="1"/>
  <c r="AZ10" i="37"/>
  <c r="AZ10" i="36"/>
  <c r="AZ10" i="35"/>
  <c r="BB11" i="40"/>
  <c r="BB10" i="39"/>
  <c r="BB10" i="38"/>
  <c r="BB17" i="38" s="1"/>
  <c r="BB19" i="38" s="1"/>
  <c r="BB37" i="40" s="1"/>
  <c r="BB10" i="37"/>
  <c r="BB10" i="36"/>
  <c r="BB10" i="35"/>
  <c r="BD11" i="40"/>
  <c r="BD10" i="39"/>
  <c r="BD10" i="38"/>
  <c r="BD17" i="38" s="1"/>
  <c r="BD19" i="38" s="1"/>
  <c r="BD37" i="40" s="1"/>
  <c r="BD10" i="37"/>
  <c r="BD10" i="36"/>
  <c r="BD10"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10" i="35"/>
  <c r="BF10" i="37"/>
  <c r="BF11" i="40"/>
  <c r="BF10" i="39"/>
  <c r="BF10" i="38"/>
  <c r="BF10" i="36"/>
  <c r="BF10" i="35"/>
  <c r="BH11" i="40"/>
  <c r="BH10" i="39"/>
  <c r="BH10" i="38"/>
  <c r="BH10" i="37"/>
  <c r="BH10" i="36"/>
  <c r="BH10"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<sst xmlns="http://schemas.openxmlformats.org/spreadsheetml/2006/main" count="5456" uniqueCount="864">
  <si>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</si>
  <si>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</si>
  <si>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</si>
  <si>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</si>
  <si>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</si>
  <si>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</si>
  <si>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</si>
  <si>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</si>
  <si>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</si>
  <si>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</si>
  <si>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</si>
  <si>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</si>
  <si>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</si>
  <si>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</si>
  <si>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</si>
  <si>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</si>
  <si>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</si>
  <si>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</si>
  <si>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</si>
  <si>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</si>
  <si>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</si>
  <si>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</si>
  <si>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</si>
  <si>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</si>
  <si>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</si>
  <si>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</si>
  <si>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</si>
  <si>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</si>
  <si>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</si>
  <si>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</si>
  <si>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</si>
  <si>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</si>
  <si>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</si>
  <si>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</si>
  <si>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</si>
  <si>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</si>
  <si>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</si>
  <si>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</si>
  <si>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</si>
  <si>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</si>
  <si>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</si>
  <si>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</si>
  <si>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</si>
  <si>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</si>
  <si>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</si>
  <si>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</si>
  <si>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</si>
  <si>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</si>
  <si>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</si>
  <si>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</si>
  <si>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</si>
  <si>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</si>
  <si>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</si>
  <si>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</si>
  <si>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</si>
  <si>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</si>
  <si>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</si>
  <si>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</si>
  <si>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</si>
  <si>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</si>
  <si>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</si>
  <si>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</si>
  <si>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</si>
  <si>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</si>
  <si>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</si>
  <si>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</si>
  <si>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</si>
  <si>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</si>
  <si>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</si>
  <si>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</si>
  <si>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</si>
  <si>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</si>
  <si>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</si>
  <si>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</si>
  <si>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</si>
  <si>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</si>
  <si>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</si>
  <si>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</si>
  <si>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</si>
  <si>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</si>
  <si>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</si>
  <si>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</si>
  <si>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</si>
  <si>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</si>
  <si>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</si>
  <si>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</si>
  <si>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</si>
  <si>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</si>
  <si>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</si>
  <si>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</si>
  <si>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</si>
  <si>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</si>
  <si>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</si>
  <si>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</si>
  <si>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</si>
  <si>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</si>
  <si>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</si>
  <si>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</si>
  <si>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</si>
  <si>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</si>
  <si>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</si>
  <si>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</si>
  <si>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</si>
  <si>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</si>
  <si>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</si>
  <si>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</si>
  <si>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</si>
  <si>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</si>
  <si>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</si>
  <si>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</si>
  <si>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</si>
  <si>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</si>
  <si>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</si>
  <si>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</si>
  <si>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</si>
  <si>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</si>
  <si>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</si>
  <si>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</si>
  <si>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</si>
  <si>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</si>
  <si>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</si>
  <si>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</si>
  <si>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</si>
  <si>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</si>
  <si>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</si>
  <si>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</si>
  <si>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</si>
  <si>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</si>
  <si>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</si>
  <si>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</si>
  <si>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</si>
  <si>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</si>
  <si>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</si>
  <si>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</si>
  <si>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</si>
  <si>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</si>
  <si>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</si>
  <si>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</si>
  <si>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</si>
  <si>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</si>
  <si>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</si>
  <si>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</si>
  <si>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</si>
  <si>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</si>
  <si>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</si>
  <si>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</si>
  <si>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</si>
  <si>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</si>
  <si>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</si>
  <si>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</si>
  <si>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</si>
  <si>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</si>
  <si>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</si>
  <si>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</si>
  <si>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</si>
  <si>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</si>
  <si>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</si>
  <si>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</si>
  <si>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</si>
  <si>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</si>
  <si>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</si>
  <si>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</si>
  <si>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</si>
  <si>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</si>
  <si>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</si>
  <si>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</si>
  <si>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</si>
  <si>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</si>
  <si>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</si>
  <si>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</si>
  <si>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</si>
  <si>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</si>
  <si>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</si>
  <si>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</si>
  <si>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</si>
  <si>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</si>
  <si>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</si>
  <si>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</si>
  <si>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</si>
  <si>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</si>
  <si>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</si>
  <si>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</si>
  <si>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</si>
  <si>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</si>
  <si>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</si>
  <si>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</si>
  <si>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</si>
  <si>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</si>
  <si>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</si>
  <si>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</si>
  <si>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</si>
  <si>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</si>
  <si>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</si>
  <si>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</si>
  <si>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</si>
  <si>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</si>
  <si>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</si>
  <si>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</si>
  <si>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</si>
  <si>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</si>
  <si>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</si>
  <si>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</si>
  <si>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</si>
  <si>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</si>
  <si>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</si>
  <si>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</si>
  <si>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</si>
  <si>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</si>
  <si>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</si>
  <si>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</si>
  <si>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</si>
  <si>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</si>
  <si>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</si>
  <si>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</si>
  <si>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</si>
  <si>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</si>
  <si>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</si>
  <si>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</si>
  <si>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</si>
  <si>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</si>
  <si>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</si>
  <si>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</si>
  <si>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</si>
  <si>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</si>
  <si>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</si>
  <si>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</si>
  <si>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</si>
  <si>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</si>
  <si>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</si>
  <si>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</si>
  <si>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</si>
  <si>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</si>
  <si>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</si>
  <si>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</si>
  <si>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</si>
  <si>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</si>
  <si>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</si>
  <si>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</si>
  <si>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</si>
  <si>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</si>
  <si>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</si>
  <si>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</si>
  <si>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</si>
  <si>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</si>
  <si>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</si>
  <si>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</si>
  <si>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</si>
  <si>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</si>
  <si>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</si>
  <si>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</si>
  <si>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</si>
  <si>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</si>
  <si>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</si>
  <si>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</si>
  <si>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</si>
  <si>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</si>
  <si>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</si>
  <si>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</si>
  <si>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</si>
  <si>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</si>
  <si>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</si>
  <si>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</si>
  <si>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</si>
  <si>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</si>
  <si>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</si>
  <si>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</si>
  <si>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</si>
  <si>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</si>
  <si>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</si>
  <si>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</si>
  <si>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</si>
  <si>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</si>
  <si>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</si>
  <si>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</si>
  <si>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</si>
  <si>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</si>
  <si>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</si>
  <si>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</si>
  <si>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</si>
  <si>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</si>
  <si>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</si>
  <si>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</si>
  <si>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</si>
  <si>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</si>
  <si>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</si>
  <si>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</si>
  <si>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</si>
  <si>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</si>
  <si>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</si>
  <si>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</si>
  <si>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</si>
  <si>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</si>
  <si>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</si>
  <si>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</si>
  <si>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</si>
  <si>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</si>
  <si>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</si>
  <si>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</si>
  <si>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</si>
  <si>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</si>
  <si>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</si>
  <si>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</si>
  <si>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</si>
  <si>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</si>
  <si>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</si>
  <si>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</si>
  <si>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</si>
  <si>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</si>
  <si>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</si>
  <si>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</si>
  <si>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</si>
  <si>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</si>
  <si>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</si>
  <si>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</si>
  <si>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</si>
  <si>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</si>
  <si>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</si>
  <si>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</si>
  <si>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</si>
  <si>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</si>
  <si>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</si>
  <si>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</si>
  <si>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</si>
  <si>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</si>
  <si>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</si>
  <si>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</si>
  <si>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</si>
  <si>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</si>
  <si>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</si>
  <si>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</si>
  <si>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</si>
  <si>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</si>
  <si>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</si>
  <si>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</si>
  <si>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</si>
  <si>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</si>
  <si>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</si>
  <si>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</si>
  <si>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</si>
  <si>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</si>
  <si>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</si>
  <si>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</si>
  <si>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</si>
  <si>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</si>
  <si>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</si>
  <si>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</si>
  <si>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</si>
  <si>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</si>
  <si>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</si>
  <si>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</si>
  <si>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</si>
  <si>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</si>
  <si>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</si>
  <si>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</si>
  <si>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</si>
  <si>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</si>
  <si>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</si>
  <si>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</si>
  <si>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</si>
  <si>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</si>
  <si>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</si>
  <si>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</si>
  <si>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</si>
  <si>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</si>
  <si>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</si>
  <si>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</si>
  <si>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</si>
  <si>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</si>
  <si>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</si>
  <si>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</si>
  <si>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</si>
  <si>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</si>
  <si>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</si>
  <si>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</si>
  <si>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</si>
  <si>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</si>
  <si>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</si>
  <si>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</si>
  <si>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</si>
  <si>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</si>
  <si>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</si>
  <si>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</si>
  <si>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</si>
  <si>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</si>
  <si>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</si>
  <si>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</si>
  <si>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</si>
  <si>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</si>
  <si>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</si>
  <si>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</si>
  <si>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</si>
  <si>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</si>
  <si>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</si>
  <si>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</si>
  <si>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</si>
  <si>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</si>
  <si>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</si>
  <si>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</si>
  <si>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</si>
  <si>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</si>
  <si>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</si>
  <si>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</si>
  <si>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</si>
  <si>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</si>
  <si>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</si>
  <si>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</si>
  <si>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</si>
  <si>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</si>
  <si>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</si>
  <si>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</si>
  <si>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</si>
  <si>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</si>
  <si>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</si>
  <si>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</si>
  <si>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</si>
  <si>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</si>
  <si>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</si>
  <si>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</si>
  <si>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</si>
  <si>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</si>
  <si>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</si>
  <si>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</si>
  <si>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</si>
  <si>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</si>
  <si>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</si>
  <si>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</si>
  <si>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</si>
  <si>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</si>
  <si>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</si>
  <si>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</si>
  <si>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</si>
  <si>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</si>
  <si>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</si>
  <si>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</si>
  <si>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</si>
  <si>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</si>
  <si>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</si>
  <si>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</si>
  <si>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</si>
  <si>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</si>
  <si>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</si>
  <si>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</si>
  <si>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</si>
  <si>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</si>
  <si>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</si>
  <si>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</si>
  <si>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</si>
  <si>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</si>
  <si>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</si>
  <si>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</si>
  <si>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</si>
  <si>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</si>
  <si>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</si>
  <si>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</si>
  <si>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</si>
  <si>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</si>
  <si>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</si>
  <si>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</si>
  <si>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</si>
  <si>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</si>
  <si>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</si>
  <si>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</si>
  <si>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</si>
  <si>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</si>
  <si>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</si>
  <si>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</si>
  <si>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</si>
  <si>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</si>
  <si>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</si>
  <si>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</si>
  <si>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</si>
  <si>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</si>
  <si>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</si>
  <si>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</si>
  <si>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</si>
  <si>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</si>
  <si>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</si>
  <si>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</si>
  <si>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</si>
  <si>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</si>
  <si>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</si>
  <si>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</si>
  <si>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</si>
  <si>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</si>
  <si>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</si>
  <si>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</si>
  <si>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</si>
  <si>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</si>
  <si>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</si>
  <si>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</si>
  <si>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</si>
  <si>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</si>
  <si>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</si>
  <si>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</si>
  <si>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</si>
  <si>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</si>
  <si>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</si>
  <si>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</si>
  <si>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</si>
  <si>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</si>
  <si>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</si>
  <si>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</si>
  <si>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</si>
  <si>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</si>
  <si>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</si>
  <si>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</si>
  <si>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</si>
  <si>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</si>
  <si>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</si>
  <si>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</si>
  <si>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</si>
  <si>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</si>
  <si>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</si>
  <si>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</si>
  <si>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</si>
  <si>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</si>
  <si>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</si>
  <si>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</si>
  <si>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</si>
  <si>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</si>
  <si>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</si>
  <si>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</si>
  <si>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</si>
  <si>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</si>
  <si>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</si>
  <si>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</si>
  <si>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</si>
  <si>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</si>
  <si>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</si>
  <si>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</si>
  <si>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</si>
  <si>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</si>
  <si>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</si>
  <si>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</si>
  <si>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</si>
  <si>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</si>
  <si>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</si>
  <si>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</si>
  <si>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</si>
  <si>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</si>
  <si>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</si>
  <si>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</si>
  <si>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</si>
  <si>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</si>
  <si>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</si>
  <si>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</si>
  <si>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</si>
  <si>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</si>
  <si>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</si>
  <si>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</si>
  <si>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</si>
  <si>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</si>
  <si>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</si>
  <si>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</si>
  <si>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</si>
  <si>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</si>
  <si>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</si>
  <si>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</si>
  <si>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</si>
  <si>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</si>
  <si>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</si>
  <si>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</si>
  <si>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</si>
  <si>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</si>
  <si>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</si>
  <si>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</si>
  <si>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</si>
  <si>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</si>
  <si>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</si>
  <si>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</si>
  <si>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</si>
  <si>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</si>
  <si>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</si>
  <si>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</si>
  <si>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</si>
  <si>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</si>
  <si>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</si>
  <si>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</si>
  <si>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</si>
  <si>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</si>
  <si>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</si>
  <si>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</si>
  <si>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</si>
  <si>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</si>
  <si>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</si>
  <si>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</si>
  <si>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</si>
  <si>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</si>
  <si>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</si>
  <si>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</si>
  <si>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</si>
  <si>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</si>
  <si>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</si>
  <si>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</si>
  <si>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</si>
  <si>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</si>
  <si>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</si>
  <si>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</si>
  <si>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</si>
  <si>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</si>
  <si>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</si>
  <si>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</si>
  <si>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</si>
  <si>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</si>
  <si>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</si>
  <si>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</si>
  <si>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</si>
  <si>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</si>
  <si>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</si>
  <si>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</si>
  <si>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</si>
  <si>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</si>
  <si>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</si>
  <si>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</si>
  <si>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</si>
  <si>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</si>
  <si>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</si>
  <si>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</si>
  <si>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</si>
  <si>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</si>
  <si>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</si>
  <si>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</si>
  <si>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</si>
  <si>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</si>
  <si>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</si>
  <si>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</si>
  <si>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</si>
  <si>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</si>
  <si>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</si>
  <si>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</si>
  <si>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</si>
  <si>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</si>
  <si>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</si>
  <si>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</si>
  <si>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</si>
  <si>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</si>
  <si>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</si>
  <si>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</si>
  <si>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</si>
  <si>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</si>
  <si>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</si>
  <si>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</si>
  <si>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</si>
  <si>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</si>
  <si>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</si>
  <si>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</si>
  <si>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</si>
  <si>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</si>
  <si>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</si>
  <si>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</si>
  <si>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</si>
  <si>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</si>
  <si>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</si>
  <si>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</si>
  <si>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</si>
  <si>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</si>
  <si>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</si>
  <si>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</si>
  <si>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</si>
  <si>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</si>
  <si>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</si>
  <si>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</si>
  <si>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</si>
  <si>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</si>
  <si>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</si>
  <si>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</si>
  <si>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</si>
  <si>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</si>
  <si>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</si>
  <si>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</si>
  <si>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</si>
  <si>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</si>
  <si>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</si>
  <si>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</si>
  <si>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</si>
  <si>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</si>
  <si>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</si>
  <si>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</si>
  <si>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</si>
  <si>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</si>
  <si>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</si>
  <si>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</si>
  <si>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</si>
  <si>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</si>
  <si>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</si>
  <si>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</si>
  <si>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</si>
  <si>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</si>
  <si>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</si>
  <si>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</si>
  <si>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</si>
  <si>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</si>
  <si>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</si>
  <si>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</si>
  <si>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</si>
  <si>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</si>
  <si>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</si>
  <si>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</si>
  <si>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</si>
  <si>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</si>
  <si>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</si>
  <si>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</si>
  <si>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</si>
  <si>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</si>
  <si>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</si>
  <si>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</si>
  <si>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</si>
  <si>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</si>
  <si>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</si>
  <si>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</si>
  <si>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</si>
  <si>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</si>
  <si>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</si>
  <si>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</si>
  <si>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</si>
  <si>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</si>
  <si>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</si>
  <si>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</si>
  <si>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</si>
  <si>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</si>
  <si>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</si>
  <si>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</si>
  <si>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</si>
  <si>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</si>
  <si>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</si>
  <si>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</si>
  <si>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</si>
  <si>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</si>
  <si>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</si>
  <si>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</si>
  <si>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</si>
  <si>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</si>
  <si>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</si>
  <si>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</si>
  <si>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</si>
  <si>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</si>
  <si>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</si>
  <si>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</si>
  <si>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</si>
  <si>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</si>
  <si>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</si>
  <si>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</si>
  <si>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</si>
  <si>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</si>
  <si>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</si>
  <si>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</si>
  <si>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</si>
  <si>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</si>
  <si>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</si>
  <si>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</si>
  <si>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</si>
  <si>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</si>
  <si>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</si>
  <si>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</si>
  <si>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</si>
  <si>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</si>
  <si>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</si>
  <si>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</si>
  <si>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</si>
  <si>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</si>
  <si>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</si>
  <si>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</si>
  <si>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</si>
  <si>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</si>
  <si>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</si>
  <si>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</si>
  <si>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</si>
  <si>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</si>
  <si>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</si>
  <si>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</si>
  <si>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</si>
  <si>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</si>
  <si>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</si>
  <si>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</si>
  <si>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</si>
  <si>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</si>
  <si>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</si>
  <si>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</si>
  <si>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</si>
  <si>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</si>
  <si>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</si>
  <si>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</si>
  <si>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</si>
  <si>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</si>
  <si>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</si>
  <si>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</si>
  <si>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</si>
  <si>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</si>
  <si>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</si>
  <si>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</si>
  <si>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</si>
  <si>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</si>
  <si>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</si>
  <si>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</si>
  <si>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</si>
  <si>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</si>
  <si>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</si>
  <si>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</si>
  <si>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</si>
  <si>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</si>
  <si>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</si>
  <si>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</si>
  <si>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</si>
  <si>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</si>
  <si>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</si>
  <si>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</si>
  <si>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</si>
  <si>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</si>
  <si>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</si>
  <si>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</si>
  <si>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</si>
  <si>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</si>
  <si>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</si>
  <si>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</si>
  <si>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</si>
  <si>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</si>
  <si>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</si>
  <si>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</si>
  <si>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</si>
  <si>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</si>
  <si>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</si>
  <si>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</si>
  <si>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</si>
  <si>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</si>
  <si>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</si>
  <si>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</si>
  <si>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</si>
  <si>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</si>
  <si>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</si>
  <si>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</si>
  <si>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</si>
  <si>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</si>
  <si>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</si>
  <si>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</si>
  <si>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</si>
  <si>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</si>
  <si>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</si>
  <si>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</si>
  <si>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</si>
  <si>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</si>
  <si>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</si>
  <si>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</si>
  <si>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</si>
  <si>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</si>
  <si>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</si>
  <si>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</si>
  <si>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</si>
  <si>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</si>
  <si>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</si>
  <si>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</si>
  <si>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</si>
  <si>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</si>
  <si>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</si>
  <si>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</si>
  <si>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</si>
  <si>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</si>
  <si>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</si>
  <si>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</si>
  <si>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</si>
  <si>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</si>
  <si>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</si>
  <si>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</si>
  <si>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</si>
  <si>
    <t>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</si>
</sst>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3"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35">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6" fillId="0" borderId="0" xfId="0" applyFont="1"/>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xf numFmtId="0" fontId="6"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42" sqref="C42"/>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19" t="s">
        <v>71</v>
      </c>
      <c r="C5" s="220"/>
      <c r="D5" s="221"/>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23"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2020 fonctionnelle'!$C$3:$BC$47,3,0)</f>
        <v>84676.800000000003</v>
      </c>
    </row>
    <row r="9" spans="1:3" x14ac:dyDescent="0.25">
      <c r="A9" s="64"/>
      <c r="B9" s="67" t="s">
        <v>311</v>
      </c>
      <c r="C9" s="4">
        <f>HLOOKUP($B$4,'4.11 Comptes 2020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2020 fonctionnelle'!$C$3:$BC$47,7,0)</f>
        <v>1519.85</v>
      </c>
    </row>
    <row r="13" spans="1:3" x14ac:dyDescent="0.25">
      <c r="A13" s="64"/>
      <c r="B13" s="67" t="s">
        <v>311</v>
      </c>
      <c r="C13" s="4">
        <f>HLOOKUP($B$4,'4.11 Comptes 2020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2020 fonctionnelle'!$C$3:$BC$47,11,0)</f>
        <v>165682.22</v>
      </c>
    </row>
    <row r="17" spans="1:3" x14ac:dyDescent="0.25">
      <c r="A17" s="65"/>
      <c r="B17" s="67" t="s">
        <v>311</v>
      </c>
      <c r="C17" s="4">
        <f>HLOOKUP($B$4,'4.11 Comptes 2020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2020 fonctionnelle'!$C$3:$BC$47,15,0)</f>
        <v>6915.7</v>
      </c>
    </row>
    <row r="21" spans="1:3" x14ac:dyDescent="0.25">
      <c r="A21" s="65"/>
      <c r="B21" s="67" t="s">
        <v>311</v>
      </c>
      <c r="C21" s="4">
        <f>HLOOKUP($B$4,'4.11 Comptes 2020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2020 fonctionnelle'!$C$3:$BC$47,19,0)</f>
        <v>396.15</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2020 fonctionnelle'!$C$3:$BC$47,23,0)</f>
        <v>71362.5</v>
      </c>
    </row>
    <row r="29" spans="1:3" x14ac:dyDescent="0.25">
      <c r="A29" s="65"/>
      <c r="B29" s="67" t="s">
        <v>311</v>
      </c>
      <c r="C29" s="4">
        <f>HLOOKUP($B$4,'4.11 Comptes 2020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2020 fonctionnelle'!$C$3:$BC$47,27,0)</f>
        <v>32920.85</v>
      </c>
    </row>
    <row r="33" spans="1:3" x14ac:dyDescent="0.25">
      <c r="A33" s="65"/>
      <c r="B33" s="67" t="s">
        <v>311</v>
      </c>
      <c r="C33" s="4">
        <f>HLOOKUP($B$4,'4.11 Comptes 2020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2020 fonctionnelle'!$C$3:$BC$47,31,0)</f>
        <v>79548.850000000006</v>
      </c>
    </row>
    <row r="37" spans="1:3" x14ac:dyDescent="0.25">
      <c r="A37" s="65"/>
      <c r="B37" s="67" t="s">
        <v>311</v>
      </c>
      <c r="C37" s="4">
        <f>HLOOKUP($B$4,'4.11 Comptes 2020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2020 fonctionnelle'!$C$3:$BC$47,35,0)</f>
        <v>189923.65</v>
      </c>
    </row>
    <row r="41" spans="1:3" x14ac:dyDescent="0.25">
      <c r="A41" s="65"/>
      <c r="B41" s="67" t="s">
        <v>311</v>
      </c>
      <c r="C41" s="4">
        <f>HLOOKUP($B$4,'4.11 Comptes 2020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2020 fonctionnelle'!$C$3:$BC$47,39,0)</f>
        <v>10050.94</v>
      </c>
    </row>
    <row r="45" spans="1:3" ht="15" customHeight="1" x14ac:dyDescent="0.35">
      <c r="A45" s="66"/>
      <c r="B45" s="67" t="s">
        <v>311</v>
      </c>
      <c r="C45" s="4">
        <f>HLOOKUP($B$4,'4.11 Comptes 2020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2020 fonctionnelle'!$C$3:$BC$47,43,0)</f>
        <v>642997.50999999989</v>
      </c>
    </row>
    <row r="49" spans="1:3" ht="21" x14ac:dyDescent="0.35">
      <c r="A49" s="66"/>
      <c r="B49" s="67" t="s">
        <v>311</v>
      </c>
      <c r="C49" s="4">
        <f>HLOOKUP($B$4,'4.11 Comptes 2020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19"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6" t="s">
        <v>740</v>
      </c>
      <c r="H2" s="217"/>
      <c r="I2" s="217"/>
      <c r="J2" s="217"/>
      <c r="K2" s="218"/>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AB196" activePane="bottomRight" state="frozen"/>
      <selection pane="topRight" activeCell="E1" sqref="E1"/>
      <selection pane="bottomLeft" activeCell="A4" sqref="A4"/>
      <selection pane="bottomRight" activeCell="AB217" sqref="AB217"/>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0">G6+G14+G24+G30+G40+G47+G53+G61+G68+G79+G85+G96+G107</f>
        <v>2965973.02</v>
      </c>
      <c r="H4" s="87">
        <f t="shared" si="0"/>
        <v>6296669.6499999994</v>
      </c>
      <c r="I4" s="87">
        <f t="shared" si="0"/>
        <v>7297548.3099999996</v>
      </c>
      <c r="J4" s="87">
        <f t="shared" si="0"/>
        <v>35834571.81000001</v>
      </c>
      <c r="K4" s="87">
        <f t="shared" si="0"/>
        <v>32179357.799999997</v>
      </c>
      <c r="L4" s="87">
        <f t="shared" si="0"/>
        <v>21417104.540000003</v>
      </c>
      <c r="M4" s="87">
        <f t="shared" si="0"/>
        <v>177597654.23000002</v>
      </c>
      <c r="N4" s="87">
        <f t="shared" si="0"/>
        <v>10939291.530000001</v>
      </c>
      <c r="O4" s="87">
        <f t="shared" si="0"/>
        <v>1636254.66</v>
      </c>
      <c r="P4" s="87">
        <f t="shared" si="0"/>
        <v>53521100.93</v>
      </c>
      <c r="Q4" s="87">
        <f t="shared" si="0"/>
        <v>5011865.0500000007</v>
      </c>
      <c r="R4" s="87">
        <f t="shared" si="0"/>
        <v>793621.34</v>
      </c>
      <c r="S4" s="87">
        <f t="shared" si="0"/>
        <v>3941697.1199999996</v>
      </c>
      <c r="T4" s="87">
        <f t="shared" si="0"/>
        <v>5415690.75</v>
      </c>
      <c r="U4" s="87">
        <f t="shared" si="0"/>
        <v>8255877.0299999993</v>
      </c>
      <c r="V4" s="87">
        <f t="shared" si="0"/>
        <v>1832318.35</v>
      </c>
      <c r="W4" s="87">
        <f t="shared" si="0"/>
        <v>4866359.71</v>
      </c>
      <c r="X4" s="87">
        <f t="shared" si="0"/>
        <v>22949312.120000001</v>
      </c>
      <c r="Y4" s="87">
        <f t="shared" si="0"/>
        <v>3995294.9499999997</v>
      </c>
      <c r="Z4" s="87">
        <f t="shared" si="0"/>
        <v>14924073.460000003</v>
      </c>
      <c r="AA4" s="87">
        <f t="shared" si="0"/>
        <v>32307335.959999997</v>
      </c>
      <c r="AB4" s="87">
        <f t="shared" si="0"/>
        <v>1628149.1</v>
      </c>
      <c r="AC4" s="87">
        <f t="shared" si="0"/>
        <v>3111796.86</v>
      </c>
      <c r="AD4" s="87">
        <f t="shared" si="0"/>
        <v>6155015.3500000006</v>
      </c>
      <c r="AE4" s="87">
        <f t="shared" si="0"/>
        <v>9012201.0099999998</v>
      </c>
      <c r="AF4" s="87">
        <f t="shared" si="0"/>
        <v>6876138.3399999999</v>
      </c>
      <c r="AG4" s="87">
        <f t="shared" si="0"/>
        <v>9234866.4800000004</v>
      </c>
      <c r="AH4" s="87">
        <f t="shared" si="0"/>
        <v>16349536.65</v>
      </c>
      <c r="AI4" s="87">
        <f t="shared" si="0"/>
        <v>27550063.550000004</v>
      </c>
      <c r="AJ4" s="87">
        <f t="shared" si="0"/>
        <v>3905939.28</v>
      </c>
      <c r="AK4" s="87">
        <f t="shared" si="0"/>
        <v>3222486.6399999997</v>
      </c>
      <c r="AL4" s="87">
        <f t="shared" si="0"/>
        <v>22966348.759999998</v>
      </c>
      <c r="AM4" s="87">
        <f t="shared" si="0"/>
        <v>16102566.52</v>
      </c>
      <c r="AN4" s="87">
        <f t="shared" si="0"/>
        <v>15405801.919999998</v>
      </c>
      <c r="AO4" s="87">
        <f t="shared" si="0"/>
        <v>2974096.86</v>
      </c>
      <c r="AP4" s="87">
        <f t="shared" si="0"/>
        <v>30433304.219999999</v>
      </c>
      <c r="AQ4" s="87">
        <f t="shared" si="0"/>
        <v>7933124.9500000002</v>
      </c>
      <c r="AR4" s="87">
        <f t="shared" si="0"/>
        <v>6768420.1500000004</v>
      </c>
      <c r="AS4" s="87">
        <f t="shared" si="0"/>
        <v>22575658.690000001</v>
      </c>
      <c r="AT4" s="87">
        <f t="shared" si="0"/>
        <v>7925516.6800000006</v>
      </c>
      <c r="AU4" s="87">
        <f t="shared" si="0"/>
        <v>10850287.1</v>
      </c>
      <c r="AV4" s="87">
        <f t="shared" si="0"/>
        <v>5949338.5200000005</v>
      </c>
      <c r="AW4" s="87">
        <f t="shared" si="0"/>
        <v>21309261.509999998</v>
      </c>
      <c r="AX4" s="87">
        <f t="shared" si="0"/>
        <v>8924275.6600000001</v>
      </c>
      <c r="AY4" s="87">
        <f t="shared" si="0"/>
        <v>1559898.92</v>
      </c>
      <c r="AZ4" s="87">
        <f t="shared" si="0"/>
        <v>4115207.58</v>
      </c>
      <c r="BA4" s="87">
        <f t="shared" si="0"/>
        <v>23472611.259999998</v>
      </c>
      <c r="BB4" s="87">
        <f t="shared" si="0"/>
        <v>5399563.7999999998</v>
      </c>
      <c r="BC4" s="87">
        <f t="shared" si="0"/>
        <v>15496471.67</v>
      </c>
      <c r="BD4" s="87">
        <f t="shared" si="0"/>
        <v>1586955.25</v>
      </c>
      <c r="BE4" s="87">
        <f t="shared" si="0"/>
        <v>79883106.599999994</v>
      </c>
      <c r="BF4" s="87">
        <f t="shared" si="0"/>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1">G6+G14+G24+G30+G40+G47+G53+G61</f>
        <v>1141851.18</v>
      </c>
      <c r="H5" s="75">
        <f t="shared" si="1"/>
        <v>3560116.5900000003</v>
      </c>
      <c r="I5" s="75">
        <f t="shared" si="1"/>
        <v>4659729.1099999994</v>
      </c>
      <c r="J5" s="75">
        <f t="shared" si="1"/>
        <v>15358859.32</v>
      </c>
      <c r="K5" s="75">
        <f t="shared" si="1"/>
        <v>8576665.4699999988</v>
      </c>
      <c r="L5" s="75">
        <f t="shared" si="1"/>
        <v>10901550.18</v>
      </c>
      <c r="M5" s="75">
        <f t="shared" si="1"/>
        <v>50722063.130000003</v>
      </c>
      <c r="N5" s="75">
        <f t="shared" si="1"/>
        <v>3552476.3299999996</v>
      </c>
      <c r="O5" s="75">
        <f t="shared" si="1"/>
        <v>387086.74</v>
      </c>
      <c r="P5" s="75">
        <f t="shared" si="1"/>
        <v>18670168.030000001</v>
      </c>
      <c r="Q5" s="75">
        <f t="shared" si="1"/>
        <v>2335602.8600000003</v>
      </c>
      <c r="R5" s="75">
        <f t="shared" si="1"/>
        <v>533749.43999999994</v>
      </c>
      <c r="S5" s="75">
        <f t="shared" si="1"/>
        <v>1346191.77</v>
      </c>
      <c r="T5" s="75">
        <f t="shared" si="1"/>
        <v>2420446.7000000002</v>
      </c>
      <c r="U5" s="75">
        <f t="shared" si="1"/>
        <v>5477916.4499999993</v>
      </c>
      <c r="V5" s="75">
        <f t="shared" si="1"/>
        <v>758188.35000000009</v>
      </c>
      <c r="W5" s="75">
        <f t="shared" si="1"/>
        <v>2180801.88</v>
      </c>
      <c r="X5" s="75">
        <f t="shared" si="1"/>
        <v>6432633.5</v>
      </c>
      <c r="Y5" s="75">
        <f t="shared" si="1"/>
        <v>1924599.9999999998</v>
      </c>
      <c r="Z5" s="75">
        <f t="shared" si="1"/>
        <v>4480522.830000001</v>
      </c>
      <c r="AA5" s="75">
        <f t="shared" si="1"/>
        <v>24040991.959999997</v>
      </c>
      <c r="AB5" s="75">
        <f t="shared" si="1"/>
        <v>767484.10000000009</v>
      </c>
      <c r="AC5" s="75">
        <f t="shared" si="1"/>
        <v>1679089.3099999998</v>
      </c>
      <c r="AD5" s="75">
        <f t="shared" si="1"/>
        <v>3151827.65</v>
      </c>
      <c r="AE5" s="75">
        <f t="shared" si="1"/>
        <v>2703468.09</v>
      </c>
      <c r="AF5" s="75">
        <f t="shared" si="1"/>
        <v>2598603.84</v>
      </c>
      <c r="AG5" s="75">
        <f t="shared" si="1"/>
        <v>4859272.7300000004</v>
      </c>
      <c r="AH5" s="75">
        <f t="shared" si="1"/>
        <v>8453727.2600000016</v>
      </c>
      <c r="AI5" s="75">
        <f t="shared" si="1"/>
        <v>9931261.6699999999</v>
      </c>
      <c r="AJ5" s="75">
        <f t="shared" si="1"/>
        <v>1884581.5599999998</v>
      </c>
      <c r="AK5" s="75">
        <f t="shared" si="1"/>
        <v>2077662.8399999999</v>
      </c>
      <c r="AL5" s="75">
        <f t="shared" si="1"/>
        <v>6066530.1399999997</v>
      </c>
      <c r="AM5" s="75">
        <f t="shared" si="1"/>
        <v>5775298.5200000005</v>
      </c>
      <c r="AN5" s="75">
        <f t="shared" si="1"/>
        <v>5469328.1600000001</v>
      </c>
      <c r="AO5" s="75">
        <f t="shared" si="1"/>
        <v>1688154.88</v>
      </c>
      <c r="AP5" s="75">
        <f t="shared" si="1"/>
        <v>13922324.969999999</v>
      </c>
      <c r="AQ5" s="75">
        <f t="shared" si="1"/>
        <v>3675736.5500000003</v>
      </c>
      <c r="AR5" s="75">
        <f t="shared" si="1"/>
        <v>2883653.4699999997</v>
      </c>
      <c r="AS5" s="75">
        <f t="shared" si="1"/>
        <v>11869488.51</v>
      </c>
      <c r="AT5" s="75">
        <f t="shared" si="1"/>
        <v>2610512.23</v>
      </c>
      <c r="AU5" s="75">
        <f t="shared" si="1"/>
        <v>4064289.31</v>
      </c>
      <c r="AV5" s="75">
        <f t="shared" si="1"/>
        <v>3238914.9200000009</v>
      </c>
      <c r="AW5" s="75">
        <f t="shared" si="1"/>
        <v>5993608.2599999998</v>
      </c>
      <c r="AX5" s="75">
        <f t="shared" si="1"/>
        <v>3392744.83</v>
      </c>
      <c r="AY5" s="75">
        <f t="shared" si="1"/>
        <v>724238.92</v>
      </c>
      <c r="AZ5" s="75">
        <f t="shared" si="1"/>
        <v>2708714.2800000003</v>
      </c>
      <c r="BA5" s="75">
        <f t="shared" si="1"/>
        <v>4744472.3599999994</v>
      </c>
      <c r="BB5" s="75">
        <f t="shared" si="1"/>
        <v>2973001.33</v>
      </c>
      <c r="BC5" s="75">
        <f t="shared" si="1"/>
        <v>4994920.1399999987</v>
      </c>
      <c r="BD5" s="75">
        <f t="shared" si="1"/>
        <v>881630.79999999993</v>
      </c>
      <c r="BE5" s="75">
        <f t="shared" si="1"/>
        <v>27043126.07</v>
      </c>
      <c r="BF5" s="75">
        <f t="shared" si="1"/>
        <v>2304845.67</v>
      </c>
      <c r="BG5" s="75">
        <f>SUM(F5:BF5)</f>
        <v>330810559.92999995</v>
      </c>
      <c r="BH5" s="75">
        <f t="shared" ref="BH5:BH68" si="2">SUM(F5:X5)</f>
        <v>145231931.76999998</v>
      </c>
      <c r="BI5" s="75">
        <f t="shared" ref="BI5:BI68" si="3">SUM(Y5:AK5)</f>
        <v>68553093.840000018</v>
      </c>
      <c r="BJ5" s="75">
        <f t="shared" ref="BJ5:BJ68" si="4">SUM(AL5:BF5)</f>
        <v>117025534.32000001</v>
      </c>
    </row>
    <row r="6" spans="1:62" x14ac:dyDescent="0.25">
      <c r="A6" s="79"/>
      <c r="B6" s="79"/>
      <c r="C6" s="69">
        <v>100</v>
      </c>
      <c r="D6" s="69"/>
      <c r="E6" s="69" t="s">
        <v>241</v>
      </c>
      <c r="F6" s="70">
        <f>F7+F8+F9+F10+F11+F12</f>
        <v>4761773.55</v>
      </c>
      <c r="G6" s="70">
        <f t="shared" ref="G6:BF6" si="5">G7+G8+G9+G10+G11+G12</f>
        <v>302167.90000000002</v>
      </c>
      <c r="H6" s="70">
        <f t="shared" si="5"/>
        <v>733394.19000000006</v>
      </c>
      <c r="I6" s="70">
        <f t="shared" si="5"/>
        <v>1668991.62</v>
      </c>
      <c r="J6" s="70">
        <f t="shared" si="5"/>
        <v>1943644.76</v>
      </c>
      <c r="K6" s="70">
        <f t="shared" si="5"/>
        <v>1383876.73</v>
      </c>
      <c r="L6" s="70">
        <f t="shared" si="5"/>
        <v>3781515.14</v>
      </c>
      <c r="M6" s="70">
        <f t="shared" si="5"/>
        <v>7905702.0599999996</v>
      </c>
      <c r="N6" s="70">
        <f t="shared" si="5"/>
        <v>554893.13</v>
      </c>
      <c r="O6" s="70">
        <f t="shared" si="5"/>
        <v>210024.25999999998</v>
      </c>
      <c r="P6" s="70">
        <f t="shared" si="5"/>
        <v>4175094.7</v>
      </c>
      <c r="Q6" s="70">
        <f t="shared" si="5"/>
        <v>536107.89</v>
      </c>
      <c r="R6" s="70">
        <f t="shared" si="5"/>
        <v>133253.5</v>
      </c>
      <c r="S6" s="70">
        <f t="shared" si="5"/>
        <v>412368</v>
      </c>
      <c r="T6" s="70">
        <f t="shared" si="5"/>
        <v>1461546.04</v>
      </c>
      <c r="U6" s="70">
        <f t="shared" si="5"/>
        <v>1759790.73</v>
      </c>
      <c r="V6" s="70">
        <f t="shared" si="5"/>
        <v>50338.590000000004</v>
      </c>
      <c r="W6" s="70">
        <f t="shared" si="5"/>
        <v>741069.01</v>
      </c>
      <c r="X6" s="70">
        <f t="shared" si="5"/>
        <v>1345347.03</v>
      </c>
      <c r="Y6" s="70">
        <f t="shared" si="5"/>
        <v>1622144.63</v>
      </c>
      <c r="Z6" s="70">
        <f t="shared" si="5"/>
        <v>1771580.9400000002</v>
      </c>
      <c r="AA6" s="70">
        <f t="shared" si="5"/>
        <v>10198833.639999999</v>
      </c>
      <c r="AB6" s="70">
        <f t="shared" si="5"/>
        <v>138251.29</v>
      </c>
      <c r="AC6" s="70">
        <f t="shared" si="5"/>
        <v>1094668.75</v>
      </c>
      <c r="AD6" s="70">
        <f t="shared" si="5"/>
        <v>880394.51</v>
      </c>
      <c r="AE6" s="70">
        <f t="shared" si="5"/>
        <v>342489.03</v>
      </c>
      <c r="AF6" s="70">
        <f t="shared" si="5"/>
        <v>2034565.5</v>
      </c>
      <c r="AG6" s="70">
        <f t="shared" si="5"/>
        <v>3979910.18</v>
      </c>
      <c r="AH6" s="70">
        <f t="shared" si="5"/>
        <v>3390748.74</v>
      </c>
      <c r="AI6" s="70">
        <f t="shared" si="5"/>
        <v>5405551.2599999998</v>
      </c>
      <c r="AJ6" s="70">
        <f t="shared" si="5"/>
        <v>916034.57</v>
      </c>
      <c r="AK6" s="70">
        <f t="shared" si="5"/>
        <v>989271.75</v>
      </c>
      <c r="AL6" s="70">
        <f t="shared" si="5"/>
        <v>2840923.92</v>
      </c>
      <c r="AM6" s="70">
        <f t="shared" si="5"/>
        <v>2575235.85</v>
      </c>
      <c r="AN6" s="70">
        <f t="shared" si="5"/>
        <v>1203093.8500000001</v>
      </c>
      <c r="AO6" s="70">
        <f t="shared" si="5"/>
        <v>814916.64</v>
      </c>
      <c r="AP6" s="70">
        <f t="shared" si="5"/>
        <v>2197768.77</v>
      </c>
      <c r="AQ6" s="70">
        <f t="shared" si="5"/>
        <v>1649913.94</v>
      </c>
      <c r="AR6" s="70">
        <f t="shared" si="5"/>
        <v>1965900.9400000002</v>
      </c>
      <c r="AS6" s="70">
        <f t="shared" si="5"/>
        <v>2626538.67</v>
      </c>
      <c r="AT6" s="70">
        <f t="shared" si="5"/>
        <v>866219.63</v>
      </c>
      <c r="AU6" s="70">
        <f t="shared" si="5"/>
        <v>1523430.25</v>
      </c>
      <c r="AV6" s="70">
        <f t="shared" si="5"/>
        <v>2344334.9900000002</v>
      </c>
      <c r="AW6" s="70">
        <f t="shared" si="5"/>
        <v>2975513.44</v>
      </c>
      <c r="AX6" s="70">
        <f t="shared" si="5"/>
        <v>1521074.0999999999</v>
      </c>
      <c r="AY6" s="70">
        <f t="shared" si="5"/>
        <v>469462.92000000004</v>
      </c>
      <c r="AZ6" s="70">
        <f t="shared" si="5"/>
        <v>1634746.37</v>
      </c>
      <c r="BA6" s="70">
        <f t="shared" si="5"/>
        <v>403716.93</v>
      </c>
      <c r="BB6" s="70">
        <f t="shared" si="5"/>
        <v>1436465.86</v>
      </c>
      <c r="BC6" s="70">
        <f t="shared" si="5"/>
        <v>528923.94999999995</v>
      </c>
      <c r="BD6" s="70">
        <f t="shared" si="5"/>
        <v>655759.69999999995</v>
      </c>
      <c r="BE6" s="70">
        <f t="shared" si="5"/>
        <v>4276682.9400000004</v>
      </c>
      <c r="BF6" s="70">
        <f t="shared" si="5"/>
        <v>817219.69</v>
      </c>
      <c r="BG6" s="70">
        <f t="shared" ref="BG6:BG69" si="6">SUM(F6:BF6)</f>
        <v>101953186.96999998</v>
      </c>
      <c r="BH6" s="70">
        <f t="shared" si="2"/>
        <v>33860898.830000006</v>
      </c>
      <c r="BI6" s="70">
        <f t="shared" si="3"/>
        <v>32764444.789999999</v>
      </c>
      <c r="BJ6" s="70">
        <f t="shared" si="4"/>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6"/>
        <v>277566.88000000012</v>
      </c>
      <c r="BH7" s="80">
        <f t="shared" si="2"/>
        <v>178387.93000000002</v>
      </c>
      <c r="BI7" s="80">
        <f t="shared" si="3"/>
        <v>57922.26</v>
      </c>
      <c r="BJ7" s="80">
        <f t="shared" si="4"/>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6"/>
        <v>19437146.110000003</v>
      </c>
      <c r="BH8" s="80">
        <f t="shared" si="2"/>
        <v>10840081.800000003</v>
      </c>
      <c r="BI8" s="80">
        <f t="shared" si="3"/>
        <v>3682050.4799999995</v>
      </c>
      <c r="BJ8" s="80">
        <f t="shared" si="4"/>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6"/>
        <v>81667082.390000015</v>
      </c>
      <c r="BH9" s="80">
        <f t="shared" si="2"/>
        <v>22342583.800000001</v>
      </c>
      <c r="BI9" s="80">
        <f t="shared" si="3"/>
        <v>29024472.050000004</v>
      </c>
      <c r="BJ9" s="80">
        <f t="shared" si="4"/>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6"/>
        <v>560000</v>
      </c>
      <c r="BH10" s="80">
        <f t="shared" si="2"/>
        <v>500000</v>
      </c>
      <c r="BI10" s="80">
        <f t="shared" si="3"/>
        <v>0</v>
      </c>
      <c r="BJ10" s="80">
        <f t="shared" si="4"/>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6"/>
        <v>7546.0400000000009</v>
      </c>
      <c r="BH11" s="80">
        <f t="shared" si="2"/>
        <v>0</v>
      </c>
      <c r="BI11" s="80">
        <f t="shared" si="3"/>
        <v>0</v>
      </c>
      <c r="BJ11" s="80">
        <f t="shared" si="4"/>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6"/>
        <v>3845.55</v>
      </c>
      <c r="BH12" s="80">
        <f t="shared" si="2"/>
        <v>-154.69999999999999</v>
      </c>
      <c r="BI12" s="80">
        <f t="shared" si="3"/>
        <v>0</v>
      </c>
      <c r="BJ12" s="80">
        <f t="shared" si="4"/>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7">G15+G16+G17+G18+G19+G20+G21+G22</f>
        <v>119261.67</v>
      </c>
      <c r="H14" s="70">
        <f t="shared" si="7"/>
        <v>414542.23000000004</v>
      </c>
      <c r="I14" s="70">
        <f t="shared" si="7"/>
        <v>413303.21</v>
      </c>
      <c r="J14" s="70">
        <f t="shared" si="7"/>
        <v>3344664.07</v>
      </c>
      <c r="K14" s="70">
        <f t="shared" si="7"/>
        <v>1880588.5299999998</v>
      </c>
      <c r="L14" s="70">
        <f t="shared" si="7"/>
        <v>2224141.4900000002</v>
      </c>
      <c r="M14" s="70">
        <f t="shared" si="7"/>
        <v>16964940.300000001</v>
      </c>
      <c r="N14" s="70">
        <f t="shared" si="7"/>
        <v>1213204.5699999998</v>
      </c>
      <c r="O14" s="70">
        <f t="shared" si="7"/>
        <v>110491.76000000001</v>
      </c>
      <c r="P14" s="70">
        <f t="shared" si="7"/>
        <v>6498496.6899999995</v>
      </c>
      <c r="Q14" s="70">
        <f t="shared" si="7"/>
        <v>789626.20000000007</v>
      </c>
      <c r="R14" s="70">
        <f t="shared" si="7"/>
        <v>193155.7</v>
      </c>
      <c r="S14" s="70">
        <f t="shared" si="7"/>
        <v>362321.17000000004</v>
      </c>
      <c r="T14" s="70">
        <f t="shared" si="7"/>
        <v>459880.36</v>
      </c>
      <c r="U14" s="70">
        <f t="shared" si="7"/>
        <v>914378.86999999988</v>
      </c>
      <c r="V14" s="70">
        <f t="shared" si="7"/>
        <v>225376.31</v>
      </c>
      <c r="W14" s="70">
        <f t="shared" si="7"/>
        <v>677648.74</v>
      </c>
      <c r="X14" s="70">
        <f t="shared" si="7"/>
        <v>3262961.49</v>
      </c>
      <c r="Y14" s="70">
        <f t="shared" si="7"/>
        <v>166859.37999999998</v>
      </c>
      <c r="Z14" s="70">
        <f t="shared" si="7"/>
        <v>1214340.25</v>
      </c>
      <c r="AA14" s="70">
        <f t="shared" si="7"/>
        <v>1410852.8199999998</v>
      </c>
      <c r="AB14" s="70">
        <f t="shared" si="7"/>
        <v>130073.53</v>
      </c>
      <c r="AC14" s="70">
        <f t="shared" si="7"/>
        <v>127270.15999999999</v>
      </c>
      <c r="AD14" s="70">
        <f t="shared" si="7"/>
        <v>626938.14000000013</v>
      </c>
      <c r="AE14" s="70">
        <f t="shared" si="7"/>
        <v>660559.30999999994</v>
      </c>
      <c r="AF14" s="70">
        <f t="shared" si="7"/>
        <v>440484.83999999997</v>
      </c>
      <c r="AG14" s="70">
        <f t="shared" si="7"/>
        <v>212102.05</v>
      </c>
      <c r="AH14" s="70">
        <f t="shared" si="7"/>
        <v>1040789.23</v>
      </c>
      <c r="AI14" s="70">
        <f t="shared" si="7"/>
        <v>2869097.1499999994</v>
      </c>
      <c r="AJ14" s="70">
        <f t="shared" si="7"/>
        <v>944343.31</v>
      </c>
      <c r="AK14" s="70">
        <f t="shared" si="7"/>
        <v>140233.63999999998</v>
      </c>
      <c r="AL14" s="70">
        <f t="shared" si="7"/>
        <v>2055828.71</v>
      </c>
      <c r="AM14" s="70">
        <f t="shared" si="7"/>
        <v>1471852.85</v>
      </c>
      <c r="AN14" s="70">
        <f t="shared" si="7"/>
        <v>1772573.8599999999</v>
      </c>
      <c r="AO14" s="70">
        <f t="shared" si="7"/>
        <v>184819.22</v>
      </c>
      <c r="AP14" s="70">
        <f t="shared" si="7"/>
        <v>1514706.0699999998</v>
      </c>
      <c r="AQ14" s="70">
        <f t="shared" si="7"/>
        <v>656576.51</v>
      </c>
      <c r="AR14" s="70">
        <f t="shared" si="7"/>
        <v>406664.76999999996</v>
      </c>
      <c r="AS14" s="70">
        <f t="shared" si="7"/>
        <v>1515857.9</v>
      </c>
      <c r="AT14" s="70">
        <f t="shared" si="7"/>
        <v>866641.25</v>
      </c>
      <c r="AU14" s="70">
        <f t="shared" si="7"/>
        <v>1486619.52</v>
      </c>
      <c r="AV14" s="70">
        <f t="shared" si="7"/>
        <v>376774.2</v>
      </c>
      <c r="AW14" s="70">
        <f t="shared" si="7"/>
        <v>2428176.2200000002</v>
      </c>
      <c r="AX14" s="70">
        <f t="shared" si="7"/>
        <v>596045.30000000005</v>
      </c>
      <c r="AY14" s="70">
        <f t="shared" si="7"/>
        <v>122235.71</v>
      </c>
      <c r="AZ14" s="70">
        <f t="shared" si="7"/>
        <v>511381.06</v>
      </c>
      <c r="BA14" s="70">
        <f t="shared" si="7"/>
        <v>2517416.9299999997</v>
      </c>
      <c r="BB14" s="70">
        <f t="shared" si="7"/>
        <v>549900.22</v>
      </c>
      <c r="BC14" s="70">
        <f t="shared" si="7"/>
        <v>1676512.19</v>
      </c>
      <c r="BD14" s="70">
        <f t="shared" si="7"/>
        <v>217173.52</v>
      </c>
      <c r="BE14" s="70">
        <f t="shared" si="7"/>
        <v>10864545.25</v>
      </c>
      <c r="BF14" s="70">
        <f t="shared" si="7"/>
        <v>438183.51000000007</v>
      </c>
      <c r="BG14" s="70">
        <f t="shared" si="6"/>
        <v>83271481.24000001</v>
      </c>
      <c r="BH14" s="70">
        <f t="shared" si="2"/>
        <v>41057052.660000011</v>
      </c>
      <c r="BI14" s="70">
        <f t="shared" si="3"/>
        <v>9983943.8100000005</v>
      </c>
      <c r="BJ14" s="70">
        <f t="shared" si="4"/>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6"/>
        <v>29943442.710000001</v>
      </c>
      <c r="BH15" s="80">
        <f t="shared" si="2"/>
        <v>16381568.040000003</v>
      </c>
      <c r="BI15" s="80">
        <f t="shared" si="3"/>
        <v>5150160.9000000004</v>
      </c>
      <c r="BJ15" s="80">
        <f t="shared" si="4"/>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6"/>
        <v>5202534.41</v>
      </c>
      <c r="BH16" s="80">
        <f t="shared" si="2"/>
        <v>3240431.69</v>
      </c>
      <c r="BI16" s="80">
        <f t="shared" si="3"/>
        <v>722436.80999999994</v>
      </c>
      <c r="BJ16" s="80">
        <f t="shared" si="4"/>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6"/>
        <v>44472871.929999977</v>
      </c>
      <c r="BH17" s="80">
        <f t="shared" si="2"/>
        <v>20066650.189999998</v>
      </c>
      <c r="BI17" s="80">
        <f t="shared" si="3"/>
        <v>3458116.5600000005</v>
      </c>
      <c r="BJ17" s="80">
        <f t="shared" si="4"/>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6"/>
        <v>283265.90000000002</v>
      </c>
      <c r="BH18" s="80">
        <f t="shared" si="2"/>
        <v>0</v>
      </c>
      <c r="BI18" s="80">
        <f t="shared" si="3"/>
        <v>0</v>
      </c>
      <c r="BJ18" s="80">
        <f t="shared" si="4"/>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6"/>
        <v>1150751.1599999999</v>
      </c>
      <c r="BH19" s="80">
        <f t="shared" si="2"/>
        <v>0</v>
      </c>
      <c r="BI19" s="80">
        <f t="shared" si="3"/>
        <v>539254.58000000007</v>
      </c>
      <c r="BJ19" s="80">
        <f t="shared" si="4"/>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6"/>
        <v>1419524.56</v>
      </c>
      <c r="BH20" s="80">
        <f t="shared" si="2"/>
        <v>993347.11999999988</v>
      </c>
      <c r="BI20" s="80">
        <f t="shared" si="3"/>
        <v>34634.14</v>
      </c>
      <c r="BJ20" s="80">
        <f t="shared" si="4"/>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6"/>
        <v>30139.850000000002</v>
      </c>
      <c r="BH21" s="80">
        <f t="shared" si="2"/>
        <v>0</v>
      </c>
      <c r="BI21" s="80">
        <f t="shared" si="3"/>
        <v>19963.900000000001</v>
      </c>
      <c r="BJ21" s="80">
        <f t="shared" si="4"/>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6"/>
        <v>768950.72000000009</v>
      </c>
      <c r="BH22" s="80">
        <f t="shared" si="2"/>
        <v>375055.62000000005</v>
      </c>
      <c r="BI22" s="80">
        <f t="shared" si="3"/>
        <v>59376.92</v>
      </c>
      <c r="BJ22" s="80">
        <f t="shared" si="4"/>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3"/>
        <v>0</v>
      </c>
      <c r="BJ23" s="80"/>
    </row>
    <row r="24" spans="3:62" x14ac:dyDescent="0.25">
      <c r="C24" s="69">
        <v>102</v>
      </c>
      <c r="D24" s="69"/>
      <c r="E24" s="69" t="s">
        <v>243</v>
      </c>
      <c r="F24" s="70">
        <f>F25+F26+F27+F28</f>
        <v>0</v>
      </c>
      <c r="G24" s="70">
        <f t="shared" ref="G24:BF24" si="8">G25+G26+G27+G28</f>
        <v>0</v>
      </c>
      <c r="H24" s="70">
        <f t="shared" si="8"/>
        <v>0</v>
      </c>
      <c r="I24" s="70">
        <f t="shared" si="8"/>
        <v>0</v>
      </c>
      <c r="J24" s="70">
        <f>J25+J26+J27+J28</f>
        <v>0</v>
      </c>
      <c r="K24" s="70">
        <f t="shared" si="8"/>
        <v>0</v>
      </c>
      <c r="L24" s="70">
        <f t="shared" si="8"/>
        <v>0</v>
      </c>
      <c r="M24" s="70">
        <f t="shared" si="8"/>
        <v>0</v>
      </c>
      <c r="N24" s="70">
        <f t="shared" si="8"/>
        <v>0</v>
      </c>
      <c r="O24" s="70">
        <f t="shared" si="8"/>
        <v>0</v>
      </c>
      <c r="P24" s="70">
        <f t="shared" si="8"/>
        <v>0</v>
      </c>
      <c r="Q24" s="70">
        <f t="shared" si="8"/>
        <v>0</v>
      </c>
      <c r="R24" s="70">
        <f t="shared" si="8"/>
        <v>0</v>
      </c>
      <c r="S24" s="70">
        <f t="shared" si="8"/>
        <v>0</v>
      </c>
      <c r="T24" s="70">
        <f t="shared" si="8"/>
        <v>0</v>
      </c>
      <c r="U24" s="70">
        <f t="shared" si="8"/>
        <v>0</v>
      </c>
      <c r="V24" s="70">
        <f t="shared" si="8"/>
        <v>0</v>
      </c>
      <c r="W24" s="70">
        <f t="shared" si="8"/>
        <v>0</v>
      </c>
      <c r="X24" s="70">
        <f t="shared" si="8"/>
        <v>0</v>
      </c>
      <c r="Y24" s="70">
        <f t="shared" si="8"/>
        <v>0</v>
      </c>
      <c r="Z24" s="70">
        <f t="shared" si="8"/>
        <v>870298.43</v>
      </c>
      <c r="AA24" s="70">
        <f t="shared" si="8"/>
        <v>0</v>
      </c>
      <c r="AB24" s="70">
        <f t="shared" si="8"/>
        <v>0</v>
      </c>
      <c r="AC24" s="70">
        <f t="shared" si="8"/>
        <v>0</v>
      </c>
      <c r="AD24" s="70">
        <f t="shared" si="8"/>
        <v>0</v>
      </c>
      <c r="AE24" s="70">
        <f t="shared" si="8"/>
        <v>0</v>
      </c>
      <c r="AF24" s="70">
        <f t="shared" si="8"/>
        <v>0</v>
      </c>
      <c r="AG24" s="70">
        <f t="shared" si="8"/>
        <v>0</v>
      </c>
      <c r="AH24" s="70">
        <f t="shared" si="8"/>
        <v>0</v>
      </c>
      <c r="AI24" s="70">
        <f t="shared" si="8"/>
        <v>0</v>
      </c>
      <c r="AJ24" s="70">
        <f t="shared" si="8"/>
        <v>0</v>
      </c>
      <c r="AK24" s="70">
        <f t="shared" si="8"/>
        <v>0</v>
      </c>
      <c r="AL24" s="70">
        <f t="shared" si="8"/>
        <v>0</v>
      </c>
      <c r="AM24" s="70">
        <f t="shared" si="8"/>
        <v>0</v>
      </c>
      <c r="AN24" s="70">
        <f t="shared" si="8"/>
        <v>0</v>
      </c>
      <c r="AO24" s="70">
        <f t="shared" si="8"/>
        <v>0</v>
      </c>
      <c r="AP24" s="70">
        <f t="shared" si="8"/>
        <v>0</v>
      </c>
      <c r="AQ24" s="70">
        <f t="shared" si="8"/>
        <v>0</v>
      </c>
      <c r="AR24" s="70">
        <f t="shared" si="8"/>
        <v>0</v>
      </c>
      <c r="AS24" s="70">
        <f t="shared" si="8"/>
        <v>0</v>
      </c>
      <c r="AT24" s="70">
        <f t="shared" si="8"/>
        <v>0</v>
      </c>
      <c r="AU24" s="70">
        <f t="shared" si="8"/>
        <v>0</v>
      </c>
      <c r="AV24" s="70">
        <f t="shared" si="8"/>
        <v>0</v>
      </c>
      <c r="AW24" s="70">
        <f t="shared" si="8"/>
        <v>0</v>
      </c>
      <c r="AX24" s="70">
        <f t="shared" si="8"/>
        <v>0</v>
      </c>
      <c r="AY24" s="70">
        <f t="shared" si="8"/>
        <v>0</v>
      </c>
      <c r="AZ24" s="70">
        <f t="shared" si="8"/>
        <v>0</v>
      </c>
      <c r="BA24" s="70">
        <f t="shared" si="8"/>
        <v>0</v>
      </c>
      <c r="BB24" s="70">
        <f t="shared" si="8"/>
        <v>0</v>
      </c>
      <c r="BC24" s="70">
        <f t="shared" si="8"/>
        <v>0</v>
      </c>
      <c r="BD24" s="70">
        <f t="shared" si="8"/>
        <v>0</v>
      </c>
      <c r="BE24" s="70">
        <f t="shared" si="8"/>
        <v>0</v>
      </c>
      <c r="BF24" s="70">
        <f t="shared" si="8"/>
        <v>0</v>
      </c>
      <c r="BG24" s="70">
        <f t="shared" si="6"/>
        <v>870298.43</v>
      </c>
      <c r="BH24" s="70">
        <f t="shared" si="2"/>
        <v>0</v>
      </c>
      <c r="BI24" s="70">
        <f t="shared" si="3"/>
        <v>870298.43</v>
      </c>
      <c r="BJ24" s="70">
        <f t="shared" si="4"/>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6"/>
        <v>868298.43</v>
      </c>
      <c r="BH25" s="80">
        <f t="shared" si="2"/>
        <v>0</v>
      </c>
      <c r="BI25" s="80">
        <f t="shared" si="3"/>
        <v>868298.43</v>
      </c>
      <c r="BJ25" s="80">
        <f t="shared" si="4"/>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6"/>
        <v>0</v>
      </c>
      <c r="BH26" s="80">
        <f t="shared" si="2"/>
        <v>0</v>
      </c>
      <c r="BI26" s="80">
        <f t="shared" si="3"/>
        <v>0</v>
      </c>
      <c r="BJ26" s="80">
        <f t="shared" si="4"/>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6"/>
        <v>0</v>
      </c>
      <c r="BH27" s="80">
        <f t="shared" si="2"/>
        <v>0</v>
      </c>
      <c r="BI27" s="80">
        <f t="shared" si="3"/>
        <v>0</v>
      </c>
      <c r="BJ27" s="80">
        <f t="shared" si="4"/>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6"/>
        <v>2000</v>
      </c>
      <c r="BH28" s="80">
        <f t="shared" si="2"/>
        <v>0</v>
      </c>
      <c r="BI28" s="80">
        <f t="shared" si="3"/>
        <v>2000</v>
      </c>
      <c r="BJ28" s="80">
        <f t="shared" si="4"/>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9">G31+G32+G33+G34+G35+G36+G37+G38</f>
        <v>59735.76</v>
      </c>
      <c r="H30" s="70">
        <f t="shared" si="9"/>
        <v>997231.17</v>
      </c>
      <c r="I30" s="70">
        <f t="shared" si="9"/>
        <v>93910.13</v>
      </c>
      <c r="J30" s="70">
        <f t="shared" si="9"/>
        <v>2344663.4899999998</v>
      </c>
      <c r="K30" s="70">
        <f t="shared" si="9"/>
        <v>2293000.21</v>
      </c>
      <c r="L30" s="70">
        <f t="shared" si="9"/>
        <v>401740.55</v>
      </c>
      <c r="M30" s="70">
        <f t="shared" si="9"/>
        <v>6589497.6200000001</v>
      </c>
      <c r="N30" s="70">
        <f t="shared" si="9"/>
        <v>750960.63</v>
      </c>
      <c r="O30" s="70">
        <f t="shared" si="9"/>
        <v>66570.720000000001</v>
      </c>
      <c r="P30" s="70">
        <f t="shared" si="9"/>
        <v>1511145.43</v>
      </c>
      <c r="Q30" s="70">
        <f t="shared" si="9"/>
        <v>-13430.35</v>
      </c>
      <c r="R30" s="70">
        <f t="shared" si="9"/>
        <v>21015.24</v>
      </c>
      <c r="S30" s="70">
        <f t="shared" si="9"/>
        <v>26502.600000000002</v>
      </c>
      <c r="T30" s="70">
        <f t="shared" si="9"/>
        <v>112837.05</v>
      </c>
      <c r="U30" s="70">
        <f t="shared" si="9"/>
        <v>69361.7</v>
      </c>
      <c r="V30" s="70">
        <f t="shared" si="9"/>
        <v>34473.449999999997</v>
      </c>
      <c r="W30" s="70">
        <f t="shared" si="9"/>
        <v>437892.33</v>
      </c>
      <c r="X30" s="70">
        <f t="shared" si="9"/>
        <v>704296.98</v>
      </c>
      <c r="Y30" s="70">
        <f t="shared" si="9"/>
        <v>135595.99</v>
      </c>
      <c r="Z30" s="70">
        <f t="shared" si="9"/>
        <v>332025.37</v>
      </c>
      <c r="AA30" s="70">
        <f t="shared" si="9"/>
        <v>853733.95</v>
      </c>
      <c r="AB30" s="70">
        <f t="shared" si="9"/>
        <v>68645.539999999994</v>
      </c>
      <c r="AC30" s="70">
        <f t="shared" si="9"/>
        <v>19418.05</v>
      </c>
      <c r="AD30" s="70">
        <f t="shared" si="9"/>
        <v>34136.699999999997</v>
      </c>
      <c r="AE30" s="70">
        <f t="shared" si="9"/>
        <v>163025.15</v>
      </c>
      <c r="AF30" s="70">
        <f t="shared" si="9"/>
        <v>120928.5</v>
      </c>
      <c r="AG30" s="70">
        <f t="shared" si="9"/>
        <v>106382.35</v>
      </c>
      <c r="AH30" s="70">
        <f t="shared" si="9"/>
        <v>650724.59000000008</v>
      </c>
      <c r="AI30" s="70">
        <f t="shared" si="9"/>
        <v>929778.26</v>
      </c>
      <c r="AJ30" s="70">
        <f t="shared" si="9"/>
        <v>20043.68</v>
      </c>
      <c r="AK30" s="70">
        <f t="shared" si="9"/>
        <v>4474.05</v>
      </c>
      <c r="AL30" s="70">
        <f t="shared" si="9"/>
        <v>732577.51</v>
      </c>
      <c r="AM30" s="70">
        <f t="shared" si="9"/>
        <v>345359.52</v>
      </c>
      <c r="AN30" s="70">
        <f t="shared" si="9"/>
        <v>657311.57000000007</v>
      </c>
      <c r="AO30" s="70">
        <f t="shared" si="9"/>
        <v>56581.88</v>
      </c>
      <c r="AP30" s="70">
        <f t="shared" si="9"/>
        <v>460565.13</v>
      </c>
      <c r="AQ30" s="70">
        <f t="shared" si="9"/>
        <v>670826.10000000009</v>
      </c>
      <c r="AR30" s="70">
        <f t="shared" si="9"/>
        <v>216341.76000000001</v>
      </c>
      <c r="AS30" s="70">
        <f t="shared" si="9"/>
        <v>592362.59000000008</v>
      </c>
      <c r="AT30" s="70">
        <f t="shared" si="9"/>
        <v>26454.35</v>
      </c>
      <c r="AU30" s="70">
        <f t="shared" si="9"/>
        <v>331069.53999999998</v>
      </c>
      <c r="AV30" s="70">
        <f t="shared" si="9"/>
        <v>381482.53</v>
      </c>
      <c r="AW30" s="70">
        <f t="shared" si="9"/>
        <v>589909.60000000009</v>
      </c>
      <c r="AX30" s="70">
        <f t="shared" si="9"/>
        <v>126164.38</v>
      </c>
      <c r="AY30" s="70">
        <f t="shared" si="9"/>
        <v>16303.29</v>
      </c>
      <c r="AZ30" s="70">
        <f t="shared" si="9"/>
        <v>353631.85</v>
      </c>
      <c r="BA30" s="70">
        <f t="shared" si="9"/>
        <v>461292.5</v>
      </c>
      <c r="BB30" s="70">
        <f t="shared" si="9"/>
        <v>586650.25</v>
      </c>
      <c r="BC30" s="70">
        <f t="shared" si="9"/>
        <v>154798.39999999999</v>
      </c>
      <c r="BD30" s="70">
        <f t="shared" si="9"/>
        <v>2853.58</v>
      </c>
      <c r="BE30" s="70">
        <f t="shared" si="9"/>
        <v>2198853.5300000003</v>
      </c>
      <c r="BF30" s="70">
        <f t="shared" si="9"/>
        <v>154102.47</v>
      </c>
      <c r="BG30" s="70">
        <f t="shared" si="6"/>
        <v>29257045.410000004</v>
      </c>
      <c r="BH30" s="70">
        <f t="shared" si="2"/>
        <v>16702640.9</v>
      </c>
      <c r="BI30" s="70">
        <f t="shared" si="3"/>
        <v>3438912.18</v>
      </c>
      <c r="BJ30" s="70">
        <f t="shared" si="4"/>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6"/>
        <v>136688.12</v>
      </c>
      <c r="BH31" s="80">
        <f t="shared" si="2"/>
        <v>-8175.8</v>
      </c>
      <c r="BI31" s="80">
        <f t="shared" si="3"/>
        <v>100552.76000000001</v>
      </c>
      <c r="BJ31" s="80">
        <f t="shared" si="4"/>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6"/>
        <v>14210136.930000003</v>
      </c>
      <c r="BH32" s="80">
        <f t="shared" si="2"/>
        <v>8805421.7100000009</v>
      </c>
      <c r="BI32" s="80">
        <f t="shared" si="3"/>
        <v>1713664.53</v>
      </c>
      <c r="BJ32" s="80">
        <f t="shared" si="4"/>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6"/>
        <v>4609765.8000000017</v>
      </c>
      <c r="BH33" s="80">
        <f t="shared" si="2"/>
        <v>2292499.83</v>
      </c>
      <c r="BI33" s="80">
        <f t="shared" si="3"/>
        <v>1089935.76</v>
      </c>
      <c r="BJ33" s="80">
        <f t="shared" si="4"/>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6"/>
        <v>7019487.9099999992</v>
      </c>
      <c r="BH34" s="80">
        <f t="shared" si="2"/>
        <v>3442310.17</v>
      </c>
      <c r="BI34" s="80">
        <f t="shared" si="3"/>
        <v>482879.7</v>
      </c>
      <c r="BJ34" s="80">
        <f t="shared" si="4"/>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6"/>
        <v>167611.71</v>
      </c>
      <c r="BH35" s="80">
        <f t="shared" si="2"/>
        <v>78551.8</v>
      </c>
      <c r="BI35" s="80">
        <f t="shared" si="3"/>
        <v>1281.45</v>
      </c>
      <c r="BJ35" s="80">
        <f t="shared" si="4"/>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6"/>
        <v>688123.25000000012</v>
      </c>
      <c r="BH36" s="80">
        <f t="shared" si="2"/>
        <v>0</v>
      </c>
      <c r="BI36" s="80">
        <f t="shared" si="3"/>
        <v>44890.93</v>
      </c>
      <c r="BJ36" s="80">
        <f t="shared" si="4"/>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6"/>
        <v>903807.05</v>
      </c>
      <c r="BH37" s="80">
        <f t="shared" si="2"/>
        <v>898100</v>
      </c>
      <c r="BI37" s="80">
        <f t="shared" si="3"/>
        <v>5707.05</v>
      </c>
      <c r="BJ37" s="80">
        <f t="shared" si="4"/>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6"/>
        <v>1521424.6400000001</v>
      </c>
      <c r="BH38" s="80">
        <f t="shared" si="2"/>
        <v>1193933.19</v>
      </c>
      <c r="BI38" s="80">
        <f t="shared" si="3"/>
        <v>0</v>
      </c>
      <c r="BJ38" s="80">
        <f t="shared" si="4"/>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0">G41+G42+G43+G44+G45</f>
        <v>0</v>
      </c>
      <c r="H40" s="70">
        <f t="shared" si="10"/>
        <v>0</v>
      </c>
      <c r="I40" s="70">
        <f t="shared" si="10"/>
        <v>0</v>
      </c>
      <c r="J40" s="70">
        <f t="shared" si="10"/>
        <v>0</v>
      </c>
      <c r="K40" s="70">
        <f t="shared" si="10"/>
        <v>0</v>
      </c>
      <c r="L40" s="70">
        <f t="shared" si="10"/>
        <v>0</v>
      </c>
      <c r="M40" s="70">
        <f t="shared" si="10"/>
        <v>474981.55</v>
      </c>
      <c r="N40" s="70">
        <f t="shared" si="10"/>
        <v>0</v>
      </c>
      <c r="O40" s="70">
        <f t="shared" si="10"/>
        <v>0</v>
      </c>
      <c r="P40" s="70">
        <f t="shared" si="10"/>
        <v>227560</v>
      </c>
      <c r="Q40" s="70">
        <f t="shared" si="10"/>
        <v>0</v>
      </c>
      <c r="R40" s="70">
        <f t="shared" si="10"/>
        <v>0</v>
      </c>
      <c r="S40" s="70">
        <f t="shared" si="10"/>
        <v>0</v>
      </c>
      <c r="T40" s="70">
        <f t="shared" si="10"/>
        <v>0</v>
      </c>
      <c r="U40" s="70">
        <f t="shared" si="10"/>
        <v>0</v>
      </c>
      <c r="V40" s="70">
        <f t="shared" si="10"/>
        <v>0</v>
      </c>
      <c r="W40" s="70">
        <f t="shared" si="10"/>
        <v>3241.25</v>
      </c>
      <c r="X40" s="70">
        <f t="shared" si="10"/>
        <v>3200</v>
      </c>
      <c r="Y40" s="70">
        <f t="shared" si="10"/>
        <v>0</v>
      </c>
      <c r="Z40" s="70">
        <f t="shared" si="10"/>
        <v>0</v>
      </c>
      <c r="AA40" s="70">
        <f t="shared" si="10"/>
        <v>0</v>
      </c>
      <c r="AB40" s="70">
        <f t="shared" si="10"/>
        <v>0</v>
      </c>
      <c r="AC40" s="70">
        <f t="shared" si="10"/>
        <v>11150.9</v>
      </c>
      <c r="AD40" s="70">
        <f t="shared" si="10"/>
        <v>0</v>
      </c>
      <c r="AE40" s="70">
        <f t="shared" si="10"/>
        <v>2356.75</v>
      </c>
      <c r="AF40" s="70">
        <f t="shared" si="10"/>
        <v>0</v>
      </c>
      <c r="AG40" s="70">
        <f t="shared" si="10"/>
        <v>0</v>
      </c>
      <c r="AH40" s="70">
        <f t="shared" si="10"/>
        <v>762211.9</v>
      </c>
      <c r="AI40" s="70">
        <f t="shared" si="10"/>
        <v>0</v>
      </c>
      <c r="AJ40" s="70">
        <f t="shared" si="10"/>
        <v>0</v>
      </c>
      <c r="AK40" s="70">
        <f t="shared" si="10"/>
        <v>11998.4</v>
      </c>
      <c r="AL40" s="70">
        <f t="shared" si="10"/>
        <v>0</v>
      </c>
      <c r="AM40" s="70">
        <f t="shared" si="10"/>
        <v>0</v>
      </c>
      <c r="AN40" s="70">
        <f t="shared" si="10"/>
        <v>2664.88</v>
      </c>
      <c r="AO40" s="70">
        <f t="shared" si="10"/>
        <v>0</v>
      </c>
      <c r="AP40" s="70">
        <f t="shared" si="10"/>
        <v>0</v>
      </c>
      <c r="AQ40" s="70">
        <f t="shared" si="10"/>
        <v>0</v>
      </c>
      <c r="AR40" s="70">
        <f t="shared" si="10"/>
        <v>0</v>
      </c>
      <c r="AS40" s="70">
        <f t="shared" si="10"/>
        <v>0</v>
      </c>
      <c r="AT40" s="70">
        <f t="shared" si="10"/>
        <v>0</v>
      </c>
      <c r="AU40" s="70">
        <f t="shared" si="10"/>
        <v>0</v>
      </c>
      <c r="AV40" s="70">
        <f t="shared" si="10"/>
        <v>0</v>
      </c>
      <c r="AW40" s="70">
        <f t="shared" si="10"/>
        <v>0</v>
      </c>
      <c r="AX40" s="70">
        <f t="shared" si="10"/>
        <v>0</v>
      </c>
      <c r="AY40" s="70">
        <f t="shared" si="10"/>
        <v>0</v>
      </c>
      <c r="AZ40" s="70">
        <f t="shared" si="10"/>
        <v>0</v>
      </c>
      <c r="BA40" s="70">
        <f t="shared" si="10"/>
        <v>0</v>
      </c>
      <c r="BB40" s="70">
        <f t="shared" si="10"/>
        <v>0</v>
      </c>
      <c r="BC40" s="70">
        <f t="shared" si="10"/>
        <v>25832</v>
      </c>
      <c r="BD40" s="70">
        <f t="shared" si="10"/>
        <v>0</v>
      </c>
      <c r="BE40" s="70">
        <f t="shared" si="10"/>
        <v>21795.25</v>
      </c>
      <c r="BF40" s="70">
        <f t="shared" si="10"/>
        <v>0</v>
      </c>
      <c r="BG40" s="70">
        <f t="shared" si="6"/>
        <v>1546992.88</v>
      </c>
      <c r="BH40" s="70">
        <f t="shared" si="2"/>
        <v>708982.8</v>
      </c>
      <c r="BI40" s="70">
        <f t="shared" si="3"/>
        <v>787717.95000000007</v>
      </c>
      <c r="BJ40" s="70">
        <f t="shared" si="4"/>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6"/>
        <v>41868.43</v>
      </c>
      <c r="BH41" s="80">
        <f t="shared" si="2"/>
        <v>3241.25</v>
      </c>
      <c r="BI41" s="80">
        <f t="shared" si="3"/>
        <v>14167.05</v>
      </c>
      <c r="BJ41" s="80">
        <f t="shared" si="4"/>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6"/>
        <v>695049.35000000009</v>
      </c>
      <c r="BH42" s="80">
        <f t="shared" si="2"/>
        <v>656741.55000000005</v>
      </c>
      <c r="BI42" s="80">
        <f t="shared" si="3"/>
        <v>12475.8</v>
      </c>
      <c r="BJ42" s="80">
        <f t="shared" si="4"/>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6"/>
        <v>0</v>
      </c>
      <c r="BH43" s="80">
        <f t="shared" si="2"/>
        <v>0</v>
      </c>
      <c r="BI43" s="80">
        <f t="shared" si="3"/>
        <v>0</v>
      </c>
      <c r="BJ43" s="80">
        <f t="shared" si="4"/>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6"/>
        <v>810075.1</v>
      </c>
      <c r="BH44" s="80">
        <f t="shared" si="2"/>
        <v>49000</v>
      </c>
      <c r="BI44" s="80">
        <f t="shared" si="3"/>
        <v>761075.1</v>
      </c>
      <c r="BJ44" s="80">
        <f t="shared" si="4"/>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6"/>
        <v>0</v>
      </c>
      <c r="BH45" s="80">
        <f t="shared" si="2"/>
        <v>0</v>
      </c>
      <c r="BI45" s="80">
        <f t="shared" si="3"/>
        <v>0</v>
      </c>
      <c r="BJ45" s="80">
        <f t="shared" si="4"/>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1">G48+G49+G50+G51</f>
        <v>200</v>
      </c>
      <c r="H47" s="70">
        <f t="shared" si="11"/>
        <v>0</v>
      </c>
      <c r="I47" s="70">
        <f t="shared" si="11"/>
        <v>2695</v>
      </c>
      <c r="J47" s="70">
        <f t="shared" si="11"/>
        <v>307817</v>
      </c>
      <c r="K47" s="70">
        <f t="shared" si="11"/>
        <v>1250</v>
      </c>
      <c r="L47" s="70">
        <f t="shared" si="11"/>
        <v>21400</v>
      </c>
      <c r="M47" s="70">
        <f t="shared" si="11"/>
        <v>1760135</v>
      </c>
      <c r="N47" s="70">
        <f t="shared" si="11"/>
        <v>1250</v>
      </c>
      <c r="O47" s="70">
        <f t="shared" si="11"/>
        <v>0</v>
      </c>
      <c r="P47" s="70">
        <f t="shared" si="11"/>
        <v>274683.5</v>
      </c>
      <c r="Q47" s="70">
        <f t="shared" si="11"/>
        <v>2102</v>
      </c>
      <c r="R47" s="70">
        <f t="shared" si="11"/>
        <v>13225</v>
      </c>
      <c r="S47" s="70">
        <f t="shared" si="11"/>
        <v>200</v>
      </c>
      <c r="T47" s="70">
        <f t="shared" si="11"/>
        <v>200</v>
      </c>
      <c r="U47" s="70">
        <f t="shared" si="11"/>
        <v>20800</v>
      </c>
      <c r="V47" s="70">
        <f t="shared" si="11"/>
        <v>0</v>
      </c>
      <c r="W47" s="70">
        <f t="shared" si="11"/>
        <v>950.55</v>
      </c>
      <c r="X47" s="70">
        <f t="shared" si="11"/>
        <v>5607</v>
      </c>
      <c r="Y47" s="70">
        <f t="shared" si="11"/>
        <v>0</v>
      </c>
      <c r="Z47" s="70">
        <f t="shared" si="11"/>
        <v>124417.84</v>
      </c>
      <c r="AA47" s="70">
        <f t="shared" si="11"/>
        <v>10450994.1</v>
      </c>
      <c r="AB47" s="70">
        <f t="shared" si="11"/>
        <v>249606.79</v>
      </c>
      <c r="AC47" s="70">
        <f t="shared" si="11"/>
        <v>76362.399999999994</v>
      </c>
      <c r="AD47" s="70">
        <f t="shared" si="11"/>
        <v>47440</v>
      </c>
      <c r="AE47" s="70">
        <f t="shared" si="11"/>
        <v>747</v>
      </c>
      <c r="AF47" s="70">
        <f t="shared" si="11"/>
        <v>2625</v>
      </c>
      <c r="AG47" s="70">
        <f t="shared" si="11"/>
        <v>0</v>
      </c>
      <c r="AH47" s="70">
        <f t="shared" si="11"/>
        <v>407020</v>
      </c>
      <c r="AI47" s="70">
        <f t="shared" si="11"/>
        <v>126835</v>
      </c>
      <c r="AJ47" s="70">
        <f t="shared" si="11"/>
        <v>4160</v>
      </c>
      <c r="AK47" s="70">
        <f t="shared" si="11"/>
        <v>37935</v>
      </c>
      <c r="AL47" s="70">
        <f t="shared" si="11"/>
        <v>17200</v>
      </c>
      <c r="AM47" s="70">
        <f t="shared" si="11"/>
        <v>71366</v>
      </c>
      <c r="AN47" s="70">
        <f t="shared" si="11"/>
        <v>0</v>
      </c>
      <c r="AO47" s="70">
        <f t="shared" si="11"/>
        <v>200</v>
      </c>
      <c r="AP47" s="70">
        <f t="shared" si="11"/>
        <v>2000</v>
      </c>
      <c r="AQ47" s="70">
        <f t="shared" si="11"/>
        <v>200</v>
      </c>
      <c r="AR47" s="70">
        <f t="shared" si="11"/>
        <v>200</v>
      </c>
      <c r="AS47" s="70">
        <f t="shared" si="11"/>
        <v>7080</v>
      </c>
      <c r="AT47" s="70">
        <f t="shared" si="11"/>
        <v>296500</v>
      </c>
      <c r="AU47" s="70">
        <f t="shared" si="11"/>
        <v>0</v>
      </c>
      <c r="AV47" s="70">
        <f t="shared" si="11"/>
        <v>1</v>
      </c>
      <c r="AW47" s="70">
        <f t="shared" si="11"/>
        <v>9</v>
      </c>
      <c r="AX47" s="70">
        <f t="shared" si="11"/>
        <v>94880</v>
      </c>
      <c r="AY47" s="70">
        <f t="shared" si="11"/>
        <v>1</v>
      </c>
      <c r="AZ47" s="70">
        <f t="shared" si="11"/>
        <v>1505</v>
      </c>
      <c r="BA47" s="70">
        <f t="shared" si="11"/>
        <v>131525</v>
      </c>
      <c r="BB47" s="70">
        <f t="shared" si="11"/>
        <v>1200</v>
      </c>
      <c r="BC47" s="70">
        <f t="shared" si="11"/>
        <v>61615</v>
      </c>
      <c r="BD47" s="70">
        <f t="shared" si="11"/>
        <v>504</v>
      </c>
      <c r="BE47" s="70">
        <f t="shared" si="11"/>
        <v>711666.2</v>
      </c>
      <c r="BF47" s="70">
        <f t="shared" si="11"/>
        <v>5</v>
      </c>
      <c r="BG47" s="70">
        <f t="shared" si="6"/>
        <v>15340916.379999997</v>
      </c>
      <c r="BH47" s="70">
        <f t="shared" si="2"/>
        <v>2415116.0499999998</v>
      </c>
      <c r="BI47" s="70">
        <f t="shared" si="3"/>
        <v>11528143.129999999</v>
      </c>
      <c r="BJ47" s="70">
        <f t="shared" si="4"/>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6"/>
        <v>4483349.25</v>
      </c>
      <c r="BH48" s="80">
        <f t="shared" si="2"/>
        <v>1432891.05</v>
      </c>
      <c r="BI48" s="80">
        <f t="shared" si="3"/>
        <v>1652801</v>
      </c>
      <c r="BJ48" s="80">
        <f t="shared" si="4"/>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6"/>
        <v>10857567.129999999</v>
      </c>
      <c r="BH49" s="80">
        <f t="shared" si="2"/>
        <v>982225</v>
      </c>
      <c r="BI49" s="80">
        <f t="shared" si="3"/>
        <v>9875342.129999999</v>
      </c>
      <c r="BJ49" s="80">
        <f t="shared" si="4"/>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6"/>
        <v>0</v>
      </c>
      <c r="BH50" s="80">
        <f t="shared" si="2"/>
        <v>0</v>
      </c>
      <c r="BI50" s="80">
        <f t="shared" si="3"/>
        <v>0</v>
      </c>
      <c r="BJ50" s="80">
        <f t="shared" si="4"/>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6"/>
        <v>0</v>
      </c>
      <c r="BH51" s="80">
        <f t="shared" si="2"/>
        <v>0</v>
      </c>
      <c r="BI51" s="80">
        <f t="shared" si="3"/>
        <v>0</v>
      </c>
      <c r="BJ51" s="80">
        <f t="shared" si="4"/>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2">G54+G55+G56+G57+G58+G59</f>
        <v>660485.85</v>
      </c>
      <c r="H53" s="70">
        <f t="shared" si="12"/>
        <v>1414949</v>
      </c>
      <c r="I53" s="70">
        <f t="shared" si="12"/>
        <v>2480829.15</v>
      </c>
      <c r="J53" s="70">
        <f t="shared" si="12"/>
        <v>7418070</v>
      </c>
      <c r="K53" s="70">
        <f t="shared" si="12"/>
        <v>3017950</v>
      </c>
      <c r="L53" s="70">
        <f t="shared" si="12"/>
        <v>4472753</v>
      </c>
      <c r="M53" s="70">
        <f t="shared" si="12"/>
        <v>17026806.600000001</v>
      </c>
      <c r="N53" s="70">
        <f t="shared" si="12"/>
        <v>1032168</v>
      </c>
      <c r="O53" s="70">
        <f t="shared" si="12"/>
        <v>0</v>
      </c>
      <c r="P53" s="70">
        <f t="shared" si="12"/>
        <v>5983187.71</v>
      </c>
      <c r="Q53" s="70">
        <f t="shared" si="12"/>
        <v>1021197.1200000001</v>
      </c>
      <c r="R53" s="70">
        <f t="shared" si="12"/>
        <v>173100</v>
      </c>
      <c r="S53" s="70">
        <f t="shared" si="12"/>
        <v>544800</v>
      </c>
      <c r="T53" s="70">
        <f t="shared" si="12"/>
        <v>385983.25</v>
      </c>
      <c r="U53" s="70">
        <f t="shared" si="12"/>
        <v>2713585.15</v>
      </c>
      <c r="V53" s="70">
        <f t="shared" si="12"/>
        <v>448000</v>
      </c>
      <c r="W53" s="70">
        <f t="shared" si="12"/>
        <v>320000</v>
      </c>
      <c r="X53" s="70">
        <f t="shared" si="12"/>
        <v>1111221</v>
      </c>
      <c r="Y53" s="70">
        <f t="shared" si="12"/>
        <v>0</v>
      </c>
      <c r="Z53" s="70">
        <f t="shared" si="12"/>
        <v>167860</v>
      </c>
      <c r="AA53" s="70">
        <f t="shared" si="12"/>
        <v>1126577.45</v>
      </c>
      <c r="AB53" s="70">
        <f t="shared" si="12"/>
        <v>180906.95</v>
      </c>
      <c r="AC53" s="70">
        <f t="shared" si="12"/>
        <v>350219.05</v>
      </c>
      <c r="AD53" s="70">
        <f t="shared" si="12"/>
        <v>1562918.2999999998</v>
      </c>
      <c r="AE53" s="70">
        <f t="shared" si="12"/>
        <v>1534290.85</v>
      </c>
      <c r="AF53" s="70">
        <f t="shared" si="12"/>
        <v>0</v>
      </c>
      <c r="AG53" s="70">
        <f t="shared" si="12"/>
        <v>560878.15</v>
      </c>
      <c r="AH53" s="70">
        <f t="shared" si="12"/>
        <v>2202232.7999999998</v>
      </c>
      <c r="AI53" s="70">
        <f t="shared" si="12"/>
        <v>600000</v>
      </c>
      <c r="AJ53" s="70">
        <f t="shared" si="12"/>
        <v>0</v>
      </c>
      <c r="AK53" s="70">
        <f t="shared" si="12"/>
        <v>893750</v>
      </c>
      <c r="AL53" s="70">
        <f t="shared" si="12"/>
        <v>420000</v>
      </c>
      <c r="AM53" s="70">
        <f t="shared" si="12"/>
        <v>1311484.3</v>
      </c>
      <c r="AN53" s="70">
        <f t="shared" si="12"/>
        <v>1833684</v>
      </c>
      <c r="AO53" s="70">
        <f t="shared" si="12"/>
        <v>631637.14</v>
      </c>
      <c r="AP53" s="70">
        <f t="shared" si="12"/>
        <v>9747285</v>
      </c>
      <c r="AQ53" s="70">
        <f t="shared" si="12"/>
        <v>698220</v>
      </c>
      <c r="AR53" s="70">
        <f t="shared" si="12"/>
        <v>294546</v>
      </c>
      <c r="AS53" s="70">
        <f t="shared" si="12"/>
        <v>7127649.3499999996</v>
      </c>
      <c r="AT53" s="70">
        <f t="shared" si="12"/>
        <v>554697</v>
      </c>
      <c r="AU53" s="70">
        <f t="shared" si="12"/>
        <v>723170</v>
      </c>
      <c r="AV53" s="70">
        <f t="shared" si="12"/>
        <v>136322.20000000001</v>
      </c>
      <c r="AW53" s="70">
        <f t="shared" si="12"/>
        <v>0</v>
      </c>
      <c r="AX53" s="70">
        <f t="shared" si="12"/>
        <v>1054581.05</v>
      </c>
      <c r="AY53" s="70">
        <f t="shared" si="12"/>
        <v>116236</v>
      </c>
      <c r="AZ53" s="70">
        <f t="shared" si="12"/>
        <v>207450</v>
      </c>
      <c r="BA53" s="70">
        <f t="shared" si="12"/>
        <v>1230521</v>
      </c>
      <c r="BB53" s="70">
        <f t="shared" si="12"/>
        <v>398785</v>
      </c>
      <c r="BC53" s="70">
        <f t="shared" si="12"/>
        <v>2547238.5999999996</v>
      </c>
      <c r="BD53" s="70">
        <f t="shared" si="12"/>
        <v>5340</v>
      </c>
      <c r="BE53" s="70">
        <f t="shared" si="12"/>
        <v>8969582.9000000004</v>
      </c>
      <c r="BF53" s="70">
        <f t="shared" si="12"/>
        <v>895335</v>
      </c>
      <c r="BG53" s="70">
        <f t="shared" si="6"/>
        <v>98570638.619999975</v>
      </c>
      <c r="BH53" s="70">
        <f t="shared" si="2"/>
        <v>50487240.529999994</v>
      </c>
      <c r="BI53" s="70">
        <f t="shared" si="3"/>
        <v>9179633.5500000007</v>
      </c>
      <c r="BJ53" s="70">
        <f t="shared" si="4"/>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6"/>
        <v>40877830.079999998</v>
      </c>
      <c r="BH54" s="80">
        <f t="shared" si="2"/>
        <v>20088635.939999998</v>
      </c>
      <c r="BI54" s="80">
        <f t="shared" si="3"/>
        <v>2029978.0999999999</v>
      </c>
      <c r="BJ54" s="80">
        <f t="shared" si="4"/>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6"/>
        <v>53619394.649999999</v>
      </c>
      <c r="BH55" s="80">
        <f t="shared" si="2"/>
        <v>27769357.400000002</v>
      </c>
      <c r="BI55" s="80">
        <f t="shared" si="3"/>
        <v>6561504.0999999996</v>
      </c>
      <c r="BJ55" s="80">
        <f t="shared" si="4"/>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6"/>
        <v>0</v>
      </c>
      <c r="BH56" s="80">
        <f t="shared" si="2"/>
        <v>0</v>
      </c>
      <c r="BI56" s="80">
        <f t="shared" si="3"/>
        <v>0</v>
      </c>
      <c r="BJ56" s="80">
        <f t="shared" si="4"/>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6"/>
        <v>4073413.8899999997</v>
      </c>
      <c r="BH57" s="80">
        <f t="shared" si="2"/>
        <v>2629247.19</v>
      </c>
      <c r="BI57" s="80">
        <f t="shared" si="3"/>
        <v>588151.35000000009</v>
      </c>
      <c r="BJ57" s="80">
        <f t="shared" si="4"/>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6"/>
        <v>0</v>
      </c>
      <c r="BH58" s="80">
        <f t="shared" si="2"/>
        <v>0</v>
      </c>
      <c r="BI58" s="80">
        <f t="shared" si="3"/>
        <v>0</v>
      </c>
      <c r="BJ58" s="80">
        <f t="shared" si="4"/>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6"/>
        <v>0</v>
      </c>
      <c r="BH59" s="80">
        <f t="shared" si="2"/>
        <v>0</v>
      </c>
      <c r="BI59" s="80">
        <f t="shared" si="3"/>
        <v>0</v>
      </c>
      <c r="BJ59" s="80">
        <f t="shared" si="4"/>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3">G62+G63+G64+G65</f>
        <v>0</v>
      </c>
      <c r="H61" s="70">
        <f t="shared" si="13"/>
        <v>0</v>
      </c>
      <c r="I61" s="70">
        <f t="shared" si="13"/>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c r="X61" s="70">
        <f t="shared" si="13"/>
        <v>0</v>
      </c>
      <c r="Y61" s="70">
        <f t="shared" si="13"/>
        <v>0</v>
      </c>
      <c r="Z61" s="70">
        <f t="shared" si="13"/>
        <v>0</v>
      </c>
      <c r="AA61" s="70">
        <f t="shared" si="13"/>
        <v>0</v>
      </c>
      <c r="AB61" s="70">
        <f t="shared" si="13"/>
        <v>0</v>
      </c>
      <c r="AC61" s="70">
        <f t="shared" si="13"/>
        <v>0</v>
      </c>
      <c r="AD61" s="70">
        <f t="shared" si="13"/>
        <v>0</v>
      </c>
      <c r="AE61" s="70">
        <f t="shared" si="13"/>
        <v>0</v>
      </c>
      <c r="AF61" s="70">
        <f t="shared" si="13"/>
        <v>0</v>
      </c>
      <c r="AG61" s="70">
        <f t="shared" si="13"/>
        <v>0</v>
      </c>
      <c r="AH61" s="70">
        <f t="shared" si="13"/>
        <v>0</v>
      </c>
      <c r="AI61" s="70">
        <f t="shared" si="13"/>
        <v>0</v>
      </c>
      <c r="AJ61" s="70">
        <f t="shared" si="13"/>
        <v>0</v>
      </c>
      <c r="AK61" s="70">
        <f t="shared" si="13"/>
        <v>0</v>
      </c>
      <c r="AL61" s="70">
        <f t="shared" si="13"/>
        <v>0</v>
      </c>
      <c r="AM61" s="70">
        <f t="shared" si="13"/>
        <v>0</v>
      </c>
      <c r="AN61" s="70">
        <f t="shared" si="13"/>
        <v>0</v>
      </c>
      <c r="AO61" s="70">
        <f t="shared" si="13"/>
        <v>0</v>
      </c>
      <c r="AP61" s="70">
        <f t="shared" si="13"/>
        <v>0</v>
      </c>
      <c r="AQ61" s="70">
        <f t="shared" si="13"/>
        <v>0</v>
      </c>
      <c r="AR61" s="70">
        <f t="shared" si="13"/>
        <v>0</v>
      </c>
      <c r="AS61" s="70">
        <f t="shared" si="13"/>
        <v>0</v>
      </c>
      <c r="AT61" s="70">
        <f t="shared" si="13"/>
        <v>0</v>
      </c>
      <c r="AU61" s="70">
        <f t="shared" si="13"/>
        <v>0</v>
      </c>
      <c r="AV61" s="70">
        <f t="shared" si="13"/>
        <v>0</v>
      </c>
      <c r="AW61" s="70">
        <f t="shared" si="13"/>
        <v>0</v>
      </c>
      <c r="AX61" s="70">
        <f t="shared" si="13"/>
        <v>0</v>
      </c>
      <c r="AY61" s="70">
        <f t="shared" si="13"/>
        <v>0</v>
      </c>
      <c r="AZ61" s="70">
        <f t="shared" si="13"/>
        <v>0</v>
      </c>
      <c r="BA61" s="70">
        <f t="shared" si="13"/>
        <v>0</v>
      </c>
      <c r="BB61" s="70">
        <f t="shared" si="13"/>
        <v>0</v>
      </c>
      <c r="BC61" s="70">
        <f t="shared" si="13"/>
        <v>0</v>
      </c>
      <c r="BD61" s="70">
        <f t="shared" si="13"/>
        <v>0</v>
      </c>
      <c r="BE61" s="70">
        <f t="shared" si="13"/>
        <v>0</v>
      </c>
      <c r="BF61" s="70">
        <f t="shared" si="13"/>
        <v>0</v>
      </c>
      <c r="BG61" s="70">
        <f t="shared" si="6"/>
        <v>0</v>
      </c>
      <c r="BH61" s="70">
        <f t="shared" si="2"/>
        <v>0</v>
      </c>
      <c r="BI61" s="70">
        <f t="shared" si="3"/>
        <v>0</v>
      </c>
      <c r="BJ61" s="70">
        <f t="shared" si="4"/>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6"/>
        <v>0</v>
      </c>
      <c r="BH62" s="80">
        <f t="shared" si="2"/>
        <v>0</v>
      </c>
      <c r="BI62" s="80">
        <f t="shared" si="3"/>
        <v>0</v>
      </c>
      <c r="BJ62" s="80">
        <f t="shared" si="4"/>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6"/>
        <v>0</v>
      </c>
      <c r="BH63" s="80">
        <f t="shared" si="2"/>
        <v>0</v>
      </c>
      <c r="BI63" s="80">
        <f t="shared" si="3"/>
        <v>0</v>
      </c>
      <c r="BJ63" s="80">
        <f t="shared" si="4"/>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6"/>
        <v>0</v>
      </c>
      <c r="BH64" s="80">
        <f t="shared" si="2"/>
        <v>0</v>
      </c>
      <c r="BI64" s="80">
        <f t="shared" si="3"/>
        <v>0</v>
      </c>
      <c r="BJ64" s="80">
        <f t="shared" si="4"/>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6"/>
        <v>0</v>
      </c>
      <c r="BH65" s="80">
        <f t="shared" si="2"/>
        <v>0</v>
      </c>
      <c r="BI65" s="80">
        <f t="shared" si="3"/>
        <v>0</v>
      </c>
      <c r="BJ65" s="80">
        <f t="shared" si="4"/>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4">G68+G79+G85+G96+G107</f>
        <v>1824121.8399999999</v>
      </c>
      <c r="H67" s="77">
        <f t="shared" si="14"/>
        <v>2736553.0599999996</v>
      </c>
      <c r="I67" s="77">
        <f t="shared" si="14"/>
        <v>2637819.1999999997</v>
      </c>
      <c r="J67" s="77">
        <f t="shared" si="14"/>
        <v>20475712.490000002</v>
      </c>
      <c r="K67" s="77">
        <f t="shared" si="14"/>
        <v>23602692.329999998</v>
      </c>
      <c r="L67" s="77">
        <f t="shared" si="14"/>
        <v>10515554.360000001</v>
      </c>
      <c r="M67" s="77">
        <f t="shared" si="14"/>
        <v>126875591.09999999</v>
      </c>
      <c r="N67" s="77">
        <f t="shared" si="14"/>
        <v>7386815.2000000002</v>
      </c>
      <c r="O67" s="77">
        <f t="shared" si="14"/>
        <v>1249167.92</v>
      </c>
      <c r="P67" s="77">
        <f t="shared" si="14"/>
        <v>34850932.899999999</v>
      </c>
      <c r="Q67" s="77">
        <f t="shared" si="14"/>
        <v>2676262.19</v>
      </c>
      <c r="R67" s="77">
        <f t="shared" si="14"/>
        <v>259871.90000000002</v>
      </c>
      <c r="S67" s="77">
        <f t="shared" si="14"/>
        <v>2595505.3499999996</v>
      </c>
      <c r="T67" s="77">
        <f t="shared" si="14"/>
        <v>2995244.05</v>
      </c>
      <c r="U67" s="77">
        <f t="shared" si="14"/>
        <v>2777960.58</v>
      </c>
      <c r="V67" s="77">
        <f t="shared" si="14"/>
        <v>1074130</v>
      </c>
      <c r="W67" s="77">
        <f t="shared" si="14"/>
        <v>2685557.83</v>
      </c>
      <c r="X67" s="77">
        <f t="shared" si="14"/>
        <v>16516678.619999999</v>
      </c>
      <c r="Y67" s="77">
        <f t="shared" si="14"/>
        <v>2070694.95</v>
      </c>
      <c r="Z67" s="77">
        <f t="shared" si="14"/>
        <v>10443550.630000001</v>
      </c>
      <c r="AA67" s="77">
        <f t="shared" si="14"/>
        <v>8266344</v>
      </c>
      <c r="AB67" s="77">
        <f t="shared" si="14"/>
        <v>860665</v>
      </c>
      <c r="AC67" s="77">
        <f t="shared" si="14"/>
        <v>1432707.55</v>
      </c>
      <c r="AD67" s="77">
        <f t="shared" si="14"/>
        <v>3003187.7</v>
      </c>
      <c r="AE67" s="77">
        <f t="shared" si="14"/>
        <v>6308732.9199999999</v>
      </c>
      <c r="AF67" s="77">
        <f t="shared" si="14"/>
        <v>4277534.5</v>
      </c>
      <c r="AG67" s="77">
        <f t="shared" si="14"/>
        <v>4375593.75</v>
      </c>
      <c r="AH67" s="77">
        <f t="shared" si="14"/>
        <v>7895809.3899999997</v>
      </c>
      <c r="AI67" s="77">
        <f t="shared" si="14"/>
        <v>17618801.880000003</v>
      </c>
      <c r="AJ67" s="77">
        <f t="shared" si="14"/>
        <v>2021357.72</v>
      </c>
      <c r="AK67" s="77">
        <f t="shared" si="14"/>
        <v>1144823.8</v>
      </c>
      <c r="AL67" s="77">
        <f t="shared" si="14"/>
        <v>16899818.619999997</v>
      </c>
      <c r="AM67" s="77">
        <f t="shared" si="14"/>
        <v>10327268</v>
      </c>
      <c r="AN67" s="77">
        <f t="shared" si="14"/>
        <v>9936473.7599999979</v>
      </c>
      <c r="AO67" s="77">
        <f t="shared" si="14"/>
        <v>1285941.98</v>
      </c>
      <c r="AP67" s="77">
        <f t="shared" si="14"/>
        <v>16510979.25</v>
      </c>
      <c r="AQ67" s="77">
        <f t="shared" si="14"/>
        <v>4257388.4000000004</v>
      </c>
      <c r="AR67" s="77">
        <f t="shared" si="14"/>
        <v>3884766.68</v>
      </c>
      <c r="AS67" s="77">
        <f t="shared" si="14"/>
        <v>10706170.180000002</v>
      </c>
      <c r="AT67" s="77">
        <f t="shared" si="14"/>
        <v>5315004.45</v>
      </c>
      <c r="AU67" s="77">
        <f t="shared" si="14"/>
        <v>6785997.79</v>
      </c>
      <c r="AV67" s="77">
        <f t="shared" si="14"/>
        <v>2710423.5999999996</v>
      </c>
      <c r="AW67" s="77">
        <f t="shared" si="14"/>
        <v>15315653.25</v>
      </c>
      <c r="AX67" s="77">
        <f t="shared" si="14"/>
        <v>5531530.8299999991</v>
      </c>
      <c r="AY67" s="77">
        <f t="shared" si="14"/>
        <v>835660</v>
      </c>
      <c r="AZ67" s="77">
        <f t="shared" si="14"/>
        <v>1406493.3</v>
      </c>
      <c r="BA67" s="77">
        <f t="shared" si="14"/>
        <v>18728138.899999999</v>
      </c>
      <c r="BB67" s="77">
        <f t="shared" si="14"/>
        <v>2426562.4699999997</v>
      </c>
      <c r="BC67" s="77">
        <f t="shared" si="14"/>
        <v>10501551.530000001</v>
      </c>
      <c r="BD67" s="77">
        <f t="shared" si="14"/>
        <v>705324.45</v>
      </c>
      <c r="BE67" s="77">
        <f t="shared" si="14"/>
        <v>52839980.530000001</v>
      </c>
      <c r="BF67" s="77">
        <f t="shared" si="14"/>
        <v>3546507.7</v>
      </c>
      <c r="BG67" s="77">
        <f t="shared" si="6"/>
        <v>542886537.8900001</v>
      </c>
      <c r="BH67" s="77">
        <f t="shared" si="2"/>
        <v>272709098.43000001</v>
      </c>
      <c r="BI67" s="77">
        <f t="shared" si="3"/>
        <v>69719803.790000007</v>
      </c>
      <c r="BJ67" s="77">
        <f t="shared" si="4"/>
        <v>200457635.66999996</v>
      </c>
      <c r="BK67" s="41"/>
    </row>
    <row r="68" spans="2:63" x14ac:dyDescent="0.25">
      <c r="C68" s="69">
        <v>140</v>
      </c>
      <c r="D68" s="69"/>
      <c r="E68" s="69" t="s">
        <v>249</v>
      </c>
      <c r="F68" s="70">
        <f>F69+F70+F71+F72+F73+F74+F75+F76+F77</f>
        <v>8956624.5600000005</v>
      </c>
      <c r="G68" s="70">
        <f t="shared" ref="G68:BF68" si="15">G69+G70+G71+G72+G73+G74+G75+G76+G77</f>
        <v>1714274.89</v>
      </c>
      <c r="H68" s="70">
        <f t="shared" si="15"/>
        <v>2719088.26</v>
      </c>
      <c r="I68" s="70">
        <f t="shared" si="15"/>
        <v>2564066.5499999998</v>
      </c>
      <c r="J68" s="70">
        <f t="shared" si="15"/>
        <v>19948055.390000004</v>
      </c>
      <c r="K68" s="70">
        <f t="shared" si="15"/>
        <v>22820110.129999999</v>
      </c>
      <c r="L68" s="70">
        <f t="shared" si="15"/>
        <v>10106681.060000001</v>
      </c>
      <c r="M68" s="70">
        <f t="shared" si="15"/>
        <v>124585180.3</v>
      </c>
      <c r="N68" s="70">
        <f t="shared" si="15"/>
        <v>7124528.4000000004</v>
      </c>
      <c r="O68" s="70">
        <f t="shared" si="15"/>
        <v>1249167.92</v>
      </c>
      <c r="P68" s="70">
        <f t="shared" si="15"/>
        <v>34309216.649999999</v>
      </c>
      <c r="Q68" s="70">
        <f t="shared" si="15"/>
        <v>2676262.19</v>
      </c>
      <c r="R68" s="70">
        <f t="shared" si="15"/>
        <v>208134.90000000002</v>
      </c>
      <c r="S68" s="70">
        <f t="shared" si="15"/>
        <v>2595505.3499999996</v>
      </c>
      <c r="T68" s="70">
        <f t="shared" si="15"/>
        <v>2990244.05</v>
      </c>
      <c r="U68" s="70">
        <f t="shared" si="15"/>
        <v>2777959.58</v>
      </c>
      <c r="V68" s="70">
        <f t="shared" si="15"/>
        <v>969430</v>
      </c>
      <c r="W68" s="70">
        <f t="shared" si="15"/>
        <v>2536107.38</v>
      </c>
      <c r="X68" s="70">
        <f t="shared" si="15"/>
        <v>15912410.02</v>
      </c>
      <c r="Y68" s="70">
        <f t="shared" si="15"/>
        <v>2070683.95</v>
      </c>
      <c r="Z68" s="70">
        <f t="shared" si="15"/>
        <v>9862898.2300000004</v>
      </c>
      <c r="AA68" s="70">
        <f t="shared" si="15"/>
        <v>8266344</v>
      </c>
      <c r="AB68" s="70">
        <f t="shared" si="15"/>
        <v>692465</v>
      </c>
      <c r="AC68" s="70">
        <f t="shared" si="15"/>
        <v>1432707.55</v>
      </c>
      <c r="AD68" s="70">
        <f t="shared" si="15"/>
        <v>2624928</v>
      </c>
      <c r="AE68" s="70">
        <f t="shared" si="15"/>
        <v>6291981.8200000003</v>
      </c>
      <c r="AF68" s="70">
        <f t="shared" si="15"/>
        <v>4203524.5</v>
      </c>
      <c r="AG68" s="70">
        <f t="shared" si="15"/>
        <v>4225583.75</v>
      </c>
      <c r="AH68" s="70">
        <f t="shared" si="15"/>
        <v>7689351.54</v>
      </c>
      <c r="AI68" s="70">
        <f t="shared" si="15"/>
        <v>16931814.630000003</v>
      </c>
      <c r="AJ68" s="70">
        <f t="shared" si="15"/>
        <v>1751810.45</v>
      </c>
      <c r="AK68" s="70">
        <f t="shared" si="15"/>
        <v>1144823.8</v>
      </c>
      <c r="AL68" s="70">
        <f t="shared" si="15"/>
        <v>16538103.119999999</v>
      </c>
      <c r="AM68" s="70">
        <f t="shared" si="15"/>
        <v>10327268</v>
      </c>
      <c r="AN68" s="70">
        <f t="shared" si="15"/>
        <v>9321149.3099999987</v>
      </c>
      <c r="AO68" s="70">
        <f t="shared" si="15"/>
        <v>1283033.98</v>
      </c>
      <c r="AP68" s="70">
        <f t="shared" si="15"/>
        <v>16401195.449999999</v>
      </c>
      <c r="AQ68" s="70">
        <f t="shared" si="15"/>
        <v>3816036.8000000003</v>
      </c>
      <c r="AR68" s="70">
        <f t="shared" si="15"/>
        <v>3751762.68</v>
      </c>
      <c r="AS68" s="70">
        <f t="shared" si="15"/>
        <v>10208121.380000001</v>
      </c>
      <c r="AT68" s="70">
        <f t="shared" si="15"/>
        <v>5154132.6500000004</v>
      </c>
      <c r="AU68" s="70">
        <f t="shared" si="15"/>
        <v>6491007.04</v>
      </c>
      <c r="AV68" s="70">
        <f t="shared" si="15"/>
        <v>2686265.3</v>
      </c>
      <c r="AW68" s="70">
        <f t="shared" si="15"/>
        <v>14924180.6</v>
      </c>
      <c r="AX68" s="70">
        <f t="shared" si="15"/>
        <v>5463519.6199999992</v>
      </c>
      <c r="AY68" s="70">
        <f t="shared" si="15"/>
        <v>835660</v>
      </c>
      <c r="AZ68" s="70">
        <f t="shared" si="15"/>
        <v>1375830</v>
      </c>
      <c r="BA68" s="70">
        <f t="shared" si="15"/>
        <v>18021959.199999999</v>
      </c>
      <c r="BB68" s="70">
        <f t="shared" si="15"/>
        <v>2250722.4699999997</v>
      </c>
      <c r="BC68" s="70">
        <f t="shared" si="15"/>
        <v>10029804.640000001</v>
      </c>
      <c r="BD68" s="70">
        <f t="shared" si="15"/>
        <v>705324.45</v>
      </c>
      <c r="BE68" s="70">
        <f t="shared" si="15"/>
        <v>47584068.810000002</v>
      </c>
      <c r="BF68" s="70">
        <f t="shared" si="15"/>
        <v>3487453</v>
      </c>
      <c r="BG68" s="70">
        <f t="shared" si="6"/>
        <v>524608563.30000013</v>
      </c>
      <c r="BH68" s="70">
        <f t="shared" si="2"/>
        <v>266763047.58000001</v>
      </c>
      <c r="BI68" s="70">
        <f t="shared" si="3"/>
        <v>67188917.219999999</v>
      </c>
      <c r="BJ68" s="70">
        <f t="shared" si="4"/>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6"/>
        <v>27617297.289999995</v>
      </c>
      <c r="BH69" s="80">
        <f t="shared" ref="BH69:BH134" si="16">SUM(F69:X69)</f>
        <v>9259807.0299999993</v>
      </c>
      <c r="BI69" s="80">
        <f t="shared" ref="BI69:BI134" si="17">SUM(Y69:AK69)</f>
        <v>12400927.01</v>
      </c>
      <c r="BJ69" s="80">
        <f t="shared" ref="BJ69:BJ134" si="18">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19">SUM(F70:BF70)</f>
        <v>105085531.52</v>
      </c>
      <c r="BH70" s="80">
        <f t="shared" si="16"/>
        <v>49937723.689999998</v>
      </c>
      <c r="BI70" s="80">
        <f t="shared" si="17"/>
        <v>10819331.129999999</v>
      </c>
      <c r="BJ70" s="80">
        <f t="shared" si="18"/>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19"/>
        <v>3634312.4399999995</v>
      </c>
      <c r="BH71" s="80">
        <f t="shared" si="16"/>
        <v>2384034.7399999998</v>
      </c>
      <c r="BI71" s="80">
        <f t="shared" si="17"/>
        <v>27453</v>
      </c>
      <c r="BJ71" s="80">
        <f t="shared" si="18"/>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19"/>
        <v>107360987.94</v>
      </c>
      <c r="BH72" s="80">
        <f t="shared" si="16"/>
        <v>64263096.009999998</v>
      </c>
      <c r="BI72" s="80">
        <f t="shared" si="17"/>
        <v>9511786.1099999994</v>
      </c>
      <c r="BJ72" s="80">
        <f t="shared" si="18"/>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19"/>
        <v>200220904.15000001</v>
      </c>
      <c r="BH73" s="80">
        <f t="shared" si="16"/>
        <v>119216267.48999999</v>
      </c>
      <c r="BI73" s="80">
        <f t="shared" si="17"/>
        <v>17223078.379999999</v>
      </c>
      <c r="BJ73" s="80">
        <f t="shared" si="18"/>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19"/>
        <v>32362343.900000002</v>
      </c>
      <c r="BH74" s="80">
        <f t="shared" si="16"/>
        <v>614925</v>
      </c>
      <c r="BI74" s="80">
        <f t="shared" si="17"/>
        <v>7949540.9499999993</v>
      </c>
      <c r="BJ74" s="80">
        <f t="shared" si="18"/>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19"/>
        <v>7788168.0099999998</v>
      </c>
      <c r="BH75" s="80">
        <f t="shared" si="16"/>
        <v>5341932.8</v>
      </c>
      <c r="BI75" s="80">
        <f t="shared" si="17"/>
        <v>863562.10000000009</v>
      </c>
      <c r="BJ75" s="80">
        <f t="shared" si="18"/>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19"/>
        <v>35451555.399999999</v>
      </c>
      <c r="BH76" s="80">
        <f t="shared" si="16"/>
        <v>15745260.819999998</v>
      </c>
      <c r="BI76" s="80">
        <f t="shared" si="17"/>
        <v>8393238.540000001</v>
      </c>
      <c r="BJ76" s="80">
        <f t="shared" si="18"/>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19"/>
        <v>5087462.6500000004</v>
      </c>
      <c r="BH77" s="80">
        <f t="shared" si="16"/>
        <v>0</v>
      </c>
      <c r="BI77" s="80">
        <f t="shared" si="17"/>
        <v>0</v>
      </c>
      <c r="BJ77" s="80">
        <f t="shared" si="18"/>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0">F80+F81+F82+F83</f>
        <v>0</v>
      </c>
      <c r="G79" s="70">
        <f t="shared" si="20"/>
        <v>109846.95</v>
      </c>
      <c r="H79" s="70">
        <f t="shared" si="20"/>
        <v>17464.8</v>
      </c>
      <c r="I79" s="70">
        <f t="shared" si="20"/>
        <v>73752.649999999994</v>
      </c>
      <c r="J79" s="70">
        <f t="shared" si="20"/>
        <v>461928.9</v>
      </c>
      <c r="K79" s="70">
        <f t="shared" si="20"/>
        <v>13136.2</v>
      </c>
      <c r="L79" s="70">
        <f t="shared" si="20"/>
        <v>253129</v>
      </c>
      <c r="M79" s="70">
        <f t="shared" si="20"/>
        <v>916895.8</v>
      </c>
      <c r="N79" s="70">
        <f t="shared" si="20"/>
        <v>26818.799999999999</v>
      </c>
      <c r="O79" s="70">
        <f t="shared" si="20"/>
        <v>0</v>
      </c>
      <c r="P79" s="70">
        <f>P80+P81+P82+P83</f>
        <v>313234.64999999997</v>
      </c>
      <c r="Q79" s="70">
        <f t="shared" ref="Q79:BF79" si="21">Q80+Q81+Q82+Q83</f>
        <v>0</v>
      </c>
      <c r="R79" s="70">
        <f t="shared" si="21"/>
        <v>39512</v>
      </c>
      <c r="S79" s="70">
        <f t="shared" si="21"/>
        <v>0</v>
      </c>
      <c r="T79" s="70">
        <f t="shared" si="21"/>
        <v>5000</v>
      </c>
      <c r="U79" s="70">
        <f t="shared" si="21"/>
        <v>0</v>
      </c>
      <c r="V79" s="70">
        <f t="shared" si="21"/>
        <v>39200</v>
      </c>
      <c r="W79" s="70">
        <f t="shared" si="21"/>
        <v>149450.45000000001</v>
      </c>
      <c r="X79" s="70">
        <f t="shared" si="21"/>
        <v>378741.5</v>
      </c>
      <c r="Y79" s="70">
        <f t="shared" si="21"/>
        <v>0</v>
      </c>
      <c r="Z79" s="70">
        <f t="shared" si="21"/>
        <v>85889.4</v>
      </c>
      <c r="AA79" s="70">
        <f t="shared" si="21"/>
        <v>0</v>
      </c>
      <c r="AB79" s="70">
        <f t="shared" si="21"/>
        <v>0</v>
      </c>
      <c r="AC79" s="70">
        <f t="shared" si="21"/>
        <v>0</v>
      </c>
      <c r="AD79" s="70">
        <f t="shared" si="21"/>
        <v>212109.7</v>
      </c>
      <c r="AE79" s="70">
        <f t="shared" si="21"/>
        <v>16751.099999999999</v>
      </c>
      <c r="AF79" s="70">
        <f t="shared" si="21"/>
        <v>74000</v>
      </c>
      <c r="AG79" s="70">
        <f t="shared" si="21"/>
        <v>150000</v>
      </c>
      <c r="AH79" s="70">
        <f t="shared" si="21"/>
        <v>206457.85</v>
      </c>
      <c r="AI79" s="70">
        <f t="shared" si="21"/>
        <v>171988.75</v>
      </c>
      <c r="AJ79" s="70">
        <f t="shared" si="21"/>
        <v>14241</v>
      </c>
      <c r="AK79" s="70">
        <f t="shared" si="21"/>
        <v>0</v>
      </c>
      <c r="AL79" s="70">
        <f t="shared" si="21"/>
        <v>361715.5</v>
      </c>
      <c r="AM79" s="70">
        <f t="shared" si="21"/>
        <v>0</v>
      </c>
      <c r="AN79" s="70">
        <f t="shared" si="21"/>
        <v>510757.45</v>
      </c>
      <c r="AO79" s="70">
        <f t="shared" si="21"/>
        <v>0</v>
      </c>
      <c r="AP79" s="70">
        <f t="shared" si="21"/>
        <v>72580.800000000003</v>
      </c>
      <c r="AQ79" s="70">
        <f t="shared" si="21"/>
        <v>395329.6</v>
      </c>
      <c r="AR79" s="70">
        <f t="shared" si="21"/>
        <v>0</v>
      </c>
      <c r="AS79" s="70">
        <f t="shared" si="21"/>
        <v>398043.80000000005</v>
      </c>
      <c r="AT79" s="70">
        <f t="shared" si="21"/>
        <v>34969.800000000003</v>
      </c>
      <c r="AU79" s="70">
        <f t="shared" si="21"/>
        <v>67324.350000000006</v>
      </c>
      <c r="AV79" s="70">
        <f t="shared" si="21"/>
        <v>21605.3</v>
      </c>
      <c r="AW79" s="70">
        <f t="shared" si="21"/>
        <v>72272.649999999994</v>
      </c>
      <c r="AX79" s="70">
        <f t="shared" si="21"/>
        <v>58011.21</v>
      </c>
      <c r="AY79" s="70">
        <f t="shared" si="21"/>
        <v>0</v>
      </c>
      <c r="AZ79" s="70">
        <f t="shared" si="21"/>
        <v>30663.3</v>
      </c>
      <c r="BA79" s="70">
        <f t="shared" si="21"/>
        <v>509174.7</v>
      </c>
      <c r="BB79" s="70">
        <f t="shared" si="21"/>
        <v>162340</v>
      </c>
      <c r="BC79" s="70">
        <f t="shared" si="21"/>
        <v>390185.89</v>
      </c>
      <c r="BD79" s="70">
        <f t="shared" si="21"/>
        <v>0</v>
      </c>
      <c r="BE79" s="70">
        <f t="shared" si="21"/>
        <v>670459.23</v>
      </c>
      <c r="BF79" s="70">
        <f t="shared" si="21"/>
        <v>36554.699999999997</v>
      </c>
      <c r="BG79" s="70">
        <f t="shared" si="19"/>
        <v>7521537.7799999984</v>
      </c>
      <c r="BH79" s="70">
        <f t="shared" si="16"/>
        <v>2798111.7</v>
      </c>
      <c r="BI79" s="70">
        <f t="shared" si="17"/>
        <v>931437.79999999993</v>
      </c>
      <c r="BJ79" s="70">
        <f t="shared" si="18"/>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19"/>
        <v>607615.85000000009</v>
      </c>
      <c r="BH80" s="80">
        <f t="shared" si="16"/>
        <v>518283.95</v>
      </c>
      <c r="BI80" s="80">
        <f t="shared" si="17"/>
        <v>16751.099999999999</v>
      </c>
      <c r="BJ80" s="80">
        <f t="shared" si="18"/>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19"/>
        <v>0</v>
      </c>
      <c r="BH81" s="80">
        <f t="shared" si="16"/>
        <v>0</v>
      </c>
      <c r="BI81" s="80">
        <f t="shared" si="17"/>
        <v>0</v>
      </c>
      <c r="BJ81" s="80">
        <f t="shared" si="18"/>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19"/>
        <v>1917546.22</v>
      </c>
      <c r="BH82" s="80">
        <f t="shared" si="16"/>
        <v>326068.59999999998</v>
      </c>
      <c r="BI82" s="80">
        <f t="shared" si="17"/>
        <v>212109.7</v>
      </c>
      <c r="BJ82" s="80">
        <f t="shared" si="18"/>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19"/>
        <v>4996375.709999999</v>
      </c>
      <c r="BH83" s="80">
        <f t="shared" si="16"/>
        <v>1953759.15</v>
      </c>
      <c r="BI83" s="80">
        <f t="shared" si="17"/>
        <v>702577</v>
      </c>
      <c r="BJ83" s="80">
        <f t="shared" si="18"/>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2">G86+G87+G88+G89+G90+G91+G92+G93+G94</f>
        <v>0</v>
      </c>
      <c r="H85" s="70">
        <f t="shared" si="22"/>
        <v>0</v>
      </c>
      <c r="I85" s="70">
        <f t="shared" si="22"/>
        <v>0</v>
      </c>
      <c r="J85" s="70">
        <f t="shared" si="22"/>
        <v>0</v>
      </c>
      <c r="K85" s="70">
        <f t="shared" si="22"/>
        <v>0</v>
      </c>
      <c r="L85" s="70">
        <f t="shared" si="22"/>
        <v>27900</v>
      </c>
      <c r="M85" s="70">
        <f t="shared" si="22"/>
        <v>1093520</v>
      </c>
      <c r="N85" s="70">
        <f t="shared" si="22"/>
        <v>130000</v>
      </c>
      <c r="O85" s="70">
        <f t="shared" si="22"/>
        <v>0</v>
      </c>
      <c r="P85" s="70">
        <f t="shared" si="22"/>
        <v>43772</v>
      </c>
      <c r="Q85" s="70">
        <f t="shared" si="22"/>
        <v>0</v>
      </c>
      <c r="R85" s="70">
        <f t="shared" si="22"/>
        <v>0</v>
      </c>
      <c r="S85" s="70">
        <f t="shared" si="22"/>
        <v>0</v>
      </c>
      <c r="T85" s="70">
        <f t="shared" si="22"/>
        <v>0</v>
      </c>
      <c r="U85" s="70">
        <f t="shared" si="22"/>
        <v>1</v>
      </c>
      <c r="V85" s="70">
        <f t="shared" si="22"/>
        <v>65500</v>
      </c>
      <c r="W85" s="70">
        <f t="shared" si="22"/>
        <v>0</v>
      </c>
      <c r="X85" s="70">
        <f t="shared" si="22"/>
        <v>0</v>
      </c>
      <c r="Y85" s="70">
        <f t="shared" si="22"/>
        <v>0</v>
      </c>
      <c r="Z85" s="70">
        <f t="shared" si="22"/>
        <v>0</v>
      </c>
      <c r="AA85" s="70">
        <f t="shared" si="22"/>
        <v>0</v>
      </c>
      <c r="AB85" s="70">
        <f t="shared" si="22"/>
        <v>0</v>
      </c>
      <c r="AC85" s="70">
        <f t="shared" si="22"/>
        <v>0</v>
      </c>
      <c r="AD85" s="70">
        <f t="shared" si="22"/>
        <v>18000</v>
      </c>
      <c r="AE85" s="70">
        <f t="shared" si="22"/>
        <v>0</v>
      </c>
      <c r="AF85" s="70">
        <f t="shared" si="22"/>
        <v>0</v>
      </c>
      <c r="AG85" s="70">
        <f t="shared" si="22"/>
        <v>0</v>
      </c>
      <c r="AH85" s="70">
        <f t="shared" si="22"/>
        <v>0</v>
      </c>
      <c r="AI85" s="70">
        <f t="shared" si="22"/>
        <v>326316.59999999998</v>
      </c>
      <c r="AJ85" s="70">
        <f t="shared" si="22"/>
        <v>0</v>
      </c>
      <c r="AK85" s="70">
        <f t="shared" si="22"/>
        <v>0</v>
      </c>
      <c r="AL85" s="70">
        <f t="shared" si="22"/>
        <v>0</v>
      </c>
      <c r="AM85" s="70">
        <f t="shared" si="22"/>
        <v>0</v>
      </c>
      <c r="AN85" s="70">
        <f t="shared" si="22"/>
        <v>100800</v>
      </c>
      <c r="AO85" s="70">
        <f t="shared" si="22"/>
        <v>0</v>
      </c>
      <c r="AP85" s="70">
        <f t="shared" si="22"/>
        <v>37200</v>
      </c>
      <c r="AQ85" s="70">
        <f t="shared" si="22"/>
        <v>42600</v>
      </c>
      <c r="AR85" s="70">
        <f t="shared" si="22"/>
        <v>133000</v>
      </c>
      <c r="AS85" s="70">
        <f t="shared" si="22"/>
        <v>0</v>
      </c>
      <c r="AT85" s="70">
        <f t="shared" si="22"/>
        <v>125400</v>
      </c>
      <c r="AU85" s="70">
        <f t="shared" si="22"/>
        <v>227661.4</v>
      </c>
      <c r="AV85" s="70">
        <f t="shared" si="22"/>
        <v>0</v>
      </c>
      <c r="AW85" s="70">
        <f t="shared" si="22"/>
        <v>19200</v>
      </c>
      <c r="AX85" s="70">
        <f t="shared" si="22"/>
        <v>0</v>
      </c>
      <c r="AY85" s="70">
        <f t="shared" si="22"/>
        <v>0</v>
      </c>
      <c r="AZ85" s="70">
        <f t="shared" si="22"/>
        <v>0</v>
      </c>
      <c r="BA85" s="70">
        <f t="shared" si="22"/>
        <v>0</v>
      </c>
      <c r="BB85" s="70">
        <f t="shared" si="22"/>
        <v>13500</v>
      </c>
      <c r="BC85" s="70">
        <f t="shared" si="22"/>
        <v>80400</v>
      </c>
      <c r="BD85" s="70">
        <f t="shared" si="22"/>
        <v>0</v>
      </c>
      <c r="BE85" s="70">
        <f t="shared" si="22"/>
        <v>384000</v>
      </c>
      <c r="BF85" s="70">
        <f t="shared" si="22"/>
        <v>22500</v>
      </c>
      <c r="BG85" s="70">
        <f t="shared" si="19"/>
        <v>2891271</v>
      </c>
      <c r="BH85" s="70">
        <f t="shared" si="16"/>
        <v>1360693</v>
      </c>
      <c r="BI85" s="70">
        <f t="shared" si="17"/>
        <v>344316.6</v>
      </c>
      <c r="BJ85" s="70">
        <f t="shared" si="18"/>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19"/>
        <v>0</v>
      </c>
      <c r="BH86" s="80">
        <f t="shared" si="16"/>
        <v>0</v>
      </c>
      <c r="BI86" s="80">
        <f t="shared" si="17"/>
        <v>0</v>
      </c>
      <c r="BJ86" s="80">
        <f t="shared" si="18"/>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19"/>
        <v>0</v>
      </c>
      <c r="BH87" s="80">
        <f t="shared" si="16"/>
        <v>0</v>
      </c>
      <c r="BI87" s="80">
        <f t="shared" si="17"/>
        <v>0</v>
      </c>
      <c r="BJ87" s="80">
        <f t="shared" si="18"/>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19"/>
        <v>2217881</v>
      </c>
      <c r="BH88" s="80">
        <f t="shared" si="16"/>
        <v>1179181</v>
      </c>
      <c r="BI88" s="80">
        <f t="shared" si="17"/>
        <v>18000</v>
      </c>
      <c r="BJ88" s="80">
        <f t="shared" si="18"/>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19"/>
        <v>0</v>
      </c>
      <c r="BH89" s="80">
        <f t="shared" si="16"/>
        <v>0</v>
      </c>
      <c r="BI89" s="80">
        <f t="shared" si="17"/>
        <v>0</v>
      </c>
      <c r="BJ89" s="80">
        <f t="shared" si="18"/>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19"/>
        <v>0</v>
      </c>
      <c r="BH90" s="80">
        <f t="shared" si="16"/>
        <v>0</v>
      </c>
      <c r="BI90" s="80">
        <f t="shared" si="17"/>
        <v>0</v>
      </c>
      <c r="BJ90" s="80">
        <f t="shared" si="18"/>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19"/>
        <v>487816.6</v>
      </c>
      <c r="BH91" s="80">
        <f t="shared" si="16"/>
        <v>161500</v>
      </c>
      <c r="BI91" s="80">
        <f t="shared" si="17"/>
        <v>326316.59999999998</v>
      </c>
      <c r="BJ91" s="80">
        <f t="shared" si="18"/>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19"/>
        <v>185573.4</v>
      </c>
      <c r="BH92" s="80">
        <f t="shared" si="16"/>
        <v>20012</v>
      </c>
      <c r="BI92" s="80">
        <f t="shared" si="17"/>
        <v>0</v>
      </c>
      <c r="BJ92" s="80">
        <f t="shared" si="18"/>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19"/>
        <v>0</v>
      </c>
      <c r="BH93" s="80">
        <f t="shared" si="16"/>
        <v>0</v>
      </c>
      <c r="BI93" s="80">
        <f t="shared" si="17"/>
        <v>0</v>
      </c>
      <c r="BJ93" s="80">
        <f t="shared" si="18"/>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19"/>
        <v>0</v>
      </c>
      <c r="BH94" s="80">
        <f t="shared" si="16"/>
        <v>0</v>
      </c>
      <c r="BI94" s="80">
        <f t="shared" si="17"/>
        <v>0</v>
      </c>
      <c r="BJ94" s="80">
        <f t="shared" si="18"/>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3">G97+G98+G99+G100+G101+G102+G103+G104+G105</f>
        <v>0</v>
      </c>
      <c r="H96" s="70">
        <f t="shared" si="23"/>
        <v>0</v>
      </c>
      <c r="I96" s="70">
        <f t="shared" si="23"/>
        <v>0</v>
      </c>
      <c r="J96" s="70">
        <f t="shared" si="23"/>
        <v>0</v>
      </c>
      <c r="K96" s="70">
        <f t="shared" si="23"/>
        <v>45603</v>
      </c>
      <c r="L96" s="70">
        <f t="shared" si="23"/>
        <v>0</v>
      </c>
      <c r="M96" s="70">
        <f t="shared" si="23"/>
        <v>2</v>
      </c>
      <c r="N96" s="70">
        <f t="shared" si="23"/>
        <v>78600</v>
      </c>
      <c r="O96" s="70">
        <f t="shared" si="23"/>
        <v>0</v>
      </c>
      <c r="P96" s="70">
        <f t="shared" si="23"/>
        <v>16020</v>
      </c>
      <c r="Q96" s="70">
        <f t="shared" si="23"/>
        <v>0</v>
      </c>
      <c r="R96" s="70">
        <f t="shared" si="23"/>
        <v>10088</v>
      </c>
      <c r="S96" s="70">
        <f t="shared" si="23"/>
        <v>0</v>
      </c>
      <c r="T96" s="70">
        <f t="shared" si="23"/>
        <v>0</v>
      </c>
      <c r="U96" s="70">
        <f t="shared" si="23"/>
        <v>0</v>
      </c>
      <c r="V96" s="70">
        <f t="shared" si="23"/>
        <v>0</v>
      </c>
      <c r="W96" s="70">
        <f t="shared" si="23"/>
        <v>0</v>
      </c>
      <c r="X96" s="70">
        <f t="shared" si="23"/>
        <v>95000</v>
      </c>
      <c r="Y96" s="70">
        <f t="shared" si="23"/>
        <v>11</v>
      </c>
      <c r="Z96" s="70">
        <f t="shared" si="23"/>
        <v>474763</v>
      </c>
      <c r="AA96" s="70">
        <f t="shared" si="23"/>
        <v>0</v>
      </c>
      <c r="AB96" s="70">
        <f t="shared" si="23"/>
        <v>0</v>
      </c>
      <c r="AC96" s="70">
        <f t="shared" si="23"/>
        <v>0</v>
      </c>
      <c r="AD96" s="70">
        <f t="shared" si="23"/>
        <v>148150</v>
      </c>
      <c r="AE96" s="70">
        <f t="shared" si="23"/>
        <v>0</v>
      </c>
      <c r="AF96" s="70">
        <f t="shared" si="23"/>
        <v>10</v>
      </c>
      <c r="AG96" s="70">
        <f t="shared" si="23"/>
        <v>10</v>
      </c>
      <c r="AH96" s="70">
        <f t="shared" si="23"/>
        <v>0</v>
      </c>
      <c r="AI96" s="70">
        <f t="shared" si="23"/>
        <v>188681.9</v>
      </c>
      <c r="AJ96" s="70">
        <f t="shared" si="23"/>
        <v>7434</v>
      </c>
      <c r="AK96" s="70">
        <f t="shared" si="23"/>
        <v>0</v>
      </c>
      <c r="AL96" s="70">
        <f t="shared" si="23"/>
        <v>0</v>
      </c>
      <c r="AM96" s="70">
        <f t="shared" si="23"/>
        <v>0</v>
      </c>
      <c r="AN96" s="70">
        <f t="shared" si="23"/>
        <v>3767</v>
      </c>
      <c r="AO96" s="70">
        <f t="shared" si="23"/>
        <v>2908</v>
      </c>
      <c r="AP96" s="70">
        <f t="shared" si="23"/>
        <v>3</v>
      </c>
      <c r="AQ96" s="70">
        <f t="shared" si="23"/>
        <v>3422</v>
      </c>
      <c r="AR96" s="70">
        <f t="shared" si="23"/>
        <v>4</v>
      </c>
      <c r="AS96" s="70">
        <f t="shared" si="23"/>
        <v>100005</v>
      </c>
      <c r="AT96" s="70">
        <f t="shared" si="23"/>
        <v>502</v>
      </c>
      <c r="AU96" s="70">
        <f t="shared" si="23"/>
        <v>4</v>
      </c>
      <c r="AV96" s="70">
        <f t="shared" si="23"/>
        <v>2553</v>
      </c>
      <c r="AW96" s="70">
        <f t="shared" si="23"/>
        <v>300000</v>
      </c>
      <c r="AX96" s="70">
        <f t="shared" si="23"/>
        <v>10000</v>
      </c>
      <c r="AY96" s="70">
        <f t="shared" si="23"/>
        <v>0</v>
      </c>
      <c r="AZ96" s="70">
        <f t="shared" si="23"/>
        <v>0</v>
      </c>
      <c r="BA96" s="70">
        <f t="shared" si="23"/>
        <v>197005</v>
      </c>
      <c r="BB96" s="70">
        <f t="shared" si="23"/>
        <v>0</v>
      </c>
      <c r="BC96" s="70">
        <f t="shared" si="23"/>
        <v>1161</v>
      </c>
      <c r="BD96" s="70">
        <f t="shared" si="23"/>
        <v>0</v>
      </c>
      <c r="BE96" s="70">
        <f t="shared" si="23"/>
        <v>3205052.49</v>
      </c>
      <c r="BF96" s="70">
        <f t="shared" si="23"/>
        <v>0</v>
      </c>
      <c r="BG96" s="70">
        <f t="shared" si="19"/>
        <v>4890759.3900000006</v>
      </c>
      <c r="BH96" s="70">
        <f t="shared" si="16"/>
        <v>245313</v>
      </c>
      <c r="BI96" s="70">
        <f t="shared" si="17"/>
        <v>819059.9</v>
      </c>
      <c r="BJ96" s="70">
        <f t="shared" si="18"/>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19"/>
        <v>4</v>
      </c>
      <c r="BH97" s="80">
        <f t="shared" si="16"/>
        <v>0</v>
      </c>
      <c r="BI97" s="80">
        <f t="shared" si="17"/>
        <v>0</v>
      </c>
      <c r="BJ97" s="80">
        <f t="shared" si="18"/>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19"/>
        <v>0</v>
      </c>
      <c r="BH98" s="80">
        <f t="shared" si="16"/>
        <v>0</v>
      </c>
      <c r="BI98" s="80">
        <f t="shared" si="17"/>
        <v>0</v>
      </c>
      <c r="BJ98" s="80">
        <f t="shared" si="18"/>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19"/>
        <v>480091</v>
      </c>
      <c r="BH99" s="80">
        <f t="shared" si="16"/>
        <v>180088</v>
      </c>
      <c r="BI99" s="80">
        <f t="shared" si="17"/>
        <v>0</v>
      </c>
      <c r="BJ99" s="80">
        <f t="shared" si="18"/>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19"/>
        <v>0</v>
      </c>
      <c r="BH100" s="80">
        <f t="shared" si="16"/>
        <v>0</v>
      </c>
      <c r="BI100" s="80">
        <f t="shared" si="17"/>
        <v>0</v>
      </c>
      <c r="BJ100" s="80">
        <f t="shared" si="18"/>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19"/>
        <v>313600</v>
      </c>
      <c r="BH101" s="80">
        <f t="shared" si="16"/>
        <v>13600</v>
      </c>
      <c r="BI101" s="80">
        <f t="shared" si="17"/>
        <v>0</v>
      </c>
      <c r="BJ101" s="80">
        <f t="shared" si="18"/>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19"/>
        <v>3756959.39</v>
      </c>
      <c r="BH102" s="80">
        <f t="shared" si="16"/>
        <v>51625</v>
      </c>
      <c r="BI102" s="80">
        <f t="shared" si="17"/>
        <v>675959.9</v>
      </c>
      <c r="BJ102" s="80">
        <f t="shared" si="18"/>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19"/>
        <v>340105</v>
      </c>
      <c r="BH103" s="80">
        <f t="shared" si="16"/>
        <v>0</v>
      </c>
      <c r="BI103" s="80">
        <f t="shared" si="17"/>
        <v>143100</v>
      </c>
      <c r="BJ103" s="80">
        <f t="shared" si="18"/>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19"/>
        <v>0</v>
      </c>
      <c r="BH104" s="80">
        <f t="shared" si="16"/>
        <v>0</v>
      </c>
      <c r="BI104" s="80">
        <f t="shared" si="17"/>
        <v>0</v>
      </c>
      <c r="BJ104" s="80">
        <f t="shared" si="18"/>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19"/>
        <v>0</v>
      </c>
      <c r="BH105" s="80">
        <f t="shared" si="16"/>
        <v>0</v>
      </c>
      <c r="BI105" s="80">
        <f t="shared" si="17"/>
        <v>0</v>
      </c>
      <c r="BJ105" s="80">
        <f t="shared" si="18"/>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4">G108+G109+G110+G111+G112+G113+G114+G115+G116+G117</f>
        <v>0</v>
      </c>
      <c r="H107" s="70">
        <f t="shared" si="24"/>
        <v>0</v>
      </c>
      <c r="I107" s="70">
        <f t="shared" si="24"/>
        <v>0</v>
      </c>
      <c r="J107" s="70">
        <f t="shared" si="24"/>
        <v>65728.2</v>
      </c>
      <c r="K107" s="70">
        <f t="shared" si="24"/>
        <v>723843</v>
      </c>
      <c r="L107" s="70">
        <f t="shared" si="24"/>
        <v>127844.3</v>
      </c>
      <c r="M107" s="70">
        <f t="shared" si="24"/>
        <v>279993</v>
      </c>
      <c r="N107" s="70">
        <f t="shared" si="24"/>
        <v>26868</v>
      </c>
      <c r="O107" s="70">
        <f t="shared" si="24"/>
        <v>0</v>
      </c>
      <c r="P107" s="70">
        <f t="shared" si="24"/>
        <v>168689.6</v>
      </c>
      <c r="Q107" s="70">
        <f t="shared" si="24"/>
        <v>0</v>
      </c>
      <c r="R107" s="70">
        <f t="shared" si="24"/>
        <v>2137</v>
      </c>
      <c r="S107" s="70">
        <f t="shared" si="24"/>
        <v>0</v>
      </c>
      <c r="T107" s="70">
        <f t="shared" si="24"/>
        <v>0</v>
      </c>
      <c r="U107" s="70">
        <f t="shared" si="24"/>
        <v>0</v>
      </c>
      <c r="V107" s="70">
        <f t="shared" si="24"/>
        <v>0</v>
      </c>
      <c r="W107" s="70">
        <f t="shared" si="24"/>
        <v>0</v>
      </c>
      <c r="X107" s="70">
        <f t="shared" si="24"/>
        <v>130527.1</v>
      </c>
      <c r="Y107" s="70">
        <f t="shared" si="24"/>
        <v>0</v>
      </c>
      <c r="Z107" s="70">
        <f t="shared" si="24"/>
        <v>20000</v>
      </c>
      <c r="AA107" s="70">
        <f t="shared" si="24"/>
        <v>0</v>
      </c>
      <c r="AB107" s="70">
        <f t="shared" si="24"/>
        <v>168200</v>
      </c>
      <c r="AC107" s="70">
        <f t="shared" si="24"/>
        <v>0</v>
      </c>
      <c r="AD107" s="70">
        <f t="shared" si="24"/>
        <v>0</v>
      </c>
      <c r="AE107" s="70">
        <f t="shared" si="24"/>
        <v>0</v>
      </c>
      <c r="AF107" s="70">
        <f t="shared" si="24"/>
        <v>0</v>
      </c>
      <c r="AG107" s="70">
        <f t="shared" si="24"/>
        <v>0</v>
      </c>
      <c r="AH107" s="70">
        <f t="shared" si="24"/>
        <v>0</v>
      </c>
      <c r="AI107" s="70">
        <f t="shared" si="24"/>
        <v>0</v>
      </c>
      <c r="AJ107" s="70">
        <f t="shared" si="24"/>
        <v>247872.27</v>
      </c>
      <c r="AK107" s="70">
        <f t="shared" si="24"/>
        <v>0</v>
      </c>
      <c r="AL107" s="70">
        <f t="shared" si="24"/>
        <v>0</v>
      </c>
      <c r="AM107" s="70">
        <f t="shared" si="24"/>
        <v>0</v>
      </c>
      <c r="AN107" s="70">
        <f t="shared" si="24"/>
        <v>0</v>
      </c>
      <c r="AO107" s="70">
        <f t="shared" si="24"/>
        <v>0</v>
      </c>
      <c r="AP107" s="70">
        <f t="shared" si="24"/>
        <v>0</v>
      </c>
      <c r="AQ107" s="70">
        <f t="shared" si="24"/>
        <v>0</v>
      </c>
      <c r="AR107" s="70">
        <f t="shared" si="24"/>
        <v>0</v>
      </c>
      <c r="AS107" s="70">
        <f t="shared" si="24"/>
        <v>0</v>
      </c>
      <c r="AT107" s="70">
        <f t="shared" si="24"/>
        <v>0</v>
      </c>
      <c r="AU107" s="70">
        <f t="shared" si="24"/>
        <v>1</v>
      </c>
      <c r="AV107" s="70">
        <f t="shared" si="24"/>
        <v>0</v>
      </c>
      <c r="AW107" s="70">
        <f t="shared" si="24"/>
        <v>0</v>
      </c>
      <c r="AX107" s="70">
        <f t="shared" si="24"/>
        <v>0</v>
      </c>
      <c r="AY107" s="70">
        <f t="shared" si="24"/>
        <v>0</v>
      </c>
      <c r="AZ107" s="70">
        <f t="shared" si="24"/>
        <v>0</v>
      </c>
      <c r="BA107" s="70">
        <f t="shared" si="24"/>
        <v>0</v>
      </c>
      <c r="BB107" s="70">
        <f t="shared" si="24"/>
        <v>0</v>
      </c>
      <c r="BC107" s="70">
        <f t="shared" si="24"/>
        <v>0</v>
      </c>
      <c r="BD107" s="70">
        <f t="shared" si="24"/>
        <v>0</v>
      </c>
      <c r="BE107" s="70">
        <f t="shared" si="24"/>
        <v>996400</v>
      </c>
      <c r="BF107" s="70">
        <f t="shared" si="24"/>
        <v>0</v>
      </c>
      <c r="BG107" s="70">
        <f t="shared" si="19"/>
        <v>2974406.4200000004</v>
      </c>
      <c r="BH107" s="70">
        <f t="shared" si="16"/>
        <v>1541933.1500000004</v>
      </c>
      <c r="BI107" s="70">
        <f t="shared" si="17"/>
        <v>436072.27</v>
      </c>
      <c r="BJ107" s="70">
        <f t="shared" si="18"/>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19"/>
        <v>0</v>
      </c>
      <c r="BH108" s="80">
        <f t="shared" si="16"/>
        <v>0</v>
      </c>
      <c r="BI108" s="80">
        <f t="shared" si="17"/>
        <v>0</v>
      </c>
      <c r="BJ108" s="80">
        <f t="shared" si="18"/>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19"/>
        <v>0</v>
      </c>
      <c r="BH109" s="80">
        <f t="shared" si="16"/>
        <v>0</v>
      </c>
      <c r="BI109" s="80">
        <f t="shared" si="17"/>
        <v>0</v>
      </c>
      <c r="BJ109" s="80">
        <f t="shared" si="18"/>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19"/>
        <v>2798886.62</v>
      </c>
      <c r="BH110" s="80">
        <f t="shared" si="16"/>
        <v>1432413.35</v>
      </c>
      <c r="BI110" s="80">
        <f t="shared" si="17"/>
        <v>416072.27</v>
      </c>
      <c r="BJ110" s="80">
        <f t="shared" si="18"/>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19"/>
        <v>0</v>
      </c>
      <c r="BH111" s="80">
        <f t="shared" si="16"/>
        <v>0</v>
      </c>
      <c r="BI111" s="80">
        <f t="shared" si="17"/>
        <v>0</v>
      </c>
      <c r="BJ111" s="80">
        <f t="shared" si="18"/>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19"/>
        <v>0</v>
      </c>
      <c r="BH112" s="80">
        <f t="shared" si="16"/>
        <v>0</v>
      </c>
      <c r="BI112" s="80">
        <f t="shared" si="17"/>
        <v>0</v>
      </c>
      <c r="BJ112" s="80">
        <f t="shared" si="18"/>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19"/>
        <v>32000</v>
      </c>
      <c r="BH113" s="80">
        <f t="shared" si="16"/>
        <v>32000</v>
      </c>
      <c r="BI113" s="80">
        <f t="shared" si="17"/>
        <v>0</v>
      </c>
      <c r="BJ113" s="80">
        <f t="shared" si="18"/>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19"/>
        <v>143519.79999999999</v>
      </c>
      <c r="BH114" s="80">
        <f t="shared" si="16"/>
        <v>77519.8</v>
      </c>
      <c r="BI114" s="80">
        <f t="shared" si="17"/>
        <v>20000</v>
      </c>
      <c r="BJ114" s="80">
        <f t="shared" si="18"/>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19"/>
        <v>0</v>
      </c>
      <c r="BH115" s="80">
        <f t="shared" si="16"/>
        <v>0</v>
      </c>
      <c r="BI115" s="80">
        <f t="shared" si="17"/>
        <v>0</v>
      </c>
      <c r="BJ115" s="80">
        <f t="shared" si="18"/>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19"/>
        <v>0</v>
      </c>
      <c r="BH116" s="80">
        <f t="shared" si="16"/>
        <v>0</v>
      </c>
      <c r="BI116" s="80">
        <f t="shared" si="17"/>
        <v>0</v>
      </c>
      <c r="BJ116" s="80">
        <f t="shared" si="18"/>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19"/>
        <v>0</v>
      </c>
      <c r="BH117" s="80">
        <f t="shared" si="16"/>
        <v>0</v>
      </c>
      <c r="BI117" s="80">
        <f t="shared" si="17"/>
        <v>0</v>
      </c>
      <c r="BJ117" s="80">
        <f t="shared" si="18"/>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5">G122+G132+G142+G152+G164+G172+G183+G190+G193+G197+G200+G203+G206+G209+G212+G215</f>
        <v>2965973.02</v>
      </c>
      <c r="H120" s="88">
        <f t="shared" si="25"/>
        <v>6296669.6499999994</v>
      </c>
      <c r="I120" s="88">
        <f t="shared" si="25"/>
        <v>7297548.3099999996</v>
      </c>
      <c r="J120" s="88">
        <f t="shared" si="25"/>
        <v>35834571.810000002</v>
      </c>
      <c r="K120" s="88">
        <f t="shared" si="25"/>
        <v>32179357.800000004</v>
      </c>
      <c r="L120" s="88">
        <f t="shared" si="25"/>
        <v>21417104.539999999</v>
      </c>
      <c r="M120" s="88">
        <f t="shared" si="25"/>
        <v>177597654.23000002</v>
      </c>
      <c r="N120" s="88">
        <f t="shared" si="25"/>
        <v>10939291.529999999</v>
      </c>
      <c r="O120" s="88">
        <f t="shared" si="25"/>
        <v>1636254.6600000001</v>
      </c>
      <c r="P120" s="88">
        <f t="shared" si="25"/>
        <v>53521100.93</v>
      </c>
      <c r="Q120" s="88">
        <f t="shared" si="25"/>
        <v>5011865.05</v>
      </c>
      <c r="R120" s="88">
        <f t="shared" si="25"/>
        <v>793621.34000000008</v>
      </c>
      <c r="S120" s="88">
        <f t="shared" si="25"/>
        <v>3941697.1199999996</v>
      </c>
      <c r="T120" s="88">
        <f t="shared" si="25"/>
        <v>5143960.4100000011</v>
      </c>
      <c r="U120" s="88">
        <f t="shared" si="25"/>
        <v>8255877.0299999993</v>
      </c>
      <c r="V120" s="88">
        <f t="shared" si="25"/>
        <v>1832318.3499999999</v>
      </c>
      <c r="W120" s="88">
        <f t="shared" si="25"/>
        <v>4866359.71</v>
      </c>
      <c r="X120" s="88">
        <f t="shared" si="25"/>
        <v>22949312.119999997</v>
      </c>
      <c r="Y120" s="88">
        <f t="shared" si="25"/>
        <v>3995294.95</v>
      </c>
      <c r="Z120" s="88">
        <f t="shared" si="25"/>
        <v>14924073.459999999</v>
      </c>
      <c r="AA120" s="88">
        <f t="shared" si="25"/>
        <v>32307335.959999997</v>
      </c>
      <c r="AB120" s="88">
        <f t="shared" si="25"/>
        <v>1624933.4</v>
      </c>
      <c r="AC120" s="88">
        <f t="shared" si="25"/>
        <v>3111796.8600000003</v>
      </c>
      <c r="AD120" s="88">
        <f t="shared" si="25"/>
        <v>6155015.3499999996</v>
      </c>
      <c r="AE120" s="88">
        <f t="shared" si="25"/>
        <v>9012201.0099999998</v>
      </c>
      <c r="AF120" s="88">
        <f t="shared" si="25"/>
        <v>6876138.3399999999</v>
      </c>
      <c r="AG120" s="88">
        <f t="shared" si="25"/>
        <v>9234866.4800000004</v>
      </c>
      <c r="AH120" s="88">
        <f t="shared" si="25"/>
        <v>16349536.65</v>
      </c>
      <c r="AI120" s="88">
        <f t="shared" si="25"/>
        <v>27550063.550000001</v>
      </c>
      <c r="AJ120" s="88">
        <f t="shared" si="25"/>
        <v>3905939.28</v>
      </c>
      <c r="AK120" s="88">
        <f t="shared" si="25"/>
        <v>3222486.64</v>
      </c>
      <c r="AL120" s="88">
        <f t="shared" si="25"/>
        <v>22966348.760000002</v>
      </c>
      <c r="AM120" s="88">
        <f t="shared" si="25"/>
        <v>16102566.52</v>
      </c>
      <c r="AN120" s="88">
        <f t="shared" si="25"/>
        <v>15405801.92</v>
      </c>
      <c r="AO120" s="88">
        <f t="shared" si="25"/>
        <v>2974096.86</v>
      </c>
      <c r="AP120" s="88">
        <f t="shared" si="25"/>
        <v>30433304.219999999</v>
      </c>
      <c r="AQ120" s="88">
        <f t="shared" si="25"/>
        <v>7933124.9500000002</v>
      </c>
      <c r="AR120" s="88">
        <f t="shared" si="25"/>
        <v>6768420.1500000004</v>
      </c>
      <c r="AS120" s="88">
        <f t="shared" si="25"/>
        <v>22575658.690000001</v>
      </c>
      <c r="AT120" s="88">
        <f t="shared" si="25"/>
        <v>7925516.6799999997</v>
      </c>
      <c r="AU120" s="88">
        <f t="shared" si="25"/>
        <v>10850287.100000001</v>
      </c>
      <c r="AV120" s="88">
        <f t="shared" si="25"/>
        <v>5949338.5200000005</v>
      </c>
      <c r="AW120" s="88">
        <f t="shared" si="25"/>
        <v>21309261.509999998</v>
      </c>
      <c r="AX120" s="88">
        <f t="shared" si="25"/>
        <v>8924275.6600000001</v>
      </c>
      <c r="AY120" s="88">
        <f t="shared" si="25"/>
        <v>1559898.92</v>
      </c>
      <c r="AZ120" s="88">
        <f t="shared" si="25"/>
        <v>4115207.58</v>
      </c>
      <c r="BA120" s="88">
        <f t="shared" si="25"/>
        <v>23472611.259999998</v>
      </c>
      <c r="BB120" s="88">
        <f t="shared" si="25"/>
        <v>5399563.7999999998</v>
      </c>
      <c r="BC120" s="88">
        <f t="shared" si="25"/>
        <v>15496471.67</v>
      </c>
      <c r="BD120" s="88">
        <f t="shared" si="25"/>
        <v>1586955.25</v>
      </c>
      <c r="BE120" s="88">
        <f t="shared" si="25"/>
        <v>79883106.600000009</v>
      </c>
      <c r="BF120" s="88">
        <f t="shared" si="25"/>
        <v>5851353.3699999992</v>
      </c>
      <c r="BG120" s="82">
        <f t="shared" si="19"/>
        <v>873422151.77999973</v>
      </c>
      <c r="BH120" s="88">
        <f t="shared" si="16"/>
        <v>417669299.86000001</v>
      </c>
      <c r="BI120" s="88">
        <f t="shared" si="17"/>
        <v>138269681.92999998</v>
      </c>
      <c r="BJ120" s="88">
        <f t="shared" si="18"/>
        <v>317483169.99000001</v>
      </c>
    </row>
    <row r="121" spans="1:62" x14ac:dyDescent="0.25">
      <c r="A121" s="7"/>
      <c r="B121" s="85">
        <v>20</v>
      </c>
      <c r="C121" s="85"/>
      <c r="D121" s="85"/>
      <c r="E121" s="85" t="s">
        <v>252</v>
      </c>
      <c r="F121" s="86">
        <f>F122+F132+F142+F152+F164+F172+F183</f>
        <v>10597593.460000001</v>
      </c>
      <c r="G121" s="86">
        <f t="shared" ref="G121:BF121" si="26">G122+G132+G142+G152+G164+G172+G183</f>
        <v>2476025.2000000002</v>
      </c>
      <c r="H121" s="86">
        <f t="shared" si="26"/>
        <v>6054411.8899999997</v>
      </c>
      <c r="I121" s="86">
        <f t="shared" si="26"/>
        <v>4819394.9499999993</v>
      </c>
      <c r="J121" s="86">
        <f t="shared" si="26"/>
        <v>24955383.649999999</v>
      </c>
      <c r="K121" s="86">
        <f t="shared" si="26"/>
        <v>24713296.990000002</v>
      </c>
      <c r="L121" s="86">
        <f t="shared" si="26"/>
        <v>11514993.67</v>
      </c>
      <c r="M121" s="86">
        <f t="shared" si="26"/>
        <v>146151956.10000002</v>
      </c>
      <c r="N121" s="86">
        <f t="shared" si="26"/>
        <v>6829297.8200000003</v>
      </c>
      <c r="O121" s="86">
        <f t="shared" si="26"/>
        <v>1044108.48</v>
      </c>
      <c r="P121" s="86">
        <f t="shared" si="26"/>
        <v>45801119.899999999</v>
      </c>
      <c r="Q121" s="86">
        <f t="shared" si="26"/>
        <v>3495201.54</v>
      </c>
      <c r="R121" s="86">
        <f t="shared" si="26"/>
        <v>574965.75</v>
      </c>
      <c r="S121" s="86">
        <f t="shared" si="26"/>
        <v>3100133.92</v>
      </c>
      <c r="T121" s="86">
        <f t="shared" si="26"/>
        <v>4169598.1600000006</v>
      </c>
      <c r="U121" s="86">
        <f t="shared" si="26"/>
        <v>5269530.68</v>
      </c>
      <c r="V121" s="86">
        <f t="shared" si="26"/>
        <v>1053712.0699999998</v>
      </c>
      <c r="W121" s="86">
        <f t="shared" si="26"/>
        <v>4133437.39</v>
      </c>
      <c r="X121" s="86">
        <f t="shared" si="26"/>
        <v>17259552.27</v>
      </c>
      <c r="Y121" s="86">
        <f t="shared" si="26"/>
        <v>665835.80000000005</v>
      </c>
      <c r="Z121" s="86">
        <f t="shared" si="26"/>
        <v>10920765.789999999</v>
      </c>
      <c r="AA121" s="86">
        <f t="shared" si="26"/>
        <v>13660696.18</v>
      </c>
      <c r="AB121" s="86">
        <f t="shared" si="26"/>
        <v>841503</v>
      </c>
      <c r="AC121" s="86">
        <f t="shared" si="26"/>
        <v>1355565.94</v>
      </c>
      <c r="AD121" s="86">
        <f t="shared" si="26"/>
        <v>4501281.16</v>
      </c>
      <c r="AE121" s="86">
        <f t="shared" si="26"/>
        <v>7319398.3799999999</v>
      </c>
      <c r="AF121" s="86">
        <f t="shared" si="26"/>
        <v>4025148.3099999996</v>
      </c>
      <c r="AG121" s="86">
        <f t="shared" si="26"/>
        <v>2045263.37</v>
      </c>
      <c r="AH121" s="86">
        <f t="shared" si="26"/>
        <v>7020295.6700000009</v>
      </c>
      <c r="AI121" s="86">
        <f t="shared" si="26"/>
        <v>18244470.900000002</v>
      </c>
      <c r="AJ121" s="86">
        <f t="shared" si="26"/>
        <v>1796313.4300000002</v>
      </c>
      <c r="AK121" s="86">
        <f t="shared" si="26"/>
        <v>1072034.6499999999</v>
      </c>
      <c r="AL121" s="86">
        <f t="shared" si="26"/>
        <v>18843045</v>
      </c>
      <c r="AM121" s="86">
        <f t="shared" si="26"/>
        <v>10070987.34</v>
      </c>
      <c r="AN121" s="86">
        <f t="shared" si="26"/>
        <v>11888425.890000001</v>
      </c>
      <c r="AO121" s="86">
        <f t="shared" si="26"/>
        <v>1619181.74</v>
      </c>
      <c r="AP121" s="86">
        <f t="shared" si="26"/>
        <v>9669024.3300000001</v>
      </c>
      <c r="AQ121" s="86">
        <f t="shared" si="26"/>
        <v>5070636.54</v>
      </c>
      <c r="AR121" s="86">
        <f t="shared" si="26"/>
        <v>4144008.19</v>
      </c>
      <c r="AS121" s="86">
        <f t="shared" si="26"/>
        <v>11559620.700000001</v>
      </c>
      <c r="AT121" s="86">
        <f t="shared" si="26"/>
        <v>5697376.5699999994</v>
      </c>
      <c r="AU121" s="86">
        <f t="shared" si="26"/>
        <v>9161039.7400000002</v>
      </c>
      <c r="AV121" s="86">
        <f t="shared" si="26"/>
        <v>2148930.5700000003</v>
      </c>
      <c r="AW121" s="86">
        <f t="shared" si="26"/>
        <v>13712349.01</v>
      </c>
      <c r="AX121" s="86">
        <f t="shared" si="26"/>
        <v>6198010.5700000003</v>
      </c>
      <c r="AY121" s="86">
        <f t="shared" si="26"/>
        <v>913998.53</v>
      </c>
      <c r="AZ121" s="86">
        <f t="shared" si="26"/>
        <v>2071378.69</v>
      </c>
      <c r="BA121" s="86">
        <f t="shared" si="26"/>
        <v>20057446.789999999</v>
      </c>
      <c r="BB121" s="86">
        <f t="shared" si="26"/>
        <v>2088786.8499999999</v>
      </c>
      <c r="BC121" s="86">
        <f t="shared" si="26"/>
        <v>10822262.43</v>
      </c>
      <c r="BD121" s="86">
        <f t="shared" si="26"/>
        <v>305132.06</v>
      </c>
      <c r="BE121" s="86">
        <f t="shared" si="26"/>
        <v>69166529.180000007</v>
      </c>
      <c r="BF121" s="86">
        <f t="shared" si="26"/>
        <v>4285692.38</v>
      </c>
      <c r="BG121" s="86">
        <f t="shared" si="19"/>
        <v>616976149.57000005</v>
      </c>
      <c r="BH121" s="86">
        <f t="shared" si="16"/>
        <v>324013713.89000005</v>
      </c>
      <c r="BI121" s="86">
        <f t="shared" si="17"/>
        <v>73468572.580000013</v>
      </c>
      <c r="BJ121" s="86">
        <f t="shared" si="18"/>
        <v>219493863.09999999</v>
      </c>
    </row>
    <row r="122" spans="1:62" x14ac:dyDescent="0.25">
      <c r="C122" s="83">
        <v>200</v>
      </c>
      <c r="D122" s="83"/>
      <c r="E122" s="83" t="s">
        <v>253</v>
      </c>
      <c r="F122" s="84">
        <f>F123+F124+F125+F126+F127+F128+F129+F130</f>
        <v>0</v>
      </c>
      <c r="G122" s="84">
        <f t="shared" ref="G122:BF122" si="27">G123+G124+G125+G126+G127+G128+G129+G130</f>
        <v>96415.099999999991</v>
      </c>
      <c r="H122" s="84">
        <f t="shared" si="27"/>
        <v>204208.4</v>
      </c>
      <c r="I122" s="84">
        <f t="shared" si="27"/>
        <v>288807.18</v>
      </c>
      <c r="J122" s="84">
        <f t="shared" si="27"/>
        <v>770196.63</v>
      </c>
      <c r="K122" s="84">
        <f t="shared" si="27"/>
        <v>1390243.5</v>
      </c>
      <c r="L122" s="84">
        <f t="shared" si="27"/>
        <v>386006.85000000003</v>
      </c>
      <c r="M122" s="84">
        <f t="shared" si="27"/>
        <v>10226270.389999999</v>
      </c>
      <c r="N122" s="84">
        <f t="shared" si="27"/>
        <v>313883.77</v>
      </c>
      <c r="O122" s="84">
        <f t="shared" si="27"/>
        <v>78133.58</v>
      </c>
      <c r="P122" s="84">
        <f t="shared" si="27"/>
        <v>1915537.5899999999</v>
      </c>
      <c r="Q122" s="84">
        <f t="shared" si="27"/>
        <v>103015.62000000001</v>
      </c>
      <c r="R122" s="84">
        <f t="shared" si="27"/>
        <v>537.75</v>
      </c>
      <c r="S122" s="84">
        <f t="shared" si="27"/>
        <v>140154.57</v>
      </c>
      <c r="T122" s="84">
        <f t="shared" si="27"/>
        <v>61278.31</v>
      </c>
      <c r="U122" s="84">
        <f t="shared" si="27"/>
        <v>224663.18</v>
      </c>
      <c r="V122" s="84">
        <f t="shared" si="27"/>
        <v>264819.38</v>
      </c>
      <c r="W122" s="84">
        <f t="shared" si="27"/>
        <v>293780.13</v>
      </c>
      <c r="X122" s="84">
        <f t="shared" si="27"/>
        <v>1439741.95</v>
      </c>
      <c r="Y122" s="84">
        <f t="shared" si="27"/>
        <v>0</v>
      </c>
      <c r="Z122" s="84">
        <f t="shared" si="27"/>
        <v>-43502.30999999999</v>
      </c>
      <c r="AA122" s="84">
        <f t="shared" si="27"/>
        <v>5139268.8499999996</v>
      </c>
      <c r="AB122" s="84">
        <f t="shared" si="27"/>
        <v>66448.5</v>
      </c>
      <c r="AC122" s="84">
        <f t="shared" si="27"/>
        <v>30930.55</v>
      </c>
      <c r="AD122" s="84">
        <f t="shared" si="27"/>
        <v>360279.41000000003</v>
      </c>
      <c r="AE122" s="84">
        <f t="shared" si="27"/>
        <v>146295.12000000002</v>
      </c>
      <c r="AF122" s="84">
        <f t="shared" si="27"/>
        <v>20883.599999999999</v>
      </c>
      <c r="AG122" s="84">
        <f t="shared" si="27"/>
        <v>177481.53000000003</v>
      </c>
      <c r="AH122" s="84">
        <f t="shared" si="27"/>
        <v>1236141.22</v>
      </c>
      <c r="AI122" s="84">
        <f t="shared" si="27"/>
        <v>774396.68</v>
      </c>
      <c r="AJ122" s="84">
        <f t="shared" si="27"/>
        <v>607793.76</v>
      </c>
      <c r="AK122" s="84">
        <f t="shared" si="27"/>
        <v>60243.5</v>
      </c>
      <c r="AL122" s="84">
        <f t="shared" si="27"/>
        <v>149235.53</v>
      </c>
      <c r="AM122" s="84">
        <f t="shared" si="27"/>
        <v>400259.22</v>
      </c>
      <c r="AN122" s="84">
        <f t="shared" si="27"/>
        <v>373344.66</v>
      </c>
      <c r="AO122" s="84">
        <f t="shared" si="27"/>
        <v>25435.59</v>
      </c>
      <c r="AP122" s="84">
        <f t="shared" si="27"/>
        <v>1045617.86</v>
      </c>
      <c r="AQ122" s="84">
        <f t="shared" si="27"/>
        <v>356679.72</v>
      </c>
      <c r="AR122" s="84">
        <f t="shared" si="27"/>
        <v>115181.64</v>
      </c>
      <c r="AS122" s="84">
        <f t="shared" si="27"/>
        <v>779647.5</v>
      </c>
      <c r="AT122" s="84">
        <f t="shared" si="27"/>
        <v>578207.17999999993</v>
      </c>
      <c r="AU122" s="84">
        <f t="shared" si="27"/>
        <v>304650.16000000003</v>
      </c>
      <c r="AV122" s="84">
        <f t="shared" si="27"/>
        <v>41809.15</v>
      </c>
      <c r="AW122" s="84">
        <f t="shared" si="27"/>
        <v>169682.90999999997</v>
      </c>
      <c r="AX122" s="84">
        <f t="shared" si="27"/>
        <v>96698.8</v>
      </c>
      <c r="AY122" s="84">
        <f t="shared" si="27"/>
        <v>67075.53</v>
      </c>
      <c r="AZ122" s="84">
        <f t="shared" si="27"/>
        <v>124398.05</v>
      </c>
      <c r="BA122" s="84">
        <f t="shared" si="27"/>
        <v>1017304</v>
      </c>
      <c r="BB122" s="84">
        <f t="shared" si="27"/>
        <v>47647.15</v>
      </c>
      <c r="BC122" s="84">
        <f t="shared" si="27"/>
        <v>547198.9</v>
      </c>
      <c r="BD122" s="84">
        <f t="shared" si="27"/>
        <v>81146.8</v>
      </c>
      <c r="BE122" s="84">
        <f t="shared" si="27"/>
        <v>4206691.96</v>
      </c>
      <c r="BF122" s="84">
        <f t="shared" si="27"/>
        <v>275797.32999999996</v>
      </c>
      <c r="BG122" s="84">
        <f t="shared" si="19"/>
        <v>37578063.93</v>
      </c>
      <c r="BH122" s="84">
        <f t="shared" si="16"/>
        <v>18197693.879999999</v>
      </c>
      <c r="BI122" s="84">
        <f t="shared" si="17"/>
        <v>8576660.4100000001</v>
      </c>
      <c r="BJ122" s="84">
        <f t="shared" si="18"/>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19"/>
        <v>28932315.269999996</v>
      </c>
      <c r="BH123" s="80">
        <f t="shared" si="16"/>
        <v>15685599.640000001</v>
      </c>
      <c r="BI123" s="80">
        <f t="shared" si="17"/>
        <v>3559620.12</v>
      </c>
      <c r="BJ123" s="80">
        <f t="shared" si="18"/>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19"/>
        <v>1845580.59</v>
      </c>
      <c r="BH124" s="80">
        <f t="shared" si="16"/>
        <v>454255.1</v>
      </c>
      <c r="BI124" s="80">
        <f t="shared" si="17"/>
        <v>1028018.9</v>
      </c>
      <c r="BJ124" s="80">
        <f t="shared" si="18"/>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19"/>
        <v>4725578.080000001</v>
      </c>
      <c r="BH125" s="80">
        <f t="shared" si="16"/>
        <v>422948.24</v>
      </c>
      <c r="BI125" s="80">
        <f t="shared" si="17"/>
        <v>3923024.0500000003</v>
      </c>
      <c r="BJ125" s="80">
        <f t="shared" si="18"/>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19"/>
        <v>82070</v>
      </c>
      <c r="BH126" s="80">
        <f t="shared" si="16"/>
        <v>81970</v>
      </c>
      <c r="BI126" s="80">
        <f t="shared" si="17"/>
        <v>100</v>
      </c>
      <c r="BJ126" s="80">
        <f t="shared" si="18"/>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19"/>
        <v>404693.15</v>
      </c>
      <c r="BH127" s="80">
        <f t="shared" si="16"/>
        <v>404693.15</v>
      </c>
      <c r="BI127" s="80">
        <f t="shared" si="17"/>
        <v>0</v>
      </c>
      <c r="BJ127" s="80">
        <f t="shared" si="18"/>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19"/>
        <v>1356793.86</v>
      </c>
      <c r="BH128" s="80">
        <f t="shared" si="16"/>
        <v>1016414.77</v>
      </c>
      <c r="BI128" s="80">
        <f t="shared" si="17"/>
        <v>60897.34</v>
      </c>
      <c r="BJ128" s="80">
        <f t="shared" si="18"/>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19"/>
        <v>72499.399999999994</v>
      </c>
      <c r="BH129" s="80">
        <f t="shared" si="16"/>
        <v>53679.399999999994</v>
      </c>
      <c r="BI129" s="80">
        <f t="shared" si="17"/>
        <v>5000</v>
      </c>
      <c r="BJ129" s="80">
        <f t="shared" si="18"/>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19"/>
        <v>158533.58000000002</v>
      </c>
      <c r="BH130" s="80">
        <f t="shared" si="16"/>
        <v>78133.58</v>
      </c>
      <c r="BI130" s="80">
        <f t="shared" si="17"/>
        <v>0</v>
      </c>
      <c r="BJ130" s="80">
        <f t="shared" si="18"/>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8">G133+G134+G135+G136+G137+G138+G139+G140</f>
        <v>308700</v>
      </c>
      <c r="H132" s="84">
        <f t="shared" si="28"/>
        <v>140800</v>
      </c>
      <c r="I132" s="84">
        <f t="shared" si="28"/>
        <v>252741.71999999997</v>
      </c>
      <c r="J132" s="84">
        <f t="shared" si="28"/>
        <v>5587130.7400000002</v>
      </c>
      <c r="K132" s="84">
        <f t="shared" si="28"/>
        <v>6015550</v>
      </c>
      <c r="L132" s="84">
        <f t="shared" si="28"/>
        <v>390000</v>
      </c>
      <c r="M132" s="84">
        <f t="shared" si="28"/>
        <v>37051659</v>
      </c>
      <c r="N132" s="84">
        <f t="shared" si="28"/>
        <v>267000</v>
      </c>
      <c r="O132" s="84">
        <f t="shared" si="28"/>
        <v>0</v>
      </c>
      <c r="P132" s="84">
        <f t="shared" si="28"/>
        <v>16290985.550000001</v>
      </c>
      <c r="Q132" s="84">
        <f t="shared" si="28"/>
        <v>1214136.27</v>
      </c>
      <c r="R132" s="84">
        <f t="shared" si="28"/>
        <v>120408.18</v>
      </c>
      <c r="S132" s="84">
        <f t="shared" si="28"/>
        <v>0</v>
      </c>
      <c r="T132" s="84">
        <f t="shared" si="28"/>
        <v>2979081.9000000004</v>
      </c>
      <c r="U132" s="84">
        <f t="shared" si="28"/>
        <v>0</v>
      </c>
      <c r="V132" s="84">
        <f t="shared" si="28"/>
        <v>168291.86</v>
      </c>
      <c r="W132" s="84">
        <f t="shared" si="28"/>
        <v>235989.22999999998</v>
      </c>
      <c r="X132" s="84">
        <f t="shared" si="28"/>
        <v>2545622.62</v>
      </c>
      <c r="Y132" s="84">
        <f t="shared" si="28"/>
        <v>405605</v>
      </c>
      <c r="Z132" s="84">
        <f t="shared" si="28"/>
        <v>1490285.95</v>
      </c>
      <c r="AA132" s="84">
        <f t="shared" si="28"/>
        <v>2640000</v>
      </c>
      <c r="AB132" s="84">
        <f t="shared" si="28"/>
        <v>0</v>
      </c>
      <c r="AC132" s="84">
        <f t="shared" si="28"/>
        <v>12500</v>
      </c>
      <c r="AD132" s="84">
        <f t="shared" si="28"/>
        <v>1235051.02</v>
      </c>
      <c r="AE132" s="84">
        <f t="shared" si="28"/>
        <v>-22825.81</v>
      </c>
      <c r="AF132" s="84">
        <f t="shared" si="28"/>
        <v>587125.71</v>
      </c>
      <c r="AG132" s="84">
        <f t="shared" si="28"/>
        <v>490796.39999999997</v>
      </c>
      <c r="AH132" s="84">
        <f t="shared" si="28"/>
        <v>876760.84</v>
      </c>
      <c r="AI132" s="84">
        <f t="shared" si="28"/>
        <v>1234262.1499999999</v>
      </c>
      <c r="AJ132" s="84">
        <f t="shared" si="28"/>
        <v>239485.96</v>
      </c>
      <c r="AK132" s="84">
        <f t="shared" si="28"/>
        <v>148300</v>
      </c>
      <c r="AL132" s="84">
        <f t="shared" si="28"/>
        <v>496152.57</v>
      </c>
      <c r="AM132" s="84">
        <f t="shared" si="28"/>
        <v>573216.67000000004</v>
      </c>
      <c r="AN132" s="84">
        <f t="shared" si="28"/>
        <v>377313.03</v>
      </c>
      <c r="AO132" s="84">
        <f t="shared" si="28"/>
        <v>0</v>
      </c>
      <c r="AP132" s="84">
        <f t="shared" si="28"/>
        <v>0</v>
      </c>
      <c r="AQ132" s="84">
        <f t="shared" si="28"/>
        <v>102400</v>
      </c>
      <c r="AR132" s="84">
        <f t="shared" si="28"/>
        <v>536240</v>
      </c>
      <c r="AS132" s="84">
        <f t="shared" si="28"/>
        <v>1050</v>
      </c>
      <c r="AT132" s="84">
        <f t="shared" si="28"/>
        <v>249777.17</v>
      </c>
      <c r="AU132" s="84">
        <f t="shared" si="28"/>
        <v>294313</v>
      </c>
      <c r="AV132" s="84">
        <f t="shared" si="28"/>
        <v>19300</v>
      </c>
      <c r="AW132" s="84">
        <f t="shared" si="28"/>
        <v>0</v>
      </c>
      <c r="AX132" s="84">
        <f t="shared" si="28"/>
        <v>666341.01</v>
      </c>
      <c r="AY132" s="84">
        <f t="shared" si="28"/>
        <v>0</v>
      </c>
      <c r="AZ132" s="84">
        <f t="shared" si="28"/>
        <v>0</v>
      </c>
      <c r="BA132" s="84">
        <f t="shared" si="28"/>
        <v>999818.38</v>
      </c>
      <c r="BB132" s="84">
        <f t="shared" si="28"/>
        <v>1162137.02</v>
      </c>
      <c r="BC132" s="84">
        <f t="shared" si="28"/>
        <v>2681903.5300000003</v>
      </c>
      <c r="BD132" s="84">
        <f t="shared" si="28"/>
        <v>0</v>
      </c>
      <c r="BE132" s="84">
        <f t="shared" si="28"/>
        <v>10280540</v>
      </c>
      <c r="BF132" s="84">
        <f t="shared" si="28"/>
        <v>185450.16</v>
      </c>
      <c r="BG132" s="84">
        <f t="shared" si="19"/>
        <v>107279453.19000001</v>
      </c>
      <c r="BH132" s="84">
        <f t="shared" si="16"/>
        <v>79316153.430000022</v>
      </c>
      <c r="BI132" s="84">
        <f t="shared" si="17"/>
        <v>9337347.2200000025</v>
      </c>
      <c r="BJ132" s="84">
        <f t="shared" si="18"/>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19"/>
        <v>35006813.550000012</v>
      </c>
      <c r="BH133" s="80">
        <f t="shared" si="16"/>
        <v>23075060.990000002</v>
      </c>
      <c r="BI133" s="80">
        <f t="shared" si="17"/>
        <v>5395388.0199999996</v>
      </c>
      <c r="BJ133" s="80">
        <f t="shared" si="18"/>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19"/>
        <v>12868781.99</v>
      </c>
      <c r="BH134" s="80">
        <f t="shared" si="16"/>
        <v>12971302.890000001</v>
      </c>
      <c r="BI134" s="80">
        <f t="shared" si="17"/>
        <v>17479.099999999999</v>
      </c>
      <c r="BJ134" s="80">
        <f t="shared" si="18"/>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19"/>
        <v>0</v>
      </c>
      <c r="BH135" s="80">
        <f t="shared" ref="BH135:BH198" si="29">SUM(F135:X135)</f>
        <v>0</v>
      </c>
      <c r="BI135" s="80">
        <f t="shared" ref="BI135:BI198" si="30">SUM(Y135:AK135)</f>
        <v>0</v>
      </c>
      <c r="BJ135" s="80">
        <f t="shared" ref="BJ135:BJ198" si="31">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2">SUM(F136:BF136)</f>
        <v>0</v>
      </c>
      <c r="BH136" s="80">
        <f t="shared" si="29"/>
        <v>0</v>
      </c>
      <c r="BI136" s="80">
        <f t="shared" si="30"/>
        <v>0</v>
      </c>
      <c r="BJ136" s="80">
        <f t="shared" si="31"/>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2"/>
        <v>58625007.649999999</v>
      </c>
      <c r="BH137" s="80">
        <f t="shared" si="29"/>
        <v>43269789.549999997</v>
      </c>
      <c r="BI137" s="80">
        <f t="shared" si="30"/>
        <v>3924480.1</v>
      </c>
      <c r="BJ137" s="80">
        <f t="shared" si="31"/>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2"/>
        <v>0</v>
      </c>
      <c r="BH138" s="80">
        <f t="shared" si="29"/>
        <v>0</v>
      </c>
      <c r="BI138" s="80">
        <f t="shared" si="30"/>
        <v>0</v>
      </c>
      <c r="BJ138" s="80">
        <f t="shared" si="31"/>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2"/>
        <v>0</v>
      </c>
      <c r="BH139" s="80">
        <f t="shared" si="29"/>
        <v>0</v>
      </c>
      <c r="BI139" s="80">
        <f t="shared" si="30"/>
        <v>0</v>
      </c>
      <c r="BJ139" s="80">
        <f t="shared" si="31"/>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2"/>
        <v>778850</v>
      </c>
      <c r="BH140" s="80">
        <f t="shared" si="29"/>
        <v>0</v>
      </c>
      <c r="BI140" s="80">
        <f t="shared" si="30"/>
        <v>0</v>
      </c>
      <c r="BJ140" s="80">
        <f t="shared" si="31"/>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3">G143+G144+G145+G146+G147+G148+G149+G150</f>
        <v>1710.5</v>
      </c>
      <c r="H142" s="84">
        <f t="shared" si="33"/>
        <v>411964.19</v>
      </c>
      <c r="I142" s="84">
        <f t="shared" si="33"/>
        <v>312367.87</v>
      </c>
      <c r="J142" s="84">
        <f t="shared" si="33"/>
        <v>511474.63</v>
      </c>
      <c r="K142" s="84">
        <f t="shared" si="33"/>
        <v>109112.89000000001</v>
      </c>
      <c r="L142" s="84">
        <f t="shared" si="33"/>
        <v>648339.77</v>
      </c>
      <c r="M142" s="84">
        <f t="shared" si="33"/>
        <v>1491640.0100000002</v>
      </c>
      <c r="N142" s="84">
        <f t="shared" si="33"/>
        <v>88229.35</v>
      </c>
      <c r="O142" s="84">
        <f t="shared" si="33"/>
        <v>44145.3</v>
      </c>
      <c r="P142" s="84">
        <f t="shared" si="33"/>
        <v>284772.00999999995</v>
      </c>
      <c r="Q142" s="84">
        <f t="shared" si="33"/>
        <v>383002.79</v>
      </c>
      <c r="R142" s="84">
        <f t="shared" si="33"/>
        <v>77569.820000000007</v>
      </c>
      <c r="S142" s="84">
        <f t="shared" si="33"/>
        <v>2100</v>
      </c>
      <c r="T142" s="84">
        <f t="shared" si="33"/>
        <v>30300</v>
      </c>
      <c r="U142" s="84">
        <f t="shared" si="33"/>
        <v>4098.6000000000004</v>
      </c>
      <c r="V142" s="84">
        <f t="shared" si="33"/>
        <v>58843.700000000004</v>
      </c>
      <c r="W142" s="84">
        <f t="shared" si="33"/>
        <v>340062.1</v>
      </c>
      <c r="X142" s="84">
        <f t="shared" si="33"/>
        <v>133973.17000000001</v>
      </c>
      <c r="Y142" s="84">
        <f t="shared" si="33"/>
        <v>63494.6</v>
      </c>
      <c r="Z142" s="84">
        <f t="shared" si="33"/>
        <v>61990.5</v>
      </c>
      <c r="AA142" s="84">
        <f t="shared" si="33"/>
        <v>1081427.33</v>
      </c>
      <c r="AB142" s="84">
        <f t="shared" si="33"/>
        <v>6383.6</v>
      </c>
      <c r="AC142" s="84">
        <f t="shared" si="33"/>
        <v>116506.6</v>
      </c>
      <c r="AD142" s="84">
        <f t="shared" si="33"/>
        <v>5965.45</v>
      </c>
      <c r="AE142" s="84">
        <f t="shared" si="33"/>
        <v>157793.22</v>
      </c>
      <c r="AF142" s="84">
        <f t="shared" si="33"/>
        <v>202354.41</v>
      </c>
      <c r="AG142" s="84">
        <f t="shared" si="33"/>
        <v>794299.84</v>
      </c>
      <c r="AH142" s="84">
        <f t="shared" si="33"/>
        <v>95537.41</v>
      </c>
      <c r="AI142" s="84">
        <f t="shared" si="33"/>
        <v>158959.33000000002</v>
      </c>
      <c r="AJ142" s="84">
        <f t="shared" si="33"/>
        <v>73847.990000000005</v>
      </c>
      <c r="AK142" s="84">
        <f t="shared" si="33"/>
        <v>39881.149999999994</v>
      </c>
      <c r="AL142" s="84">
        <f t="shared" si="33"/>
        <v>838336.9</v>
      </c>
      <c r="AM142" s="84">
        <f t="shared" si="33"/>
        <v>510511.45</v>
      </c>
      <c r="AN142" s="84">
        <f t="shared" si="33"/>
        <v>545807.85</v>
      </c>
      <c r="AO142" s="84">
        <f t="shared" si="33"/>
        <v>9346.15</v>
      </c>
      <c r="AP142" s="84">
        <f t="shared" si="33"/>
        <v>171856.47</v>
      </c>
      <c r="AQ142" s="84">
        <f t="shared" si="33"/>
        <v>9756.8200000000015</v>
      </c>
      <c r="AR142" s="84">
        <f t="shared" si="33"/>
        <v>9351</v>
      </c>
      <c r="AS142" s="84">
        <f t="shared" si="33"/>
        <v>78536.25</v>
      </c>
      <c r="AT142" s="84">
        <f t="shared" si="33"/>
        <v>8825.5</v>
      </c>
      <c r="AU142" s="84">
        <f t="shared" si="33"/>
        <v>149290.91</v>
      </c>
      <c r="AV142" s="84">
        <f t="shared" si="33"/>
        <v>264954.17000000004</v>
      </c>
      <c r="AW142" s="84">
        <f t="shared" si="33"/>
        <v>436415.24999999994</v>
      </c>
      <c r="AX142" s="84">
        <f t="shared" si="33"/>
        <v>63344.15</v>
      </c>
      <c r="AY142" s="84">
        <f t="shared" si="33"/>
        <v>238.5</v>
      </c>
      <c r="AZ142" s="84">
        <f t="shared" si="33"/>
        <v>43682.15</v>
      </c>
      <c r="BA142" s="84">
        <f t="shared" si="33"/>
        <v>199659.76</v>
      </c>
      <c r="BB142" s="84">
        <f t="shared" si="33"/>
        <v>18502.68</v>
      </c>
      <c r="BC142" s="84">
        <f t="shared" si="33"/>
        <v>136748.9</v>
      </c>
      <c r="BD142" s="84">
        <f t="shared" si="33"/>
        <v>85239.56</v>
      </c>
      <c r="BE142" s="84">
        <f t="shared" si="33"/>
        <v>1116170.21</v>
      </c>
      <c r="BF142" s="84">
        <f t="shared" si="33"/>
        <v>244666.74</v>
      </c>
      <c r="BG142" s="84">
        <f t="shared" si="32"/>
        <v>12900362.9</v>
      </c>
      <c r="BH142" s="84">
        <f t="shared" si="29"/>
        <v>5100680.0999999996</v>
      </c>
      <c r="BI142" s="84">
        <f t="shared" si="30"/>
        <v>2858441.4300000006</v>
      </c>
      <c r="BJ142" s="84">
        <f t="shared" si="31"/>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2"/>
        <v>608489.85</v>
      </c>
      <c r="BH143" s="80">
        <f t="shared" si="29"/>
        <v>13845.25</v>
      </c>
      <c r="BI143" s="80">
        <f t="shared" si="30"/>
        <v>41601.5</v>
      </c>
      <c r="BJ143" s="80">
        <f t="shared" si="31"/>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2"/>
        <v>7475581.5100000026</v>
      </c>
      <c r="BH144" s="80">
        <f t="shared" si="29"/>
        <v>3163981.5999999996</v>
      </c>
      <c r="BI144" s="80">
        <f t="shared" si="30"/>
        <v>2471135.0200000005</v>
      </c>
      <c r="BJ144" s="80">
        <f t="shared" si="31"/>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2"/>
        <v>1365075.76</v>
      </c>
      <c r="BH145" s="80">
        <f t="shared" si="29"/>
        <v>752954.19000000006</v>
      </c>
      <c r="BI145" s="80">
        <f t="shared" si="30"/>
        <v>13936.650000000001</v>
      </c>
      <c r="BJ145" s="80">
        <f t="shared" si="31"/>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2"/>
        <v>2084046.7400000005</v>
      </c>
      <c r="BH146" s="80">
        <f t="shared" si="29"/>
        <v>939606.68000000017</v>
      </c>
      <c r="BI146" s="80">
        <f t="shared" si="30"/>
        <v>270308</v>
      </c>
      <c r="BJ146" s="80">
        <f t="shared" si="31"/>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2"/>
        <v>384151.19999999995</v>
      </c>
      <c r="BH147" s="80">
        <f t="shared" si="29"/>
        <v>111986.93000000001</v>
      </c>
      <c r="BI147" s="80">
        <f t="shared" si="30"/>
        <v>29976.87</v>
      </c>
      <c r="BJ147" s="80">
        <f t="shared" si="31"/>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2"/>
        <v>61824.24</v>
      </c>
      <c r="BH148" s="80">
        <f t="shared" si="29"/>
        <v>-319.90000000000009</v>
      </c>
      <c r="BI148" s="80">
        <f t="shared" si="30"/>
        <v>30252.04</v>
      </c>
      <c r="BJ148" s="80">
        <f t="shared" si="31"/>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2"/>
        <v>102425.35</v>
      </c>
      <c r="BH149" s="80">
        <f t="shared" si="29"/>
        <v>101194</v>
      </c>
      <c r="BI149" s="80">
        <f t="shared" si="30"/>
        <v>1231.3499999999999</v>
      </c>
      <c r="BJ149" s="80">
        <f t="shared" si="31"/>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2"/>
        <v>818768.25</v>
      </c>
      <c r="BH150" s="80">
        <f t="shared" si="29"/>
        <v>17431.349999999999</v>
      </c>
      <c r="BI150" s="80">
        <f t="shared" si="30"/>
        <v>0</v>
      </c>
      <c r="BJ150" s="80">
        <f t="shared" si="31"/>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4">G153+G154+G155+G156+G157+G158+G159+G160+G161+G162</f>
        <v>0</v>
      </c>
      <c r="H152" s="84">
        <f t="shared" si="34"/>
        <v>0</v>
      </c>
      <c r="I152" s="84">
        <f t="shared" si="34"/>
        <v>0</v>
      </c>
      <c r="J152" s="84">
        <f t="shared" si="34"/>
        <v>0</v>
      </c>
      <c r="K152" s="84">
        <f t="shared" si="34"/>
        <v>0</v>
      </c>
      <c r="L152" s="84">
        <f t="shared" si="34"/>
        <v>20000</v>
      </c>
      <c r="M152" s="84">
        <f t="shared" si="34"/>
        <v>420000</v>
      </c>
      <c r="N152" s="84">
        <f t="shared" si="34"/>
        <v>0</v>
      </c>
      <c r="O152" s="84">
        <f t="shared" si="34"/>
        <v>0</v>
      </c>
      <c r="P152" s="84">
        <f t="shared" si="34"/>
        <v>109573.70000000001</v>
      </c>
      <c r="Q152" s="84">
        <f t="shared" si="34"/>
        <v>0</v>
      </c>
      <c r="R152" s="84">
        <f t="shared" si="34"/>
        <v>0</v>
      </c>
      <c r="S152" s="84">
        <f t="shared" si="34"/>
        <v>0</v>
      </c>
      <c r="T152" s="84">
        <f t="shared" si="34"/>
        <v>0</v>
      </c>
      <c r="U152" s="84">
        <f t="shared" si="34"/>
        <v>-1135.0999999999999</v>
      </c>
      <c r="V152" s="84">
        <f t="shared" si="34"/>
        <v>10000</v>
      </c>
      <c r="W152" s="84">
        <f t="shared" si="34"/>
        <v>0</v>
      </c>
      <c r="X152" s="84">
        <f t="shared" si="34"/>
        <v>101000</v>
      </c>
      <c r="Y152" s="84">
        <f t="shared" si="34"/>
        <v>0</v>
      </c>
      <c r="Z152" s="84">
        <f t="shared" si="34"/>
        <v>1365.15</v>
      </c>
      <c r="AA152" s="84">
        <f t="shared" si="34"/>
        <v>0</v>
      </c>
      <c r="AB152" s="84">
        <f t="shared" si="34"/>
        <v>0</v>
      </c>
      <c r="AC152" s="84">
        <f t="shared" si="34"/>
        <v>0</v>
      </c>
      <c r="AD152" s="84">
        <f t="shared" si="34"/>
        <v>0</v>
      </c>
      <c r="AE152" s="84">
        <f t="shared" si="34"/>
        <v>0</v>
      </c>
      <c r="AF152" s="84">
        <f t="shared" si="34"/>
        <v>0</v>
      </c>
      <c r="AG152" s="84">
        <f t="shared" si="34"/>
        <v>0</v>
      </c>
      <c r="AH152" s="84">
        <f t="shared" si="34"/>
        <v>0</v>
      </c>
      <c r="AI152" s="84">
        <f t="shared" si="34"/>
        <v>93642</v>
      </c>
      <c r="AJ152" s="84">
        <f t="shared" si="34"/>
        <v>0</v>
      </c>
      <c r="AK152" s="84">
        <f t="shared" si="34"/>
        <v>0</v>
      </c>
      <c r="AL152" s="84">
        <f t="shared" si="34"/>
        <v>0</v>
      </c>
      <c r="AM152" s="84">
        <f t="shared" si="34"/>
        <v>0</v>
      </c>
      <c r="AN152" s="84">
        <f t="shared" si="34"/>
        <v>0</v>
      </c>
      <c r="AO152" s="84">
        <f t="shared" si="34"/>
        <v>0</v>
      </c>
      <c r="AP152" s="84">
        <f t="shared" si="34"/>
        <v>30000</v>
      </c>
      <c r="AQ152" s="84">
        <f t="shared" si="34"/>
        <v>0</v>
      </c>
      <c r="AR152" s="84">
        <f t="shared" si="34"/>
        <v>0</v>
      </c>
      <c r="AS152" s="84">
        <f t="shared" si="34"/>
        <v>25000</v>
      </c>
      <c r="AT152" s="84">
        <f t="shared" si="34"/>
        <v>0</v>
      </c>
      <c r="AU152" s="84">
        <f t="shared" si="34"/>
        <v>0</v>
      </c>
      <c r="AV152" s="84">
        <f t="shared" si="34"/>
        <v>0</v>
      </c>
      <c r="AW152" s="84">
        <f t="shared" si="34"/>
        <v>177250.85</v>
      </c>
      <c r="AX152" s="84">
        <f t="shared" si="34"/>
        <v>31267.31</v>
      </c>
      <c r="AY152" s="84">
        <f t="shared" si="34"/>
        <v>0</v>
      </c>
      <c r="AZ152" s="84">
        <f t="shared" si="34"/>
        <v>0</v>
      </c>
      <c r="BA152" s="84">
        <f t="shared" si="34"/>
        <v>0</v>
      </c>
      <c r="BB152" s="84">
        <f t="shared" si="34"/>
        <v>0</v>
      </c>
      <c r="BC152" s="84">
        <f t="shared" si="34"/>
        <v>0</v>
      </c>
      <c r="BD152" s="84">
        <f t="shared" si="34"/>
        <v>0</v>
      </c>
      <c r="BE152" s="84">
        <f t="shared" si="34"/>
        <v>0</v>
      </c>
      <c r="BF152" s="84">
        <f t="shared" si="34"/>
        <v>0</v>
      </c>
      <c r="BG152" s="84">
        <f t="shared" si="32"/>
        <v>1017963.91</v>
      </c>
      <c r="BH152" s="84">
        <f t="shared" si="29"/>
        <v>659438.6</v>
      </c>
      <c r="BI152" s="84">
        <f t="shared" si="30"/>
        <v>95007.15</v>
      </c>
      <c r="BJ152" s="84">
        <f t="shared" si="31"/>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2"/>
        <v>729007.3600000001</v>
      </c>
      <c r="BH153" s="80">
        <f t="shared" si="29"/>
        <v>641864.9</v>
      </c>
      <c r="BI153" s="80">
        <f t="shared" si="30"/>
        <v>66365.149999999994</v>
      </c>
      <c r="BJ153" s="80">
        <f t="shared" si="31"/>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2"/>
        <v>0</v>
      </c>
      <c r="BH154" s="80">
        <f t="shared" si="29"/>
        <v>0</v>
      </c>
      <c r="BI154" s="80">
        <f t="shared" si="30"/>
        <v>0</v>
      </c>
      <c r="BJ154" s="80">
        <f t="shared" si="31"/>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2"/>
        <v>15490</v>
      </c>
      <c r="BH155" s="80">
        <f t="shared" si="29"/>
        <v>5000</v>
      </c>
      <c r="BI155" s="80">
        <f t="shared" si="30"/>
        <v>0</v>
      </c>
      <c r="BJ155" s="80">
        <f t="shared" si="31"/>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2"/>
        <v>125763.32</v>
      </c>
      <c r="BH156" s="80">
        <f t="shared" si="29"/>
        <v>5000</v>
      </c>
      <c r="BI156" s="80">
        <f t="shared" si="30"/>
        <v>0</v>
      </c>
      <c r="BJ156" s="80">
        <f t="shared" si="31"/>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2"/>
        <v>495.6</v>
      </c>
      <c r="BH157" s="80">
        <f t="shared" si="29"/>
        <v>495.6</v>
      </c>
      <c r="BI157" s="80">
        <f t="shared" si="30"/>
        <v>0</v>
      </c>
      <c r="BJ157" s="80">
        <f t="shared" si="31"/>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2"/>
        <v>86487.53</v>
      </c>
      <c r="BH158" s="80">
        <f t="shared" si="29"/>
        <v>0</v>
      </c>
      <c r="BI158" s="80">
        <f t="shared" si="30"/>
        <v>0</v>
      </c>
      <c r="BJ158" s="80">
        <f t="shared" si="31"/>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2"/>
        <v>0</v>
      </c>
      <c r="BH159" s="80">
        <f t="shared" si="29"/>
        <v>0</v>
      </c>
      <c r="BI159" s="80">
        <f t="shared" si="30"/>
        <v>0</v>
      </c>
      <c r="BJ159" s="80">
        <f t="shared" si="31"/>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2"/>
        <v>28642</v>
      </c>
      <c r="BH160" s="80">
        <f t="shared" si="29"/>
        <v>0</v>
      </c>
      <c r="BI160" s="80">
        <f t="shared" si="30"/>
        <v>28642</v>
      </c>
      <c r="BJ160" s="80">
        <f t="shared" si="31"/>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2"/>
        <v>25000</v>
      </c>
      <c r="BH161" s="80">
        <f t="shared" si="29"/>
        <v>0</v>
      </c>
      <c r="BI161" s="80">
        <f t="shared" si="30"/>
        <v>0</v>
      </c>
      <c r="BJ161" s="80">
        <f t="shared" si="31"/>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2"/>
        <v>7078.1</v>
      </c>
      <c r="BH162" s="80">
        <f t="shared" si="29"/>
        <v>7078.1</v>
      </c>
      <c r="BI162" s="80">
        <f t="shared" si="30"/>
        <v>0</v>
      </c>
      <c r="BJ162" s="80">
        <f t="shared" si="31"/>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5">G165+G166+G167+G168+G169+G170</f>
        <v>2069199.6</v>
      </c>
      <c r="H164" s="84">
        <f t="shared" si="35"/>
        <v>5177800</v>
      </c>
      <c r="I164" s="84">
        <f t="shared" si="35"/>
        <v>3890756.96</v>
      </c>
      <c r="J164" s="84">
        <f t="shared" si="35"/>
        <v>17756300</v>
      </c>
      <c r="K164" s="84">
        <f t="shared" si="35"/>
        <v>16190550</v>
      </c>
      <c r="L164" s="84">
        <f t="shared" si="35"/>
        <v>9758495.1300000008</v>
      </c>
      <c r="M164" s="84">
        <f t="shared" si="35"/>
        <v>95091195.150000006</v>
      </c>
      <c r="N164" s="84">
        <f t="shared" si="35"/>
        <v>6134829.75</v>
      </c>
      <c r="O164" s="84">
        <f t="shared" si="35"/>
        <v>780304.9</v>
      </c>
      <c r="P164" s="84">
        <f t="shared" si="35"/>
        <v>25935350.149999999</v>
      </c>
      <c r="Q164" s="84">
        <f t="shared" si="35"/>
        <v>1776635.35</v>
      </c>
      <c r="R164" s="84">
        <f t="shared" si="35"/>
        <v>376450</v>
      </c>
      <c r="S164" s="84">
        <f t="shared" si="35"/>
        <v>2943627.35</v>
      </c>
      <c r="T164" s="84">
        <f t="shared" si="35"/>
        <v>1060911</v>
      </c>
      <c r="U164" s="84">
        <f t="shared" si="35"/>
        <v>4871800</v>
      </c>
      <c r="V164" s="84">
        <f t="shared" si="35"/>
        <v>504350</v>
      </c>
      <c r="W164" s="84">
        <f t="shared" si="35"/>
        <v>3263161.06</v>
      </c>
      <c r="X164" s="84">
        <f t="shared" si="35"/>
        <v>12462575</v>
      </c>
      <c r="Y164" s="84">
        <f t="shared" si="35"/>
        <v>196736.2</v>
      </c>
      <c r="Z164" s="84">
        <f t="shared" si="35"/>
        <v>9245800</v>
      </c>
      <c r="AA164" s="84">
        <f t="shared" si="35"/>
        <v>700000</v>
      </c>
      <c r="AB164" s="84">
        <f t="shared" si="35"/>
        <v>768670.9</v>
      </c>
      <c r="AC164" s="84">
        <f t="shared" si="35"/>
        <v>1175000</v>
      </c>
      <c r="AD164" s="84">
        <f t="shared" si="35"/>
        <v>2701405</v>
      </c>
      <c r="AE164" s="84">
        <f t="shared" si="35"/>
        <v>7038135.8499999996</v>
      </c>
      <c r="AF164" s="84">
        <f t="shared" si="35"/>
        <v>3142600</v>
      </c>
      <c r="AG164" s="84">
        <f t="shared" si="35"/>
        <v>490800</v>
      </c>
      <c r="AH164" s="84">
        <f t="shared" si="35"/>
        <v>4291400</v>
      </c>
      <c r="AI164" s="84">
        <f t="shared" si="35"/>
        <v>14869135.15</v>
      </c>
      <c r="AJ164" s="84">
        <f t="shared" si="35"/>
        <v>834750.62</v>
      </c>
      <c r="AK164" s="84">
        <f t="shared" si="35"/>
        <v>823610</v>
      </c>
      <c r="AL164" s="84">
        <f t="shared" si="35"/>
        <v>17359320</v>
      </c>
      <c r="AM164" s="84">
        <f t="shared" si="35"/>
        <v>8587000</v>
      </c>
      <c r="AN164" s="84">
        <f t="shared" si="35"/>
        <v>10539574.300000001</v>
      </c>
      <c r="AO164" s="84">
        <f t="shared" si="35"/>
        <v>1584400</v>
      </c>
      <c r="AP164" s="84">
        <f t="shared" si="35"/>
        <v>8421550</v>
      </c>
      <c r="AQ164" s="84">
        <f t="shared" si="35"/>
        <v>4601800</v>
      </c>
      <c r="AR164" s="84">
        <f t="shared" si="35"/>
        <v>3432745</v>
      </c>
      <c r="AS164" s="84">
        <f t="shared" si="35"/>
        <v>10477846.050000001</v>
      </c>
      <c r="AT164" s="84">
        <f t="shared" si="35"/>
        <v>4848271.0999999996</v>
      </c>
      <c r="AU164" s="84">
        <f t="shared" si="35"/>
        <v>8332909.5</v>
      </c>
      <c r="AV164" s="84">
        <f t="shared" si="35"/>
        <v>1806665</v>
      </c>
      <c r="AW164" s="84">
        <f t="shared" si="35"/>
        <v>12929000</v>
      </c>
      <c r="AX164" s="84">
        <f t="shared" si="35"/>
        <v>5224542</v>
      </c>
      <c r="AY164" s="84">
        <f t="shared" si="35"/>
        <v>637770</v>
      </c>
      <c r="AZ164" s="84">
        <f t="shared" si="35"/>
        <v>1878500</v>
      </c>
      <c r="BA164" s="84">
        <f t="shared" si="35"/>
        <v>17771972</v>
      </c>
      <c r="BB164" s="84">
        <f t="shared" si="35"/>
        <v>860500</v>
      </c>
      <c r="BC164" s="84">
        <f t="shared" si="35"/>
        <v>7129460</v>
      </c>
      <c r="BD164" s="84">
        <f t="shared" si="35"/>
        <v>138745.70000000001</v>
      </c>
      <c r="BE164" s="84">
        <f t="shared" si="35"/>
        <v>52417022</v>
      </c>
      <c r="BF164" s="84">
        <f t="shared" si="35"/>
        <v>3579778.15</v>
      </c>
      <c r="BG164" s="84">
        <f t="shared" si="32"/>
        <v>443486105.92000002</v>
      </c>
      <c r="BH164" s="84">
        <f t="shared" si="29"/>
        <v>214648691.40000001</v>
      </c>
      <c r="BI164" s="84">
        <f t="shared" si="30"/>
        <v>46278043.719999999</v>
      </c>
      <c r="BJ164" s="84">
        <f t="shared" si="31"/>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2"/>
        <v>31479661.300000001</v>
      </c>
      <c r="BH165" s="80">
        <f t="shared" si="29"/>
        <v>5816300</v>
      </c>
      <c r="BI165" s="80">
        <f t="shared" si="30"/>
        <v>17805661.300000001</v>
      </c>
      <c r="BJ165" s="80">
        <f t="shared" si="31"/>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2"/>
        <v>0</v>
      </c>
      <c r="BH166" s="80">
        <f t="shared" si="29"/>
        <v>0</v>
      </c>
      <c r="BI166" s="80">
        <f t="shared" si="30"/>
        <v>0</v>
      </c>
      <c r="BJ166" s="80">
        <f t="shared" si="31"/>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2"/>
        <v>256862992.47</v>
      </c>
      <c r="BH167" s="80">
        <f t="shared" si="29"/>
        <v>69162432.75</v>
      </c>
      <c r="BI167" s="80">
        <f t="shared" si="30"/>
        <v>28433159.420000002</v>
      </c>
      <c r="BJ167" s="80">
        <f t="shared" si="31"/>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2"/>
        <v>158626992.15000001</v>
      </c>
      <c r="BH168" s="80">
        <f t="shared" si="29"/>
        <v>139173008.65000001</v>
      </c>
      <c r="BI168" s="80">
        <f t="shared" si="30"/>
        <v>685250</v>
      </c>
      <c r="BJ168" s="80">
        <f t="shared" si="31"/>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2"/>
        <v>-1093760</v>
      </c>
      <c r="BH169" s="80">
        <f t="shared" si="29"/>
        <v>0</v>
      </c>
      <c r="BI169" s="80">
        <f t="shared" si="30"/>
        <v>0</v>
      </c>
      <c r="BJ169" s="80">
        <f t="shared" si="31"/>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2"/>
        <v>-2389780</v>
      </c>
      <c r="BH170" s="80">
        <f t="shared" si="29"/>
        <v>496950</v>
      </c>
      <c r="BI170" s="80">
        <f t="shared" si="30"/>
        <v>-646027</v>
      </c>
      <c r="BJ170" s="80">
        <f t="shared" si="31"/>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6">G173+G174+G175+G176+G177+G178+G179+G180+G181</f>
        <v>0</v>
      </c>
      <c r="H172" s="84">
        <f t="shared" si="36"/>
        <v>0</v>
      </c>
      <c r="I172" s="84">
        <f t="shared" si="36"/>
        <v>0</v>
      </c>
      <c r="J172" s="84">
        <f t="shared" si="36"/>
        <v>79546.899999999994</v>
      </c>
      <c r="K172" s="84">
        <f t="shared" si="36"/>
        <v>2450</v>
      </c>
      <c r="L172" s="84">
        <f t="shared" si="36"/>
        <v>0</v>
      </c>
      <c r="M172" s="84">
        <f t="shared" si="36"/>
        <v>0</v>
      </c>
      <c r="N172" s="84">
        <f t="shared" si="36"/>
        <v>0</v>
      </c>
      <c r="O172" s="84">
        <f t="shared" si="36"/>
        <v>0</v>
      </c>
      <c r="P172" s="84">
        <f t="shared" si="36"/>
        <v>477423.5</v>
      </c>
      <c r="Q172" s="84">
        <f t="shared" si="36"/>
        <v>0</v>
      </c>
      <c r="R172" s="84">
        <f t="shared" si="36"/>
        <v>0</v>
      </c>
      <c r="S172" s="84">
        <f t="shared" si="36"/>
        <v>0</v>
      </c>
      <c r="T172" s="84">
        <f t="shared" si="36"/>
        <v>0</v>
      </c>
      <c r="U172" s="84">
        <f t="shared" si="36"/>
        <v>0</v>
      </c>
      <c r="V172" s="84">
        <f t="shared" si="36"/>
        <v>10691.47</v>
      </c>
      <c r="W172" s="84">
        <f t="shared" si="36"/>
        <v>0</v>
      </c>
      <c r="X172" s="84">
        <f t="shared" si="36"/>
        <v>0</v>
      </c>
      <c r="Y172" s="84">
        <f t="shared" si="36"/>
        <v>0</v>
      </c>
      <c r="Z172" s="84">
        <f t="shared" si="36"/>
        <v>0</v>
      </c>
      <c r="AA172" s="84">
        <f t="shared" si="36"/>
        <v>4100000</v>
      </c>
      <c r="AB172" s="84">
        <f t="shared" si="36"/>
        <v>0</v>
      </c>
      <c r="AC172" s="84">
        <f t="shared" si="36"/>
        <v>0</v>
      </c>
      <c r="AD172" s="84">
        <f t="shared" si="36"/>
        <v>0</v>
      </c>
      <c r="AE172" s="84">
        <f t="shared" si="36"/>
        <v>0</v>
      </c>
      <c r="AF172" s="84">
        <f t="shared" si="36"/>
        <v>0</v>
      </c>
      <c r="AG172" s="84">
        <f t="shared" si="36"/>
        <v>0</v>
      </c>
      <c r="AH172" s="84">
        <f t="shared" si="36"/>
        <v>0</v>
      </c>
      <c r="AI172" s="84">
        <f t="shared" si="36"/>
        <v>264093.7</v>
      </c>
      <c r="AJ172" s="84">
        <f t="shared" si="36"/>
        <v>0</v>
      </c>
      <c r="AK172" s="84">
        <f t="shared" si="36"/>
        <v>0</v>
      </c>
      <c r="AL172" s="84">
        <f t="shared" si="36"/>
        <v>0</v>
      </c>
      <c r="AM172" s="84">
        <f t="shared" si="36"/>
        <v>0</v>
      </c>
      <c r="AN172" s="84">
        <f t="shared" si="36"/>
        <v>0</v>
      </c>
      <c r="AO172" s="84">
        <f t="shared" si="36"/>
        <v>0</v>
      </c>
      <c r="AP172" s="84">
        <f t="shared" si="36"/>
        <v>0</v>
      </c>
      <c r="AQ172" s="84">
        <f t="shared" si="36"/>
        <v>0</v>
      </c>
      <c r="AR172" s="84">
        <f t="shared" si="36"/>
        <v>0</v>
      </c>
      <c r="AS172" s="84">
        <f t="shared" si="36"/>
        <v>0</v>
      </c>
      <c r="AT172" s="84">
        <f t="shared" si="36"/>
        <v>0</v>
      </c>
      <c r="AU172" s="84">
        <f t="shared" si="36"/>
        <v>0</v>
      </c>
      <c r="AV172" s="84">
        <f t="shared" si="36"/>
        <v>0</v>
      </c>
      <c r="AW172" s="84">
        <f t="shared" si="36"/>
        <v>0</v>
      </c>
      <c r="AX172" s="84">
        <f t="shared" si="36"/>
        <v>0</v>
      </c>
      <c r="AY172" s="84">
        <f t="shared" si="36"/>
        <v>53926.85</v>
      </c>
      <c r="AZ172" s="84">
        <f t="shared" si="36"/>
        <v>0</v>
      </c>
      <c r="BA172" s="84">
        <f t="shared" si="36"/>
        <v>0</v>
      </c>
      <c r="BB172" s="84">
        <f t="shared" si="36"/>
        <v>0</v>
      </c>
      <c r="BC172" s="84">
        <f t="shared" si="36"/>
        <v>321307.2</v>
      </c>
      <c r="BD172" s="84">
        <f t="shared" si="36"/>
        <v>0</v>
      </c>
      <c r="BE172" s="84">
        <f t="shared" si="36"/>
        <v>0</v>
      </c>
      <c r="BF172" s="84">
        <f t="shared" si="36"/>
        <v>0</v>
      </c>
      <c r="BG172" s="84">
        <f t="shared" si="32"/>
        <v>5309439.62</v>
      </c>
      <c r="BH172" s="84">
        <f t="shared" si="29"/>
        <v>570111.87</v>
      </c>
      <c r="BI172" s="84">
        <f t="shared" si="30"/>
        <v>4364093.7</v>
      </c>
      <c r="BJ172" s="84">
        <f t="shared" si="31"/>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2"/>
        <v>0</v>
      </c>
      <c r="BH173" s="80">
        <f t="shared" si="29"/>
        <v>0</v>
      </c>
      <c r="BI173" s="80">
        <f t="shared" si="30"/>
        <v>0</v>
      </c>
      <c r="BJ173" s="80">
        <f t="shared" si="31"/>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2"/>
        <v>0</v>
      </c>
      <c r="BH174" s="80">
        <f t="shared" si="29"/>
        <v>0</v>
      </c>
      <c r="BI174" s="80">
        <f t="shared" si="30"/>
        <v>0</v>
      </c>
      <c r="BJ174" s="80">
        <f t="shared" si="31"/>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2"/>
        <v>10691.47</v>
      </c>
      <c r="BH175" s="80">
        <f t="shared" si="29"/>
        <v>10691.47</v>
      </c>
      <c r="BI175" s="80">
        <f t="shared" si="30"/>
        <v>0</v>
      </c>
      <c r="BJ175" s="80">
        <f t="shared" si="31"/>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2"/>
        <v>0</v>
      </c>
      <c r="BH176" s="80">
        <f t="shared" si="29"/>
        <v>0</v>
      </c>
      <c r="BI176" s="80">
        <f t="shared" si="30"/>
        <v>0</v>
      </c>
      <c r="BJ176" s="80">
        <f t="shared" si="31"/>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2"/>
        <v>797894.04999999993</v>
      </c>
      <c r="BH177" s="80">
        <f t="shared" si="29"/>
        <v>479873.5</v>
      </c>
      <c r="BI177" s="80">
        <f t="shared" si="30"/>
        <v>264093.7</v>
      </c>
      <c r="BJ177" s="80">
        <f t="shared" si="31"/>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2"/>
        <v>0</v>
      </c>
      <c r="BH178" s="80">
        <f t="shared" si="29"/>
        <v>0</v>
      </c>
      <c r="BI178" s="80">
        <f t="shared" si="30"/>
        <v>0</v>
      </c>
      <c r="BJ178" s="80">
        <f t="shared" si="31"/>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2"/>
        <v>0</v>
      </c>
      <c r="BH179" s="80">
        <f t="shared" si="29"/>
        <v>0</v>
      </c>
      <c r="BI179" s="80">
        <f t="shared" si="30"/>
        <v>0</v>
      </c>
      <c r="BJ179" s="80">
        <f t="shared" si="31"/>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2"/>
        <v>0</v>
      </c>
      <c r="BH180" s="80">
        <f t="shared" si="29"/>
        <v>0</v>
      </c>
      <c r="BI180" s="80">
        <f t="shared" si="30"/>
        <v>0</v>
      </c>
      <c r="BJ180" s="80">
        <f t="shared" si="31"/>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2"/>
        <v>4500854.0999999996</v>
      </c>
      <c r="BH181" s="80">
        <f t="shared" si="29"/>
        <v>79546.899999999994</v>
      </c>
      <c r="BI181" s="80">
        <f t="shared" si="30"/>
        <v>4100000</v>
      </c>
      <c r="BJ181" s="80">
        <f t="shared" si="31"/>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7">G184+G185+G186+G187</f>
        <v>0</v>
      </c>
      <c r="H183" s="84">
        <f t="shared" si="37"/>
        <v>119639.3</v>
      </c>
      <c r="I183" s="84">
        <f t="shared" si="37"/>
        <v>74721.22</v>
      </c>
      <c r="J183" s="84">
        <f t="shared" si="37"/>
        <v>250734.75</v>
      </c>
      <c r="K183" s="84">
        <f t="shared" si="37"/>
        <v>1005390.6</v>
      </c>
      <c r="L183" s="84">
        <f t="shared" si="37"/>
        <v>312151.92</v>
      </c>
      <c r="M183" s="84">
        <f t="shared" si="37"/>
        <v>1871191.55</v>
      </c>
      <c r="N183" s="84">
        <f t="shared" si="37"/>
        <v>25354.95</v>
      </c>
      <c r="O183" s="84">
        <f t="shared" si="37"/>
        <v>141524.70000000001</v>
      </c>
      <c r="P183" s="84">
        <f t="shared" si="37"/>
        <v>787477.4</v>
      </c>
      <c r="Q183" s="84">
        <f t="shared" si="37"/>
        <v>18411.509999999998</v>
      </c>
      <c r="R183" s="84">
        <f t="shared" si="37"/>
        <v>0</v>
      </c>
      <c r="S183" s="84">
        <f t="shared" si="37"/>
        <v>14252</v>
      </c>
      <c r="T183" s="84">
        <f t="shared" si="37"/>
        <v>38026.949999999997</v>
      </c>
      <c r="U183" s="84">
        <f t="shared" si="37"/>
        <v>170104</v>
      </c>
      <c r="V183" s="84">
        <f t="shared" si="37"/>
        <v>36715.660000000003</v>
      </c>
      <c r="W183" s="84">
        <f t="shared" si="37"/>
        <v>444.87</v>
      </c>
      <c r="X183" s="84">
        <f t="shared" si="37"/>
        <v>576639.53</v>
      </c>
      <c r="Y183" s="84">
        <f t="shared" si="37"/>
        <v>0</v>
      </c>
      <c r="Z183" s="84">
        <f t="shared" si="37"/>
        <v>164826.5</v>
      </c>
      <c r="AA183" s="84">
        <f t="shared" si="37"/>
        <v>0</v>
      </c>
      <c r="AB183" s="84">
        <f t="shared" si="37"/>
        <v>0</v>
      </c>
      <c r="AC183" s="84">
        <f t="shared" si="37"/>
        <v>20628.79</v>
      </c>
      <c r="AD183" s="84">
        <f t="shared" si="37"/>
        <v>198580.28</v>
      </c>
      <c r="AE183" s="84">
        <f t="shared" si="37"/>
        <v>0</v>
      </c>
      <c r="AF183" s="84">
        <f t="shared" si="37"/>
        <v>72184.59</v>
      </c>
      <c r="AG183" s="84">
        <f t="shared" si="37"/>
        <v>91885.6</v>
      </c>
      <c r="AH183" s="84">
        <f t="shared" si="37"/>
        <v>520456.2</v>
      </c>
      <c r="AI183" s="84">
        <f t="shared" si="37"/>
        <v>849981.89</v>
      </c>
      <c r="AJ183" s="84">
        <f t="shared" si="37"/>
        <v>40435.1</v>
      </c>
      <c r="AK183" s="84">
        <f t="shared" si="37"/>
        <v>0</v>
      </c>
      <c r="AL183" s="84">
        <f t="shared" si="37"/>
        <v>0</v>
      </c>
      <c r="AM183" s="84">
        <f t="shared" si="37"/>
        <v>0</v>
      </c>
      <c r="AN183" s="84">
        <f t="shared" si="37"/>
        <v>52386.05</v>
      </c>
      <c r="AO183" s="84">
        <f t="shared" si="37"/>
        <v>0</v>
      </c>
      <c r="AP183" s="84">
        <f t="shared" si="37"/>
        <v>0</v>
      </c>
      <c r="AQ183" s="84">
        <f t="shared" si="37"/>
        <v>0</v>
      </c>
      <c r="AR183" s="84">
        <f t="shared" si="37"/>
        <v>50490.55</v>
      </c>
      <c r="AS183" s="84">
        <f t="shared" si="37"/>
        <v>197540.9</v>
      </c>
      <c r="AT183" s="84">
        <f t="shared" si="37"/>
        <v>12295.62</v>
      </c>
      <c r="AU183" s="84">
        <f t="shared" si="37"/>
        <v>79876.17</v>
      </c>
      <c r="AV183" s="84">
        <f t="shared" si="37"/>
        <v>16202.25</v>
      </c>
      <c r="AW183" s="84">
        <f t="shared" si="37"/>
        <v>0</v>
      </c>
      <c r="AX183" s="84">
        <f t="shared" si="37"/>
        <v>115817.3</v>
      </c>
      <c r="AY183" s="84">
        <f t="shared" si="37"/>
        <v>154987.65</v>
      </c>
      <c r="AZ183" s="84">
        <f t="shared" si="37"/>
        <v>24798.49</v>
      </c>
      <c r="BA183" s="84">
        <f t="shared" si="37"/>
        <v>68692.649999999994</v>
      </c>
      <c r="BB183" s="84">
        <f t="shared" si="37"/>
        <v>0</v>
      </c>
      <c r="BC183" s="84">
        <f t="shared" si="37"/>
        <v>5643.9</v>
      </c>
      <c r="BD183" s="84">
        <f t="shared" si="37"/>
        <v>0</v>
      </c>
      <c r="BE183" s="84">
        <f t="shared" si="37"/>
        <v>1146105.01</v>
      </c>
      <c r="BF183" s="84">
        <f t="shared" si="37"/>
        <v>0</v>
      </c>
      <c r="BG183" s="84">
        <f t="shared" si="32"/>
        <v>9404760.1000000015</v>
      </c>
      <c r="BH183" s="84">
        <f t="shared" si="29"/>
        <v>5520944.6100000013</v>
      </c>
      <c r="BI183" s="84">
        <f t="shared" si="30"/>
        <v>1958978.9500000002</v>
      </c>
      <c r="BJ183" s="84">
        <f t="shared" si="31"/>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2"/>
        <v>1044497.5499999999</v>
      </c>
      <c r="BH184" s="80">
        <f t="shared" si="29"/>
        <v>1044497.5499999999</v>
      </c>
      <c r="BI184" s="80">
        <f t="shared" si="30"/>
        <v>0</v>
      </c>
      <c r="BJ184" s="80">
        <f t="shared" si="31"/>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2"/>
        <v>8307896.3000000007</v>
      </c>
      <c r="BH185" s="80">
        <f t="shared" si="29"/>
        <v>4475947.0600000005</v>
      </c>
      <c r="BI185" s="80">
        <f t="shared" si="30"/>
        <v>1907112.7000000002</v>
      </c>
      <c r="BJ185" s="80">
        <f t="shared" si="31"/>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2"/>
        <v>500</v>
      </c>
      <c r="BH186" s="80">
        <f t="shared" si="29"/>
        <v>500</v>
      </c>
      <c r="BI186" s="80">
        <f t="shared" si="30"/>
        <v>0</v>
      </c>
      <c r="BJ186" s="80">
        <f t="shared" si="31"/>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2"/>
        <v>51866.25</v>
      </c>
      <c r="BH187" s="80">
        <f t="shared" si="29"/>
        <v>0</v>
      </c>
      <c r="BI187" s="80">
        <f t="shared" si="30"/>
        <v>51866.25</v>
      </c>
      <c r="BJ187" s="80">
        <f t="shared" si="31"/>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8">G190+G193+G197+G200+G203+G206+G209+G212+G215</f>
        <v>489947.82</v>
      </c>
      <c r="H189" s="86">
        <f t="shared" si="38"/>
        <v>242257.76</v>
      </c>
      <c r="I189" s="86">
        <f t="shared" si="38"/>
        <v>2478153.3600000003</v>
      </c>
      <c r="J189" s="86">
        <f t="shared" si="38"/>
        <v>10879188.16</v>
      </c>
      <c r="K189" s="86">
        <f t="shared" si="38"/>
        <v>7466060.8100000005</v>
      </c>
      <c r="L189" s="86">
        <f t="shared" si="38"/>
        <v>9902110.870000001</v>
      </c>
      <c r="M189" s="86">
        <f t="shared" si="38"/>
        <v>31445698.129999999</v>
      </c>
      <c r="N189" s="86">
        <f t="shared" si="38"/>
        <v>4109993.71</v>
      </c>
      <c r="O189" s="86">
        <f t="shared" si="38"/>
        <v>592146.18000000005</v>
      </c>
      <c r="P189" s="86">
        <f t="shared" si="38"/>
        <v>7719981.0300000012</v>
      </c>
      <c r="Q189" s="86">
        <f t="shared" si="38"/>
        <v>1516663.5100000002</v>
      </c>
      <c r="R189" s="86">
        <f t="shared" si="38"/>
        <v>218655.59</v>
      </c>
      <c r="S189" s="86">
        <f t="shared" si="38"/>
        <v>841563.2</v>
      </c>
      <c r="T189" s="86">
        <f t="shared" si="38"/>
        <v>974362.25</v>
      </c>
      <c r="U189" s="86">
        <f t="shared" si="38"/>
        <v>2986346.35</v>
      </c>
      <c r="V189" s="86">
        <f t="shared" si="38"/>
        <v>778606.28</v>
      </c>
      <c r="W189" s="86">
        <f t="shared" si="38"/>
        <v>732922.32000000007</v>
      </c>
      <c r="X189" s="86">
        <f t="shared" si="38"/>
        <v>5689759.8499999996</v>
      </c>
      <c r="Y189" s="86">
        <f t="shared" si="38"/>
        <v>3329459.15</v>
      </c>
      <c r="Z189" s="86">
        <f t="shared" si="38"/>
        <v>4003307.67</v>
      </c>
      <c r="AA189" s="86">
        <f t="shared" si="38"/>
        <v>18646639.780000001</v>
      </c>
      <c r="AB189" s="86">
        <f t="shared" si="38"/>
        <v>783430.4</v>
      </c>
      <c r="AC189" s="86">
        <f t="shared" si="38"/>
        <v>1756230.92</v>
      </c>
      <c r="AD189" s="86">
        <f t="shared" si="38"/>
        <v>1653734.19</v>
      </c>
      <c r="AE189" s="86">
        <f t="shared" si="38"/>
        <v>1692802.6300000001</v>
      </c>
      <c r="AF189" s="86">
        <f t="shared" si="38"/>
        <v>2850990.0300000003</v>
      </c>
      <c r="AG189" s="86">
        <f t="shared" si="38"/>
        <v>7189603.1100000013</v>
      </c>
      <c r="AH189" s="86">
        <f t="shared" si="38"/>
        <v>9329240.9800000004</v>
      </c>
      <c r="AI189" s="86">
        <f t="shared" si="38"/>
        <v>9305592.6500000004</v>
      </c>
      <c r="AJ189" s="86">
        <f t="shared" si="38"/>
        <v>2109625.8499999996</v>
      </c>
      <c r="AK189" s="86">
        <f t="shared" si="38"/>
        <v>2150451.9900000002</v>
      </c>
      <c r="AL189" s="86">
        <f t="shared" si="38"/>
        <v>4123303.76</v>
      </c>
      <c r="AM189" s="86">
        <f t="shared" si="38"/>
        <v>6031579.1799999997</v>
      </c>
      <c r="AN189" s="86">
        <f t="shared" si="38"/>
        <v>3517376.03</v>
      </c>
      <c r="AO189" s="86">
        <f t="shared" si="38"/>
        <v>1354915.12</v>
      </c>
      <c r="AP189" s="86">
        <f t="shared" si="38"/>
        <v>20764279.890000001</v>
      </c>
      <c r="AQ189" s="86">
        <f t="shared" si="38"/>
        <v>2862488.41</v>
      </c>
      <c r="AR189" s="86">
        <f t="shared" si="38"/>
        <v>2624411.96</v>
      </c>
      <c r="AS189" s="86">
        <f t="shared" si="38"/>
        <v>11016037.99</v>
      </c>
      <c r="AT189" s="86">
        <f t="shared" si="38"/>
        <v>2228140.11</v>
      </c>
      <c r="AU189" s="86">
        <f t="shared" si="38"/>
        <v>1689247.3599999999</v>
      </c>
      <c r="AV189" s="86">
        <f t="shared" si="38"/>
        <v>3800407.95</v>
      </c>
      <c r="AW189" s="86">
        <f t="shared" si="38"/>
        <v>7596912.5</v>
      </c>
      <c r="AX189" s="86">
        <f t="shared" si="38"/>
        <v>2726265.09</v>
      </c>
      <c r="AY189" s="86">
        <f t="shared" si="38"/>
        <v>645900.39</v>
      </c>
      <c r="AZ189" s="86">
        <f t="shared" si="38"/>
        <v>2043828.8900000001</v>
      </c>
      <c r="BA189" s="86">
        <f t="shared" si="38"/>
        <v>3415164.4699999997</v>
      </c>
      <c r="BB189" s="86">
        <f t="shared" si="38"/>
        <v>3310776.9499999997</v>
      </c>
      <c r="BC189" s="86">
        <f t="shared" si="38"/>
        <v>4674209.24</v>
      </c>
      <c r="BD189" s="86">
        <f t="shared" si="38"/>
        <v>1281823.19</v>
      </c>
      <c r="BE189" s="86">
        <f t="shared" si="38"/>
        <v>10716577.420000002</v>
      </c>
      <c r="BF189" s="86">
        <f t="shared" si="38"/>
        <v>1565660.9900000002</v>
      </c>
      <c r="BG189" s="86">
        <f t="shared" si="38"/>
        <v>256446002.21000004</v>
      </c>
      <c r="BH189" s="86">
        <f t="shared" si="38"/>
        <v>93655585.969999999</v>
      </c>
      <c r="BI189" s="86">
        <f t="shared" si="38"/>
        <v>64801109.349999994</v>
      </c>
      <c r="BJ189" s="86">
        <f t="shared" si="38"/>
        <v>97989306.889999986</v>
      </c>
    </row>
    <row r="190" spans="2:62" x14ac:dyDescent="0.25">
      <c r="C190" s="83">
        <v>290</v>
      </c>
      <c r="D190" s="83"/>
      <c r="E190" s="83" t="s">
        <v>261</v>
      </c>
      <c r="F190" s="84">
        <f>F191</f>
        <v>2151199.2599999998</v>
      </c>
      <c r="G190" s="84">
        <f t="shared" ref="G190:BF190" si="39">G191</f>
        <v>449776.9</v>
      </c>
      <c r="H190" s="84">
        <f t="shared" si="39"/>
        <v>381849.64</v>
      </c>
      <c r="I190" s="84">
        <f t="shared" si="39"/>
        <v>850748.95</v>
      </c>
      <c r="J190" s="84">
        <f t="shared" si="39"/>
        <v>5120387.05</v>
      </c>
      <c r="K190" s="84">
        <f t="shared" si="39"/>
        <v>4691010.37</v>
      </c>
      <c r="L190" s="84">
        <f t="shared" si="39"/>
        <v>2945700</v>
      </c>
      <c r="M190" s="84">
        <f t="shared" si="39"/>
        <v>23586793.18</v>
      </c>
      <c r="N190" s="84">
        <f t="shared" si="39"/>
        <v>1279527.93</v>
      </c>
      <c r="O190" s="84">
        <f t="shared" si="39"/>
        <v>46726.25</v>
      </c>
      <c r="P190" s="84">
        <f t="shared" si="39"/>
        <v>3888222.47</v>
      </c>
      <c r="Q190" s="84">
        <f t="shared" si="39"/>
        <v>616889.31000000006</v>
      </c>
      <c r="R190" s="84">
        <f t="shared" si="39"/>
        <v>142852.92000000001</v>
      </c>
      <c r="S190" s="84">
        <f t="shared" si="39"/>
        <v>420706.26</v>
      </c>
      <c r="T190" s="84">
        <f t="shared" si="39"/>
        <v>999520.8</v>
      </c>
      <c r="U190" s="84">
        <f t="shared" si="39"/>
        <v>1840450.1</v>
      </c>
      <c r="V190" s="84">
        <f t="shared" si="39"/>
        <v>368830.25</v>
      </c>
      <c r="W190" s="84">
        <f t="shared" si="39"/>
        <v>502533.89</v>
      </c>
      <c r="X190" s="84">
        <f t="shared" si="39"/>
        <v>2513866.7200000002</v>
      </c>
      <c r="Y190" s="84">
        <f t="shared" si="39"/>
        <v>746827.15</v>
      </c>
      <c r="Z190" s="84">
        <f t="shared" si="39"/>
        <v>989704.82</v>
      </c>
      <c r="AA190" s="84">
        <f t="shared" si="39"/>
        <v>1475371.4</v>
      </c>
      <c r="AB190" s="84">
        <f t="shared" si="39"/>
        <v>243629.44</v>
      </c>
      <c r="AC190" s="84">
        <f t="shared" si="39"/>
        <v>642526.47</v>
      </c>
      <c r="AD190" s="84">
        <f t="shared" si="39"/>
        <v>644124.35</v>
      </c>
      <c r="AE190" s="84">
        <f t="shared" si="39"/>
        <v>477396.96</v>
      </c>
      <c r="AF190" s="84">
        <f t="shared" si="39"/>
        <v>1309978.04</v>
      </c>
      <c r="AG190" s="84">
        <f t="shared" si="39"/>
        <v>2127895.16</v>
      </c>
      <c r="AH190" s="84">
        <f t="shared" si="39"/>
        <v>2327137.65</v>
      </c>
      <c r="AI190" s="84">
        <f t="shared" si="39"/>
        <v>6453734.9100000001</v>
      </c>
      <c r="AJ190" s="84">
        <f t="shared" si="39"/>
        <v>801637.7</v>
      </c>
      <c r="AK190" s="84">
        <f t="shared" si="39"/>
        <v>606478.41</v>
      </c>
      <c r="AL190" s="84">
        <f t="shared" si="39"/>
        <v>1735727.05</v>
      </c>
      <c r="AM190" s="84">
        <f t="shared" si="39"/>
        <v>1179153.1299999999</v>
      </c>
      <c r="AN190" s="84">
        <f t="shared" si="39"/>
        <v>674952.2</v>
      </c>
      <c r="AO190" s="84">
        <f t="shared" si="39"/>
        <v>323834.14</v>
      </c>
      <c r="AP190" s="84">
        <f t="shared" si="39"/>
        <v>3334013.19</v>
      </c>
      <c r="AQ190" s="84">
        <f t="shared" si="39"/>
        <v>660483.66</v>
      </c>
      <c r="AR190" s="84">
        <f t="shared" si="39"/>
        <v>607276.06000000006</v>
      </c>
      <c r="AS190" s="84">
        <f t="shared" si="39"/>
        <v>1818259.22</v>
      </c>
      <c r="AT190" s="84">
        <f t="shared" si="39"/>
        <v>1591267.79</v>
      </c>
      <c r="AU190" s="84">
        <f t="shared" si="39"/>
        <v>659497.97</v>
      </c>
      <c r="AV190" s="84">
        <f t="shared" si="39"/>
        <v>609924.11</v>
      </c>
      <c r="AW190" s="84">
        <f t="shared" si="39"/>
        <v>1625696.36</v>
      </c>
      <c r="AX190" s="84">
        <f t="shared" si="39"/>
        <v>1126536.26</v>
      </c>
      <c r="AY190" s="84">
        <f t="shared" si="39"/>
        <v>439901.99</v>
      </c>
      <c r="AZ190" s="84">
        <f t="shared" si="39"/>
        <v>937619.41</v>
      </c>
      <c r="BA190" s="84">
        <f t="shared" si="39"/>
        <v>833873.57</v>
      </c>
      <c r="BB190" s="84">
        <f t="shared" si="39"/>
        <v>1626639.69</v>
      </c>
      <c r="BC190" s="84">
        <f t="shared" si="39"/>
        <v>1645565.98</v>
      </c>
      <c r="BD190" s="84">
        <f t="shared" si="39"/>
        <v>332471.84000000003</v>
      </c>
      <c r="BE190" s="84">
        <f t="shared" si="39"/>
        <v>7751522.9199999999</v>
      </c>
      <c r="BF190" s="84">
        <f t="shared" si="39"/>
        <v>820358.56</v>
      </c>
      <c r="BG190" s="84">
        <f t="shared" si="32"/>
        <v>101978609.80999999</v>
      </c>
      <c r="BH190" s="84">
        <f t="shared" si="29"/>
        <v>52797592.25</v>
      </c>
      <c r="BI190" s="84">
        <f t="shared" si="30"/>
        <v>18846442.460000001</v>
      </c>
      <c r="BJ190" s="84">
        <f t="shared" si="31"/>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2"/>
        <v>101978609.80999999</v>
      </c>
      <c r="BH191" s="80">
        <f t="shared" si="29"/>
        <v>52797592.25</v>
      </c>
      <c r="BI191" s="80">
        <f t="shared" si="30"/>
        <v>18846442.460000001</v>
      </c>
      <c r="BJ191" s="80">
        <f t="shared" si="31"/>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0">G194+G195</f>
        <v>0</v>
      </c>
      <c r="H193" s="84">
        <f t="shared" si="40"/>
        <v>0</v>
      </c>
      <c r="I193" s="84">
        <f t="shared" si="40"/>
        <v>0</v>
      </c>
      <c r="J193" s="84">
        <f t="shared" si="40"/>
        <v>0</v>
      </c>
      <c r="K193" s="84">
        <f t="shared" si="40"/>
        <v>0</v>
      </c>
      <c r="L193" s="84">
        <f t="shared" si="40"/>
        <v>0</v>
      </c>
      <c r="M193" s="84">
        <f t="shared" si="40"/>
        <v>0</v>
      </c>
      <c r="N193" s="84">
        <f t="shared" si="40"/>
        <v>0</v>
      </c>
      <c r="O193" s="84">
        <f t="shared" si="40"/>
        <v>0</v>
      </c>
      <c r="P193" s="84">
        <f t="shared" si="40"/>
        <v>269724.81</v>
      </c>
      <c r="Q193" s="84">
        <f t="shared" si="40"/>
        <v>0</v>
      </c>
      <c r="R193" s="84">
        <f t="shared" si="40"/>
        <v>0</v>
      </c>
      <c r="S193" s="84">
        <f t="shared" si="40"/>
        <v>0</v>
      </c>
      <c r="T193" s="84">
        <f t="shared" si="40"/>
        <v>0</v>
      </c>
      <c r="U193" s="84">
        <f t="shared" si="40"/>
        <v>0</v>
      </c>
      <c r="V193" s="84">
        <f t="shared" si="40"/>
        <v>0</v>
      </c>
      <c r="W193" s="84">
        <f t="shared" si="40"/>
        <v>0</v>
      </c>
      <c r="X193" s="84">
        <f t="shared" si="40"/>
        <v>0</v>
      </c>
      <c r="Y193" s="84">
        <f t="shared" si="40"/>
        <v>0</v>
      </c>
      <c r="Z193" s="84">
        <f t="shared" si="40"/>
        <v>0</v>
      </c>
      <c r="AA193" s="84">
        <f t="shared" si="40"/>
        <v>0</v>
      </c>
      <c r="AB193" s="84">
        <f t="shared" si="40"/>
        <v>0</v>
      </c>
      <c r="AC193" s="84">
        <f t="shared" si="40"/>
        <v>20052.07</v>
      </c>
      <c r="AD193" s="84">
        <f t="shared" si="40"/>
        <v>0</v>
      </c>
      <c r="AE193" s="84">
        <f t="shared" si="40"/>
        <v>0</v>
      </c>
      <c r="AF193" s="84">
        <f t="shared" si="40"/>
        <v>0</v>
      </c>
      <c r="AG193" s="84">
        <f t="shared" si="40"/>
        <v>0</v>
      </c>
      <c r="AH193" s="84">
        <f t="shared" si="40"/>
        <v>0</v>
      </c>
      <c r="AI193" s="84">
        <f t="shared" si="40"/>
        <v>0</v>
      </c>
      <c r="AJ193" s="84">
        <f t="shared" si="40"/>
        <v>0</v>
      </c>
      <c r="AK193" s="84">
        <f t="shared" si="40"/>
        <v>101520.35</v>
      </c>
      <c r="AL193" s="84">
        <f t="shared" si="40"/>
        <v>0</v>
      </c>
      <c r="AM193" s="84">
        <f t="shared" si="40"/>
        <v>0</v>
      </c>
      <c r="AN193" s="84">
        <f t="shared" si="40"/>
        <v>0</v>
      </c>
      <c r="AO193" s="84">
        <f t="shared" si="40"/>
        <v>0</v>
      </c>
      <c r="AP193" s="84">
        <f t="shared" si="40"/>
        <v>223365.3</v>
      </c>
      <c r="AQ193" s="84">
        <f t="shared" si="40"/>
        <v>0</v>
      </c>
      <c r="AR193" s="84">
        <f t="shared" si="40"/>
        <v>0</v>
      </c>
      <c r="AS193" s="84">
        <f t="shared" si="40"/>
        <v>0</v>
      </c>
      <c r="AT193" s="84">
        <f t="shared" si="40"/>
        <v>0</v>
      </c>
      <c r="AU193" s="84">
        <f t="shared" si="40"/>
        <v>0</v>
      </c>
      <c r="AV193" s="84">
        <f t="shared" si="40"/>
        <v>0</v>
      </c>
      <c r="AW193" s="84">
        <f t="shared" si="40"/>
        <v>0</v>
      </c>
      <c r="AX193" s="84">
        <f t="shared" si="40"/>
        <v>393581.05</v>
      </c>
      <c r="AY193" s="84">
        <f t="shared" si="40"/>
        <v>0</v>
      </c>
      <c r="AZ193" s="84">
        <f t="shared" si="40"/>
        <v>0</v>
      </c>
      <c r="BA193" s="84">
        <f t="shared" si="40"/>
        <v>0</v>
      </c>
      <c r="BB193" s="84">
        <f t="shared" si="40"/>
        <v>0</v>
      </c>
      <c r="BC193" s="84">
        <f t="shared" si="40"/>
        <v>0</v>
      </c>
      <c r="BD193" s="84">
        <f t="shared" si="40"/>
        <v>0</v>
      </c>
      <c r="BE193" s="84">
        <f t="shared" si="40"/>
        <v>395983.95</v>
      </c>
      <c r="BF193" s="84">
        <f t="shared" si="40"/>
        <v>0</v>
      </c>
      <c r="BG193" s="84">
        <f t="shared" si="32"/>
        <v>1455148.63</v>
      </c>
      <c r="BH193" s="84">
        <f t="shared" si="29"/>
        <v>320645.90999999997</v>
      </c>
      <c r="BI193" s="84">
        <f t="shared" si="30"/>
        <v>121572.42000000001</v>
      </c>
      <c r="BJ193" s="84">
        <f t="shared" si="31"/>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2"/>
        <v>1185423.82</v>
      </c>
      <c r="BH194" s="80">
        <f t="shared" si="29"/>
        <v>50921.1</v>
      </c>
      <c r="BI194" s="80">
        <f t="shared" si="30"/>
        <v>121572.42000000001</v>
      </c>
      <c r="BJ194" s="80">
        <f t="shared" si="31"/>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2"/>
        <v>269724.81</v>
      </c>
      <c r="BH195" s="80">
        <f t="shared" si="29"/>
        <v>269724.81</v>
      </c>
      <c r="BI195" s="80">
        <f t="shared" si="30"/>
        <v>0</v>
      </c>
      <c r="BJ195" s="80">
        <f t="shared" si="31"/>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1">G198</f>
        <v>0</v>
      </c>
      <c r="H197" s="84">
        <f t="shared" si="41"/>
        <v>0</v>
      </c>
      <c r="I197" s="84">
        <f t="shared" si="41"/>
        <v>0</v>
      </c>
      <c r="J197" s="84">
        <f t="shared" si="41"/>
        <v>0</v>
      </c>
      <c r="K197" s="84">
        <f t="shared" si="41"/>
        <v>0</v>
      </c>
      <c r="L197" s="84">
        <f t="shared" si="41"/>
        <v>0</v>
      </c>
      <c r="M197" s="84">
        <f t="shared" si="41"/>
        <v>0</v>
      </c>
      <c r="N197" s="84">
        <f t="shared" si="41"/>
        <v>0</v>
      </c>
      <c r="O197" s="84">
        <f t="shared" si="41"/>
        <v>0</v>
      </c>
      <c r="P197" s="84">
        <f t="shared" si="41"/>
        <v>0</v>
      </c>
      <c r="Q197" s="84">
        <f t="shared" si="41"/>
        <v>0</v>
      </c>
      <c r="R197" s="84">
        <f t="shared" si="41"/>
        <v>0</v>
      </c>
      <c r="S197" s="84">
        <f t="shared" si="41"/>
        <v>0</v>
      </c>
      <c r="T197" s="84">
        <f t="shared" si="41"/>
        <v>0</v>
      </c>
      <c r="U197" s="84">
        <f t="shared" si="41"/>
        <v>176186</v>
      </c>
      <c r="V197" s="84">
        <f t="shared" si="41"/>
        <v>0</v>
      </c>
      <c r="W197" s="84">
        <f t="shared" si="41"/>
        <v>0</v>
      </c>
      <c r="X197" s="84">
        <f t="shared" si="41"/>
        <v>0</v>
      </c>
      <c r="Y197" s="84">
        <f t="shared" si="41"/>
        <v>0</v>
      </c>
      <c r="Z197" s="84">
        <f t="shared" si="41"/>
        <v>0</v>
      </c>
      <c r="AA197" s="84">
        <f t="shared" si="41"/>
        <v>105000</v>
      </c>
      <c r="AB197" s="84">
        <f t="shared" si="41"/>
        <v>81058.350000000006</v>
      </c>
      <c r="AC197" s="84">
        <f t="shared" si="41"/>
        <v>0</v>
      </c>
      <c r="AD197" s="84">
        <f t="shared" si="41"/>
        <v>0</v>
      </c>
      <c r="AE197" s="84">
        <f t="shared" si="41"/>
        <v>0</v>
      </c>
      <c r="AF197" s="84">
        <f t="shared" si="41"/>
        <v>0</v>
      </c>
      <c r="AG197" s="84">
        <f t="shared" si="41"/>
        <v>0</v>
      </c>
      <c r="AH197" s="84">
        <f t="shared" si="41"/>
        <v>120343.75</v>
      </c>
      <c r="AI197" s="84">
        <f t="shared" si="41"/>
        <v>0</v>
      </c>
      <c r="AJ197" s="84">
        <f t="shared" si="41"/>
        <v>0</v>
      </c>
      <c r="AK197" s="84">
        <f t="shared" si="41"/>
        <v>0</v>
      </c>
      <c r="AL197" s="84">
        <f t="shared" si="41"/>
        <v>0</v>
      </c>
      <c r="AM197" s="84">
        <f t="shared" si="41"/>
        <v>0</v>
      </c>
      <c r="AN197" s="84">
        <f t="shared" si="41"/>
        <v>0</v>
      </c>
      <c r="AO197" s="84">
        <f t="shared" si="41"/>
        <v>0</v>
      </c>
      <c r="AP197" s="84">
        <f t="shared" si="41"/>
        <v>0</v>
      </c>
      <c r="AQ197" s="84">
        <f t="shared" si="41"/>
        <v>0</v>
      </c>
      <c r="AR197" s="84">
        <f t="shared" si="41"/>
        <v>0</v>
      </c>
      <c r="AS197" s="84">
        <f t="shared" si="41"/>
        <v>0</v>
      </c>
      <c r="AT197" s="84">
        <f t="shared" si="41"/>
        <v>0</v>
      </c>
      <c r="AU197" s="84">
        <f t="shared" si="41"/>
        <v>0</v>
      </c>
      <c r="AV197" s="84">
        <f t="shared" si="41"/>
        <v>0</v>
      </c>
      <c r="AW197" s="84">
        <f t="shared" si="41"/>
        <v>0</v>
      </c>
      <c r="AX197" s="84">
        <f t="shared" si="41"/>
        <v>0</v>
      </c>
      <c r="AY197" s="84">
        <f t="shared" si="41"/>
        <v>3640</v>
      </c>
      <c r="AZ197" s="84">
        <f t="shared" si="41"/>
        <v>0</v>
      </c>
      <c r="BA197" s="84">
        <f t="shared" si="41"/>
        <v>0</v>
      </c>
      <c r="BB197" s="84">
        <f t="shared" si="41"/>
        <v>0</v>
      </c>
      <c r="BC197" s="84">
        <f t="shared" si="41"/>
        <v>0</v>
      </c>
      <c r="BD197" s="84">
        <f t="shared" si="41"/>
        <v>10267.65</v>
      </c>
      <c r="BE197" s="84">
        <f t="shared" si="41"/>
        <v>0</v>
      </c>
      <c r="BF197" s="84">
        <f t="shared" si="41"/>
        <v>0</v>
      </c>
      <c r="BG197" s="84">
        <f t="shared" si="32"/>
        <v>496495.75</v>
      </c>
      <c r="BH197" s="84">
        <f t="shared" si="29"/>
        <v>176186</v>
      </c>
      <c r="BI197" s="84">
        <f t="shared" si="30"/>
        <v>306402.09999999998</v>
      </c>
      <c r="BJ197" s="84">
        <f t="shared" si="31"/>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2"/>
        <v>496495.75</v>
      </c>
      <c r="BH198" s="80">
        <f t="shared" si="29"/>
        <v>176186</v>
      </c>
      <c r="BI198" s="80">
        <f t="shared" si="30"/>
        <v>306402.09999999998</v>
      </c>
      <c r="BJ198" s="80">
        <f t="shared" si="31"/>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2">G201</f>
        <v>0</v>
      </c>
      <c r="H200" s="84">
        <f t="shared" si="42"/>
        <v>0</v>
      </c>
      <c r="I200" s="84">
        <f t="shared" si="42"/>
        <v>270853.28999999998</v>
      </c>
      <c r="J200" s="84">
        <f t="shared" si="42"/>
        <v>0</v>
      </c>
      <c r="K200" s="84">
        <f t="shared" si="42"/>
        <v>0</v>
      </c>
      <c r="L200" s="84">
        <f t="shared" si="42"/>
        <v>0</v>
      </c>
      <c r="M200" s="84">
        <f t="shared" si="42"/>
        <v>4076651</v>
      </c>
      <c r="N200" s="84">
        <f t="shared" si="42"/>
        <v>1392097.95</v>
      </c>
      <c r="O200" s="84">
        <f t="shared" si="42"/>
        <v>0</v>
      </c>
      <c r="P200" s="84">
        <f t="shared" si="42"/>
        <v>2628853.6800000002</v>
      </c>
      <c r="Q200" s="84">
        <f t="shared" si="42"/>
        <v>0</v>
      </c>
      <c r="R200" s="84">
        <f t="shared" si="42"/>
        <v>6310.55</v>
      </c>
      <c r="S200" s="84">
        <f t="shared" si="42"/>
        <v>0</v>
      </c>
      <c r="T200" s="84">
        <f t="shared" si="42"/>
        <v>0</v>
      </c>
      <c r="U200" s="84">
        <f t="shared" si="42"/>
        <v>0</v>
      </c>
      <c r="V200" s="84">
        <f t="shared" si="42"/>
        <v>0</v>
      </c>
      <c r="W200" s="84">
        <f t="shared" si="42"/>
        <v>0</v>
      </c>
      <c r="X200" s="84">
        <f t="shared" si="42"/>
        <v>0</v>
      </c>
      <c r="Y200" s="84">
        <f t="shared" si="42"/>
        <v>0</v>
      </c>
      <c r="Z200" s="84">
        <f t="shared" si="42"/>
        <v>0</v>
      </c>
      <c r="AA200" s="84">
        <f t="shared" si="42"/>
        <v>0</v>
      </c>
      <c r="AB200" s="84">
        <f t="shared" si="42"/>
        <v>0</v>
      </c>
      <c r="AC200" s="84">
        <f t="shared" si="42"/>
        <v>0</v>
      </c>
      <c r="AD200" s="84">
        <f t="shared" si="42"/>
        <v>0</v>
      </c>
      <c r="AE200" s="84">
        <f t="shared" si="42"/>
        <v>0</v>
      </c>
      <c r="AF200" s="84">
        <f t="shared" si="42"/>
        <v>0</v>
      </c>
      <c r="AG200" s="84">
        <f t="shared" si="42"/>
        <v>0</v>
      </c>
      <c r="AH200" s="84">
        <f t="shared" si="42"/>
        <v>0</v>
      </c>
      <c r="AI200" s="84">
        <f t="shared" si="42"/>
        <v>0</v>
      </c>
      <c r="AJ200" s="84">
        <f t="shared" si="42"/>
        <v>0</v>
      </c>
      <c r="AK200" s="84">
        <f t="shared" si="42"/>
        <v>0</v>
      </c>
      <c r="AL200" s="84">
        <f t="shared" si="42"/>
        <v>0</v>
      </c>
      <c r="AM200" s="84">
        <f t="shared" si="42"/>
        <v>0</v>
      </c>
      <c r="AN200" s="84">
        <f t="shared" si="42"/>
        <v>0</v>
      </c>
      <c r="AO200" s="84">
        <f t="shared" si="42"/>
        <v>0</v>
      </c>
      <c r="AP200" s="84">
        <f t="shared" si="42"/>
        <v>6730000</v>
      </c>
      <c r="AQ200" s="84">
        <f t="shared" si="42"/>
        <v>0</v>
      </c>
      <c r="AR200" s="84">
        <f t="shared" si="42"/>
        <v>0</v>
      </c>
      <c r="AS200" s="84">
        <f t="shared" si="42"/>
        <v>138049.29999999999</v>
      </c>
      <c r="AT200" s="84">
        <f t="shared" si="42"/>
        <v>0</v>
      </c>
      <c r="AU200" s="84">
        <f t="shared" si="42"/>
        <v>188332</v>
      </c>
      <c r="AV200" s="84">
        <f t="shared" si="42"/>
        <v>0</v>
      </c>
      <c r="AW200" s="84">
        <f t="shared" si="42"/>
        <v>157725.4</v>
      </c>
      <c r="AX200" s="84">
        <f t="shared" si="42"/>
        <v>0</v>
      </c>
      <c r="AY200" s="84">
        <f t="shared" si="42"/>
        <v>0</v>
      </c>
      <c r="AZ200" s="84">
        <f t="shared" si="42"/>
        <v>0</v>
      </c>
      <c r="BA200" s="84">
        <f t="shared" si="42"/>
        <v>0</v>
      </c>
      <c r="BB200" s="84">
        <f t="shared" si="42"/>
        <v>0</v>
      </c>
      <c r="BC200" s="84">
        <f t="shared" si="42"/>
        <v>0</v>
      </c>
      <c r="BD200" s="84">
        <f t="shared" si="42"/>
        <v>0</v>
      </c>
      <c r="BE200" s="84">
        <f t="shared" si="42"/>
        <v>0</v>
      </c>
      <c r="BF200" s="84">
        <f t="shared" si="42"/>
        <v>0</v>
      </c>
      <c r="BG200" s="84">
        <f t="shared" ref="BG200:BG215" si="43">SUM(F200:BF200)</f>
        <v>15588873.17</v>
      </c>
      <c r="BH200" s="84">
        <f t="shared" ref="BH200:BH217" si="44">SUM(F200:X200)</f>
        <v>8374766.4699999997</v>
      </c>
      <c r="BI200" s="84">
        <f t="shared" ref="BI200:BI217" si="45">SUM(Y200:AK200)</f>
        <v>0</v>
      </c>
      <c r="BJ200" s="84">
        <f t="shared" ref="BJ200:BJ217" si="46">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3"/>
        <v>15588873.17</v>
      </c>
      <c r="BH201" s="80">
        <f t="shared" si="44"/>
        <v>8374766.4699999997</v>
      </c>
      <c r="BI201" s="80">
        <f t="shared" si="45"/>
        <v>0</v>
      </c>
      <c r="BJ201" s="80">
        <f t="shared" si="46"/>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7">G204</f>
        <v>0</v>
      </c>
      <c r="H203" s="84">
        <f t="shared" si="47"/>
        <v>52</v>
      </c>
      <c r="I203" s="84">
        <f t="shared" si="47"/>
        <v>184000</v>
      </c>
      <c r="J203" s="84">
        <f t="shared" si="47"/>
        <v>470000</v>
      </c>
      <c r="K203" s="84">
        <f t="shared" si="47"/>
        <v>600000</v>
      </c>
      <c r="L203" s="84">
        <f t="shared" si="47"/>
        <v>452808.34</v>
      </c>
      <c r="M203" s="84">
        <f t="shared" si="47"/>
        <v>3150000</v>
      </c>
      <c r="N203" s="84">
        <f t="shared" si="47"/>
        <v>360000</v>
      </c>
      <c r="O203" s="84">
        <f t="shared" si="47"/>
        <v>0</v>
      </c>
      <c r="P203" s="84">
        <f t="shared" si="47"/>
        <v>604600</v>
      </c>
      <c r="Q203" s="84">
        <f t="shared" si="47"/>
        <v>29578.3</v>
      </c>
      <c r="R203" s="84">
        <f t="shared" si="47"/>
        <v>14000</v>
      </c>
      <c r="S203" s="84">
        <f t="shared" si="47"/>
        <v>119000</v>
      </c>
      <c r="T203" s="84">
        <f t="shared" si="47"/>
        <v>210000</v>
      </c>
      <c r="U203" s="84">
        <f t="shared" si="47"/>
        <v>0</v>
      </c>
      <c r="V203" s="84">
        <f t="shared" si="47"/>
        <v>40000</v>
      </c>
      <c r="W203" s="84">
        <f t="shared" si="47"/>
        <v>0</v>
      </c>
      <c r="X203" s="84">
        <f t="shared" si="47"/>
        <v>1204350</v>
      </c>
      <c r="Y203" s="84">
        <f t="shared" si="47"/>
        <v>200000</v>
      </c>
      <c r="Z203" s="84">
        <f t="shared" si="47"/>
        <v>0</v>
      </c>
      <c r="AA203" s="84">
        <f t="shared" si="47"/>
        <v>4500000</v>
      </c>
      <c r="AB203" s="84">
        <f t="shared" si="47"/>
        <v>99214.98</v>
      </c>
      <c r="AC203" s="84">
        <f t="shared" si="47"/>
        <v>0</v>
      </c>
      <c r="AD203" s="84">
        <f t="shared" si="47"/>
        <v>190000</v>
      </c>
      <c r="AE203" s="84">
        <f t="shared" si="47"/>
        <v>178794.63</v>
      </c>
      <c r="AF203" s="84">
        <f t="shared" si="47"/>
        <v>365000</v>
      </c>
      <c r="AG203" s="84">
        <f t="shared" si="47"/>
        <v>437550.65</v>
      </c>
      <c r="AH203" s="84">
        <f t="shared" si="47"/>
        <v>1166475.8999999999</v>
      </c>
      <c r="AI203" s="84">
        <f t="shared" si="47"/>
        <v>950000</v>
      </c>
      <c r="AJ203" s="84">
        <f t="shared" si="47"/>
        <v>180000</v>
      </c>
      <c r="AK203" s="84">
        <f t="shared" si="47"/>
        <v>84000</v>
      </c>
      <c r="AL203" s="84">
        <f t="shared" si="47"/>
        <v>1642371.25</v>
      </c>
      <c r="AM203" s="84">
        <f t="shared" si="47"/>
        <v>1463440.64</v>
      </c>
      <c r="AN203" s="84">
        <f t="shared" si="47"/>
        <v>207634.72</v>
      </c>
      <c r="AO203" s="84">
        <f t="shared" si="47"/>
        <v>0</v>
      </c>
      <c r="AP203" s="84">
        <f t="shared" si="47"/>
        <v>1200000</v>
      </c>
      <c r="AQ203" s="84">
        <f t="shared" si="47"/>
        <v>342804.5</v>
      </c>
      <c r="AR203" s="84">
        <f t="shared" si="47"/>
        <v>770000</v>
      </c>
      <c r="AS203" s="84">
        <f t="shared" si="47"/>
        <v>1491500.6</v>
      </c>
      <c r="AT203" s="84">
        <f t="shared" si="47"/>
        <v>275000</v>
      </c>
      <c r="AU203" s="84">
        <f t="shared" si="47"/>
        <v>300000</v>
      </c>
      <c r="AV203" s="84">
        <f t="shared" si="47"/>
        <v>50000</v>
      </c>
      <c r="AW203" s="84">
        <f t="shared" si="47"/>
        <v>813910.35</v>
      </c>
      <c r="AX203" s="84">
        <f t="shared" si="47"/>
        <v>630000</v>
      </c>
      <c r="AY203" s="84">
        <f t="shared" si="47"/>
        <v>0</v>
      </c>
      <c r="AZ203" s="84">
        <f t="shared" si="47"/>
        <v>300279.45</v>
      </c>
      <c r="BA203" s="84">
        <f t="shared" si="47"/>
        <v>460000</v>
      </c>
      <c r="BB203" s="84">
        <f t="shared" si="47"/>
        <v>209758.45</v>
      </c>
      <c r="BC203" s="84">
        <f t="shared" si="47"/>
        <v>200000</v>
      </c>
      <c r="BD203" s="84">
        <f t="shared" si="47"/>
        <v>166601.79999999999</v>
      </c>
      <c r="BE203" s="84">
        <f t="shared" si="47"/>
        <v>1400000</v>
      </c>
      <c r="BF203" s="84">
        <f t="shared" si="47"/>
        <v>60000</v>
      </c>
      <c r="BG203" s="84">
        <f t="shared" si="43"/>
        <v>28092726.560000006</v>
      </c>
      <c r="BH203" s="84">
        <f t="shared" si="44"/>
        <v>7758388.6399999997</v>
      </c>
      <c r="BI203" s="84">
        <f t="shared" si="45"/>
        <v>8351036.1600000001</v>
      </c>
      <c r="BJ203" s="84">
        <f t="shared" si="46"/>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3"/>
        <v>28092726.560000006</v>
      </c>
      <c r="BH204" s="80">
        <f t="shared" si="44"/>
        <v>7758388.6399999997</v>
      </c>
      <c r="BI204" s="80">
        <f t="shared" si="45"/>
        <v>8351036.1600000001</v>
      </c>
      <c r="BJ204" s="80">
        <f t="shared" si="46"/>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8">G207</f>
        <v>0</v>
      </c>
      <c r="H206" s="84">
        <f>H207</f>
        <v>0</v>
      </c>
      <c r="I206" s="84">
        <f t="shared" si="48"/>
        <v>0</v>
      </c>
      <c r="J206" s="84">
        <f t="shared" si="48"/>
        <v>0</v>
      </c>
      <c r="K206" s="84">
        <f t="shared" si="48"/>
        <v>60100</v>
      </c>
      <c r="L206" s="84">
        <f t="shared" si="48"/>
        <v>0</v>
      </c>
      <c r="M206" s="84">
        <f t="shared" si="48"/>
        <v>0</v>
      </c>
      <c r="N206" s="84">
        <f t="shared" si="48"/>
        <v>0</v>
      </c>
      <c r="O206" s="84">
        <f t="shared" si="48"/>
        <v>0</v>
      </c>
      <c r="P206" s="84">
        <f t="shared" si="48"/>
        <v>0</v>
      </c>
      <c r="Q206" s="84">
        <f t="shared" si="48"/>
        <v>0</v>
      </c>
      <c r="R206" s="84">
        <f t="shared" si="48"/>
        <v>0</v>
      </c>
      <c r="S206" s="84">
        <f t="shared" si="48"/>
        <v>0</v>
      </c>
      <c r="T206" s="84">
        <f t="shared" si="48"/>
        <v>0</v>
      </c>
      <c r="U206" s="84">
        <f t="shared" si="48"/>
        <v>0</v>
      </c>
      <c r="V206" s="84">
        <f t="shared" si="48"/>
        <v>0</v>
      </c>
      <c r="W206" s="84">
        <f t="shared" si="48"/>
        <v>0</v>
      </c>
      <c r="X206" s="84">
        <f t="shared" si="48"/>
        <v>0</v>
      </c>
      <c r="Y206" s="84">
        <f t="shared" si="48"/>
        <v>0</v>
      </c>
      <c r="Z206" s="84">
        <f t="shared" si="48"/>
        <v>0</v>
      </c>
      <c r="AA206" s="84">
        <f t="shared" si="48"/>
        <v>0</v>
      </c>
      <c r="AB206" s="84">
        <f t="shared" si="48"/>
        <v>0</v>
      </c>
      <c r="AC206" s="84">
        <f t="shared" si="48"/>
        <v>0</v>
      </c>
      <c r="AD206" s="84">
        <f t="shared" si="48"/>
        <v>0</v>
      </c>
      <c r="AE206" s="84">
        <f t="shared" si="48"/>
        <v>387176.05</v>
      </c>
      <c r="AF206" s="84">
        <f t="shared" si="48"/>
        <v>0</v>
      </c>
      <c r="AG206" s="84">
        <f t="shared" si="48"/>
        <v>0</v>
      </c>
      <c r="AH206" s="84">
        <f t="shared" si="48"/>
        <v>0</v>
      </c>
      <c r="AI206" s="84">
        <f t="shared" si="48"/>
        <v>0</v>
      </c>
      <c r="AJ206" s="84">
        <f t="shared" si="48"/>
        <v>0</v>
      </c>
      <c r="AK206" s="84">
        <f t="shared" si="48"/>
        <v>0</v>
      </c>
      <c r="AL206" s="84">
        <f t="shared" si="48"/>
        <v>0</v>
      </c>
      <c r="AM206" s="84">
        <f t="shared" si="48"/>
        <v>0</v>
      </c>
      <c r="AN206" s="84">
        <f t="shared" si="48"/>
        <v>0</v>
      </c>
      <c r="AO206" s="84">
        <f t="shared" si="48"/>
        <v>50507.25</v>
      </c>
      <c r="AP206" s="84">
        <f t="shared" si="48"/>
        <v>0</v>
      </c>
      <c r="AQ206" s="84">
        <f t="shared" si="48"/>
        <v>0</v>
      </c>
      <c r="AR206" s="84">
        <f t="shared" si="48"/>
        <v>0</v>
      </c>
      <c r="AS206" s="84">
        <f t="shared" si="48"/>
        <v>0</v>
      </c>
      <c r="AT206" s="84">
        <f t="shared" si="48"/>
        <v>0</v>
      </c>
      <c r="AU206" s="84">
        <f t="shared" si="48"/>
        <v>0</v>
      </c>
      <c r="AV206" s="84">
        <f t="shared" si="48"/>
        <v>0</v>
      </c>
      <c r="AW206" s="84">
        <f t="shared" si="48"/>
        <v>0</v>
      </c>
      <c r="AX206" s="84">
        <f t="shared" si="48"/>
        <v>0</v>
      </c>
      <c r="AY206" s="84">
        <f t="shared" si="48"/>
        <v>0</v>
      </c>
      <c r="AZ206" s="84">
        <f t="shared" si="48"/>
        <v>0</v>
      </c>
      <c r="BA206" s="84">
        <f t="shared" si="48"/>
        <v>0</v>
      </c>
      <c r="BB206" s="84">
        <f t="shared" si="48"/>
        <v>0</v>
      </c>
      <c r="BC206" s="84">
        <f t="shared" si="48"/>
        <v>0</v>
      </c>
      <c r="BD206" s="84">
        <f t="shared" si="48"/>
        <v>0</v>
      </c>
      <c r="BE206" s="84">
        <f t="shared" si="48"/>
        <v>0</v>
      </c>
      <c r="BF206" s="84">
        <f t="shared" si="48"/>
        <v>0</v>
      </c>
      <c r="BG206" s="84">
        <f t="shared" si="43"/>
        <v>497783.3</v>
      </c>
      <c r="BH206" s="84">
        <f t="shared" si="44"/>
        <v>60100</v>
      </c>
      <c r="BI206" s="84">
        <f t="shared" si="45"/>
        <v>387176.05</v>
      </c>
      <c r="BJ206" s="84">
        <f t="shared" si="46"/>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3"/>
        <v>497783.3</v>
      </c>
      <c r="BH207" s="80">
        <f t="shared" si="44"/>
        <v>60100</v>
      </c>
      <c r="BI207" s="80">
        <f t="shared" si="45"/>
        <v>387176.05</v>
      </c>
      <c r="BJ207" s="80">
        <f t="shared" si="46"/>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49">G210</f>
        <v>-87320</v>
      </c>
      <c r="H209" s="84">
        <f t="shared" si="49"/>
        <v>0</v>
      </c>
      <c r="I209" s="84">
        <f t="shared" si="49"/>
        <v>240</v>
      </c>
      <c r="J209" s="84">
        <f t="shared" si="49"/>
        <v>386612.35</v>
      </c>
      <c r="K209" s="84">
        <f t="shared" si="49"/>
        <v>0</v>
      </c>
      <c r="L209" s="84">
        <f t="shared" si="49"/>
        <v>3685377.4</v>
      </c>
      <c r="M209" s="84">
        <f t="shared" si="49"/>
        <v>-3009318</v>
      </c>
      <c r="N209" s="84">
        <f t="shared" si="49"/>
        <v>0</v>
      </c>
      <c r="O209" s="84">
        <f t="shared" si="49"/>
        <v>0</v>
      </c>
      <c r="P209" s="84">
        <f t="shared" si="49"/>
        <v>0</v>
      </c>
      <c r="Q209" s="84">
        <f t="shared" si="49"/>
        <v>0</v>
      </c>
      <c r="R209" s="84">
        <f t="shared" si="49"/>
        <v>0</v>
      </c>
      <c r="S209" s="84">
        <f t="shared" si="49"/>
        <v>50000</v>
      </c>
      <c r="T209" s="84">
        <f t="shared" si="49"/>
        <v>0</v>
      </c>
      <c r="U209" s="84">
        <f t="shared" si="49"/>
        <v>0</v>
      </c>
      <c r="V209" s="84">
        <f t="shared" si="49"/>
        <v>0</v>
      </c>
      <c r="W209" s="84">
        <f t="shared" si="49"/>
        <v>0</v>
      </c>
      <c r="X209" s="84">
        <f t="shared" si="49"/>
        <v>269873</v>
      </c>
      <c r="Y209" s="84">
        <f t="shared" si="49"/>
        <v>0</v>
      </c>
      <c r="Z209" s="84">
        <f t="shared" si="49"/>
        <v>0</v>
      </c>
      <c r="AA209" s="84">
        <f t="shared" si="49"/>
        <v>1104064</v>
      </c>
      <c r="AB209" s="84">
        <f t="shared" si="49"/>
        <v>0</v>
      </c>
      <c r="AC209" s="84">
        <f t="shared" si="49"/>
        <v>0</v>
      </c>
      <c r="AD209" s="84">
        <f t="shared" si="49"/>
        <v>0</v>
      </c>
      <c r="AE209" s="84">
        <f t="shared" si="49"/>
        <v>0</v>
      </c>
      <c r="AF209" s="84">
        <f t="shared" si="49"/>
        <v>0</v>
      </c>
      <c r="AG209" s="84">
        <f t="shared" si="49"/>
        <v>0</v>
      </c>
      <c r="AH209" s="84">
        <f t="shared" si="49"/>
        <v>1733477.95</v>
      </c>
      <c r="AI209" s="84">
        <f t="shared" si="49"/>
        <v>0</v>
      </c>
      <c r="AJ209" s="84">
        <f t="shared" si="49"/>
        <v>0</v>
      </c>
      <c r="AK209" s="84">
        <f t="shared" si="49"/>
        <v>0</v>
      </c>
      <c r="AL209" s="84">
        <f t="shared" si="49"/>
        <v>0</v>
      </c>
      <c r="AM209" s="84">
        <f t="shared" si="49"/>
        <v>0</v>
      </c>
      <c r="AN209" s="84">
        <f t="shared" si="49"/>
        <v>0</v>
      </c>
      <c r="AO209" s="84">
        <f t="shared" si="49"/>
        <v>466852.64</v>
      </c>
      <c r="AP209" s="84">
        <f t="shared" si="49"/>
        <v>2342125</v>
      </c>
      <c r="AQ209" s="84">
        <f t="shared" si="49"/>
        <v>0</v>
      </c>
      <c r="AR209" s="84">
        <f t="shared" si="49"/>
        <v>0</v>
      </c>
      <c r="AS209" s="84">
        <f t="shared" si="49"/>
        <v>0</v>
      </c>
      <c r="AT209" s="84">
        <f t="shared" si="49"/>
        <v>0</v>
      </c>
      <c r="AU209" s="84">
        <f t="shared" si="49"/>
        <v>3679</v>
      </c>
      <c r="AV209" s="84">
        <f t="shared" si="49"/>
        <v>0</v>
      </c>
      <c r="AW209" s="84">
        <f t="shared" si="49"/>
        <v>0</v>
      </c>
      <c r="AX209" s="84">
        <f t="shared" si="49"/>
        <v>0</v>
      </c>
      <c r="AY209" s="84">
        <f t="shared" si="49"/>
        <v>0</v>
      </c>
      <c r="AZ209" s="84">
        <f t="shared" si="49"/>
        <v>213206.65</v>
      </c>
      <c r="BA209" s="84">
        <f t="shared" si="49"/>
        <v>0</v>
      </c>
      <c r="BB209" s="84">
        <f t="shared" si="49"/>
        <v>0</v>
      </c>
      <c r="BC209" s="84">
        <f t="shared" si="49"/>
        <v>462000</v>
      </c>
      <c r="BD209" s="84">
        <f t="shared" si="49"/>
        <v>0</v>
      </c>
      <c r="BE209" s="84">
        <f t="shared" si="49"/>
        <v>0</v>
      </c>
      <c r="BF209" s="84">
        <f t="shared" si="49"/>
        <v>0</v>
      </c>
      <c r="BG209" s="84">
        <f t="shared" si="43"/>
        <v>7620869.9900000002</v>
      </c>
      <c r="BH209" s="84">
        <f t="shared" si="44"/>
        <v>1295464.75</v>
      </c>
      <c r="BI209" s="84">
        <f t="shared" si="45"/>
        <v>2837541.95</v>
      </c>
      <c r="BJ209" s="84">
        <f t="shared" si="46"/>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3"/>
        <v>7620869.9900000002</v>
      </c>
      <c r="BH210" s="80">
        <f t="shared" si="44"/>
        <v>1295464.75</v>
      </c>
      <c r="BI210" s="80">
        <f t="shared" si="45"/>
        <v>2837541.95</v>
      </c>
      <c r="BJ210" s="80">
        <f t="shared" si="46"/>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0">G213</f>
        <v>0</v>
      </c>
      <c r="H212" s="84">
        <f t="shared" si="50"/>
        <v>0</v>
      </c>
      <c r="I212" s="84">
        <f t="shared" si="50"/>
        <v>0</v>
      </c>
      <c r="J212" s="84">
        <f t="shared" si="50"/>
        <v>0</v>
      </c>
      <c r="K212" s="84">
        <f t="shared" si="50"/>
        <v>0</v>
      </c>
      <c r="L212" s="84">
        <f t="shared" si="50"/>
        <v>0</v>
      </c>
      <c r="M212" s="84">
        <f t="shared" si="50"/>
        <v>0</v>
      </c>
      <c r="N212" s="84">
        <f t="shared" si="50"/>
        <v>0</v>
      </c>
      <c r="O212" s="84">
        <f t="shared" si="50"/>
        <v>0</v>
      </c>
      <c r="P212" s="84">
        <f t="shared" si="50"/>
        <v>0</v>
      </c>
      <c r="Q212" s="84">
        <f t="shared" si="50"/>
        <v>0</v>
      </c>
      <c r="R212" s="84">
        <f t="shared" si="50"/>
        <v>0</v>
      </c>
      <c r="S212" s="84">
        <f t="shared" si="50"/>
        <v>0</v>
      </c>
      <c r="T212" s="84">
        <f t="shared" si="50"/>
        <v>0</v>
      </c>
      <c r="U212" s="84">
        <f t="shared" si="50"/>
        <v>0</v>
      </c>
      <c r="V212" s="84">
        <f t="shared" si="50"/>
        <v>0</v>
      </c>
      <c r="W212" s="84">
        <f t="shared" si="50"/>
        <v>0</v>
      </c>
      <c r="X212" s="84">
        <f t="shared" si="50"/>
        <v>0</v>
      </c>
      <c r="Y212" s="84">
        <f t="shared" si="50"/>
        <v>0</v>
      </c>
      <c r="Z212" s="84">
        <f t="shared" si="50"/>
        <v>0</v>
      </c>
      <c r="AA212" s="84">
        <f t="shared" si="50"/>
        <v>0</v>
      </c>
      <c r="AB212" s="84">
        <f t="shared" si="50"/>
        <v>0</v>
      </c>
      <c r="AC212" s="84">
        <f t="shared" si="50"/>
        <v>0</v>
      </c>
      <c r="AD212" s="84">
        <f t="shared" si="50"/>
        <v>0</v>
      </c>
      <c r="AE212" s="84">
        <f t="shared" si="50"/>
        <v>0</v>
      </c>
      <c r="AF212" s="84">
        <f t="shared" si="50"/>
        <v>0</v>
      </c>
      <c r="AG212" s="84">
        <f t="shared" si="50"/>
        <v>0</v>
      </c>
      <c r="AH212" s="84">
        <f t="shared" si="50"/>
        <v>0</v>
      </c>
      <c r="AI212" s="84">
        <f t="shared" si="50"/>
        <v>0</v>
      </c>
      <c r="AJ212" s="84">
        <f t="shared" si="50"/>
        <v>0</v>
      </c>
      <c r="AK212" s="84">
        <f t="shared" si="50"/>
        <v>0</v>
      </c>
      <c r="AL212" s="84">
        <f t="shared" si="50"/>
        <v>0</v>
      </c>
      <c r="AM212" s="84">
        <f t="shared" si="50"/>
        <v>0</v>
      </c>
      <c r="AN212" s="84">
        <f t="shared" si="50"/>
        <v>0</v>
      </c>
      <c r="AO212" s="84">
        <f t="shared" si="50"/>
        <v>0</v>
      </c>
      <c r="AP212" s="84">
        <f t="shared" si="50"/>
        <v>0</v>
      </c>
      <c r="AQ212" s="84">
        <f t="shared" si="50"/>
        <v>0</v>
      </c>
      <c r="AR212" s="84">
        <f t="shared" si="50"/>
        <v>0</v>
      </c>
      <c r="AS212" s="84">
        <f t="shared" si="50"/>
        <v>0</v>
      </c>
      <c r="AT212" s="84">
        <f t="shared" si="50"/>
        <v>0</v>
      </c>
      <c r="AU212" s="84">
        <f t="shared" si="50"/>
        <v>0</v>
      </c>
      <c r="AV212" s="84">
        <f t="shared" si="50"/>
        <v>146768.70000000001</v>
      </c>
      <c r="AW212" s="84">
        <f t="shared" si="50"/>
        <v>0</v>
      </c>
      <c r="AX212" s="84">
        <f t="shared" si="50"/>
        <v>0</v>
      </c>
      <c r="AY212" s="84">
        <f t="shared" si="50"/>
        <v>0</v>
      </c>
      <c r="AZ212" s="84">
        <f t="shared" si="50"/>
        <v>0</v>
      </c>
      <c r="BA212" s="84">
        <f t="shared" si="50"/>
        <v>0</v>
      </c>
      <c r="BB212" s="84">
        <f t="shared" si="50"/>
        <v>0</v>
      </c>
      <c r="BC212" s="84">
        <f t="shared" si="50"/>
        <v>0</v>
      </c>
      <c r="BD212" s="84">
        <f t="shared" si="50"/>
        <v>0</v>
      </c>
      <c r="BE212" s="84">
        <f t="shared" si="50"/>
        <v>0</v>
      </c>
      <c r="BF212" s="84">
        <f t="shared" si="50"/>
        <v>0</v>
      </c>
      <c r="BG212" s="84">
        <f t="shared" si="43"/>
        <v>146768.70000000001</v>
      </c>
      <c r="BH212" s="84">
        <f t="shared" si="44"/>
        <v>0</v>
      </c>
      <c r="BI212" s="84">
        <f t="shared" si="45"/>
        <v>0</v>
      </c>
      <c r="BJ212" s="84">
        <f t="shared" si="46"/>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3"/>
        <v>146768.70000000001</v>
      </c>
      <c r="BH213" s="80">
        <f t="shared" si="44"/>
        <v>0</v>
      </c>
      <c r="BI213" s="80">
        <f t="shared" si="45"/>
        <v>0</v>
      </c>
      <c r="BJ213" s="80">
        <f t="shared" si="46"/>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1">G216+G217</f>
        <v>127490.92</v>
      </c>
      <c r="H215" s="84">
        <f t="shared" si="51"/>
        <v>-139643.88</v>
      </c>
      <c r="I215" s="84">
        <f t="shared" si="51"/>
        <v>1172311.1200000001</v>
      </c>
      <c r="J215" s="84">
        <f t="shared" si="51"/>
        <v>4902188.76</v>
      </c>
      <c r="K215" s="84">
        <f t="shared" si="51"/>
        <v>2114950.44</v>
      </c>
      <c r="L215" s="84">
        <f t="shared" si="51"/>
        <v>2818225.13</v>
      </c>
      <c r="M215" s="84">
        <f t="shared" si="51"/>
        <v>3641571.9499999997</v>
      </c>
      <c r="N215" s="84">
        <f t="shared" si="51"/>
        <v>1078367.83</v>
      </c>
      <c r="O215" s="84">
        <f t="shared" si="51"/>
        <v>545419.93000000005</v>
      </c>
      <c r="P215" s="84">
        <f t="shared" si="51"/>
        <v>328580.06999999995</v>
      </c>
      <c r="Q215" s="84">
        <f t="shared" si="51"/>
        <v>870195.9</v>
      </c>
      <c r="R215" s="84">
        <f t="shared" si="51"/>
        <v>55492.119999999995</v>
      </c>
      <c r="S215" s="84">
        <f t="shared" si="51"/>
        <v>251856.94</v>
      </c>
      <c r="T215" s="200">
        <f t="shared" si="51"/>
        <v>-235158.55000000002</v>
      </c>
      <c r="U215" s="84">
        <f t="shared" si="51"/>
        <v>969710.25</v>
      </c>
      <c r="V215" s="84">
        <f t="shared" si="51"/>
        <v>369776.02999999997</v>
      </c>
      <c r="W215" s="84">
        <f t="shared" si="51"/>
        <v>230388.43</v>
      </c>
      <c r="X215" s="84">
        <f t="shared" si="51"/>
        <v>1701670.13</v>
      </c>
      <c r="Y215" s="84">
        <f t="shared" si="51"/>
        <v>2382632</v>
      </c>
      <c r="Z215" s="84">
        <f t="shared" si="51"/>
        <v>3013602.85</v>
      </c>
      <c r="AA215" s="84">
        <f t="shared" si="51"/>
        <v>11462204.379999999</v>
      </c>
      <c r="AB215" s="84">
        <f t="shared" si="51"/>
        <v>359527.63</v>
      </c>
      <c r="AC215" s="84">
        <f t="shared" si="51"/>
        <v>1093652.3800000001</v>
      </c>
      <c r="AD215" s="84">
        <f t="shared" si="51"/>
        <v>819609.84</v>
      </c>
      <c r="AE215" s="84">
        <f t="shared" si="51"/>
        <v>649434.99</v>
      </c>
      <c r="AF215" s="84">
        <f t="shared" si="51"/>
        <v>1176011.99</v>
      </c>
      <c r="AG215" s="84">
        <f t="shared" si="51"/>
        <v>4624157.3000000007</v>
      </c>
      <c r="AH215" s="84">
        <f t="shared" si="51"/>
        <v>3981805.7300000004</v>
      </c>
      <c r="AI215" s="84">
        <f t="shared" si="51"/>
        <v>1901857.74</v>
      </c>
      <c r="AJ215" s="84">
        <f t="shared" si="51"/>
        <v>1127988.1499999999</v>
      </c>
      <c r="AK215" s="84">
        <f t="shared" si="51"/>
        <v>1358453.23</v>
      </c>
      <c r="AL215" s="84">
        <f t="shared" si="51"/>
        <v>745205.46</v>
      </c>
      <c r="AM215" s="84">
        <f t="shared" si="51"/>
        <v>3388985.41</v>
      </c>
      <c r="AN215" s="84">
        <f t="shared" si="51"/>
        <v>2634789.11</v>
      </c>
      <c r="AO215" s="84">
        <f t="shared" si="51"/>
        <v>513721.08999999997</v>
      </c>
      <c r="AP215" s="84">
        <f t="shared" si="51"/>
        <v>6934776.3999999994</v>
      </c>
      <c r="AQ215" s="84">
        <f t="shared" si="51"/>
        <v>1859200.25</v>
      </c>
      <c r="AR215" s="84">
        <f t="shared" si="51"/>
        <v>1247135.8999999999</v>
      </c>
      <c r="AS215" s="84">
        <f t="shared" si="51"/>
        <v>7568228.8700000001</v>
      </c>
      <c r="AT215" s="84">
        <f t="shared" si="51"/>
        <v>361872.32</v>
      </c>
      <c r="AU215" s="84">
        <f t="shared" si="51"/>
        <v>537738.39</v>
      </c>
      <c r="AV215" s="84">
        <f t="shared" si="51"/>
        <v>2993715.14</v>
      </c>
      <c r="AW215" s="84">
        <f t="shared" si="51"/>
        <v>4999580.3899999997</v>
      </c>
      <c r="AX215" s="84">
        <f t="shared" si="51"/>
        <v>576147.78</v>
      </c>
      <c r="AY215" s="84">
        <f t="shared" si="51"/>
        <v>202358.39999999999</v>
      </c>
      <c r="AZ215" s="84">
        <f t="shared" si="51"/>
        <v>592723.38</v>
      </c>
      <c r="BA215" s="84">
        <f t="shared" si="51"/>
        <v>2121290.9</v>
      </c>
      <c r="BB215" s="84">
        <f t="shared" si="51"/>
        <v>1474378.8099999998</v>
      </c>
      <c r="BC215" s="84">
        <f t="shared" si="51"/>
        <v>2366643.2600000002</v>
      </c>
      <c r="BD215" s="84">
        <f t="shared" si="51"/>
        <v>772481.9</v>
      </c>
      <c r="BE215" s="84">
        <f t="shared" si="51"/>
        <v>1169070.55</v>
      </c>
      <c r="BF215" s="84">
        <f t="shared" si="51"/>
        <v>685302.43</v>
      </c>
      <c r="BG215" s="84">
        <f t="shared" si="43"/>
        <v>100568726.30000004</v>
      </c>
      <c r="BH215" s="84">
        <f t="shared" si="44"/>
        <v>22872441.949999996</v>
      </c>
      <c r="BI215" s="84">
        <f t="shared" si="45"/>
        <v>33950938.209999986</v>
      </c>
      <c r="BJ215" s="84">
        <f t="shared" si="46"/>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4"/>
        <v>-441421.63</v>
      </c>
      <c r="BI216" s="203">
        <f t="shared" si="45"/>
        <v>2852875.89</v>
      </c>
      <c r="BJ216" s="203">
        <f t="shared" si="46"/>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4"/>
        <v>23313863.580000002</v>
      </c>
      <c r="BI217" s="203">
        <f t="shared" si="45"/>
        <v>31098062.32</v>
      </c>
      <c r="BJ217" s="203">
        <f t="shared" si="46"/>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2">G216</f>
        <v>-70505.289999999994</v>
      </c>
      <c r="H221" s="4">
        <f t="shared" si="52"/>
        <v>-111577.93</v>
      </c>
      <c r="I221" s="4">
        <f t="shared" si="52"/>
        <v>54007.05</v>
      </c>
      <c r="J221" s="4">
        <f t="shared" si="52"/>
        <v>28923.83</v>
      </c>
      <c r="K221" s="4">
        <f t="shared" si="52"/>
        <v>101053.96</v>
      </c>
      <c r="L221" s="4">
        <f t="shared" si="52"/>
        <v>5411.09</v>
      </c>
      <c r="M221" s="4">
        <f t="shared" si="52"/>
        <v>-67.2</v>
      </c>
      <c r="N221" s="4">
        <f t="shared" si="52"/>
        <v>89897.07</v>
      </c>
      <c r="O221" s="4">
        <f t="shared" si="52"/>
        <v>-13123.38</v>
      </c>
      <c r="P221" s="4">
        <f t="shared" si="52"/>
        <v>-243211.13</v>
      </c>
      <c r="Q221" s="4">
        <f t="shared" si="52"/>
        <v>5670.3</v>
      </c>
      <c r="R221" s="4">
        <f t="shared" si="52"/>
        <v>-26078.06</v>
      </c>
      <c r="S221" s="4">
        <f t="shared" si="52"/>
        <v>33566.67</v>
      </c>
      <c r="T221" s="4">
        <f t="shared" si="52"/>
        <v>-135865.17000000001</v>
      </c>
      <c r="U221" s="4">
        <f t="shared" si="52"/>
        <v>310014.2</v>
      </c>
      <c r="V221" s="4">
        <f t="shared" si="52"/>
        <v>-34246.9</v>
      </c>
      <c r="W221" s="4">
        <f t="shared" si="52"/>
        <v>-349123.21</v>
      </c>
      <c r="X221" s="4">
        <f t="shared" si="52"/>
        <v>71457.649999999994</v>
      </c>
      <c r="Y221" s="4">
        <f t="shared" si="52"/>
        <v>124375.22</v>
      </c>
      <c r="Z221" s="4">
        <f t="shared" si="52"/>
        <v>1633805.81</v>
      </c>
      <c r="AA221" s="4">
        <f t="shared" si="52"/>
        <v>925288.21</v>
      </c>
      <c r="AB221" s="4">
        <f t="shared" si="52"/>
        <v>13373.11</v>
      </c>
      <c r="AC221" s="4">
        <f t="shared" si="52"/>
        <v>-34056.49</v>
      </c>
      <c r="AD221" s="4">
        <f t="shared" si="52"/>
        <v>-190765.53</v>
      </c>
      <c r="AE221" s="4">
        <f t="shared" si="52"/>
        <v>-65921.119999999995</v>
      </c>
      <c r="AF221" s="4">
        <f t="shared" si="52"/>
        <v>-148769.32</v>
      </c>
      <c r="AG221" s="4">
        <f t="shared" si="52"/>
        <v>-159274.14000000001</v>
      </c>
      <c r="AH221" s="4">
        <f t="shared" si="52"/>
        <v>764904.49</v>
      </c>
      <c r="AI221" s="4">
        <f t="shared" si="52"/>
        <v>28139.98</v>
      </c>
      <c r="AJ221" s="4">
        <f t="shared" si="52"/>
        <v>-31785.75</v>
      </c>
      <c r="AK221" s="4">
        <f t="shared" si="52"/>
        <v>-6438.58</v>
      </c>
      <c r="AL221" s="4">
        <f t="shared" si="52"/>
        <v>423500</v>
      </c>
      <c r="AM221" s="4">
        <f t="shared" si="52"/>
        <v>1986.72</v>
      </c>
      <c r="AN221" s="4">
        <f t="shared" si="52"/>
        <v>103605.34</v>
      </c>
      <c r="AO221" s="4">
        <f t="shared" si="52"/>
        <v>4158.18</v>
      </c>
      <c r="AP221" s="4">
        <f t="shared" si="52"/>
        <v>48266.43</v>
      </c>
      <c r="AQ221" s="4">
        <f t="shared" si="52"/>
        <v>135972.01999999999</v>
      </c>
      <c r="AR221" s="4">
        <f t="shared" si="52"/>
        <v>6474.16</v>
      </c>
      <c r="AS221" s="4">
        <f t="shared" si="52"/>
        <v>9638.94</v>
      </c>
      <c r="AT221" s="4">
        <f t="shared" si="52"/>
        <v>32568.26</v>
      </c>
      <c r="AU221" s="4">
        <f t="shared" si="52"/>
        <v>-48087.99</v>
      </c>
      <c r="AV221" s="4">
        <f t="shared" si="52"/>
        <v>18094.98</v>
      </c>
      <c r="AW221" s="4">
        <f t="shared" si="52"/>
        <v>115176.8</v>
      </c>
      <c r="AX221" s="4">
        <f t="shared" si="52"/>
        <v>58369.4</v>
      </c>
      <c r="AY221" s="4">
        <f t="shared" si="52"/>
        <v>-66725.97</v>
      </c>
      <c r="AZ221" s="4">
        <f t="shared" si="52"/>
        <v>-95514.240000000005</v>
      </c>
      <c r="BA221" s="4">
        <f t="shared" si="52"/>
        <v>42035.89</v>
      </c>
      <c r="BB221" s="4">
        <f t="shared" si="52"/>
        <v>-22521.59</v>
      </c>
      <c r="BC221" s="4">
        <f t="shared" si="52"/>
        <v>13297.33</v>
      </c>
      <c r="BD221" s="4">
        <f t="shared" si="52"/>
        <v>46556.28</v>
      </c>
      <c r="BE221" s="4">
        <f t="shared" si="52"/>
        <v>-340407.68</v>
      </c>
      <c r="BF221" s="4">
        <f t="shared" si="52"/>
        <v>66157.88</v>
      </c>
      <c r="BG221" s="4">
        <f t="shared" si="52"/>
        <v>2964055.3999999985</v>
      </c>
      <c r="BH221" s="4">
        <f t="shared" si="52"/>
        <v>-441421.63</v>
      </c>
      <c r="BI221" s="4">
        <f t="shared" si="52"/>
        <v>2852875.89</v>
      </c>
      <c r="BJ221" s="4">
        <f t="shared" si="52"/>
        <v>552601.14000000013</v>
      </c>
    </row>
    <row r="223" spans="3:63" x14ac:dyDescent="0.25">
      <c r="E223" s="7" t="s">
        <v>589</v>
      </c>
      <c r="F223" s="181">
        <f>F220+F221</f>
        <v>44928.100000000006</v>
      </c>
      <c r="G223" s="181">
        <f t="shared" ref="G223:BJ223" si="53">G220+G221</f>
        <v>-48557.319999999992</v>
      </c>
      <c r="H223" s="181">
        <f t="shared" si="53"/>
        <v>-94828.599999999991</v>
      </c>
      <c r="I223" s="181">
        <f t="shared" si="53"/>
        <v>174728.51</v>
      </c>
      <c r="J223" s="181">
        <f t="shared" si="53"/>
        <v>509529.57</v>
      </c>
      <c r="K223" s="181">
        <f t="shared" si="53"/>
        <v>355331.14</v>
      </c>
      <c r="L223" s="181">
        <f t="shared" si="53"/>
        <v>521660.97000000003</v>
      </c>
      <c r="M223" s="181">
        <f t="shared" si="53"/>
        <v>3551526.5</v>
      </c>
      <c r="N223" s="181">
        <f t="shared" si="53"/>
        <v>288258.07</v>
      </c>
      <c r="O223" s="181">
        <f t="shared" si="53"/>
        <v>-9232.119999999999</v>
      </c>
      <c r="P223" s="181">
        <f t="shared" si="53"/>
        <v>713421.97</v>
      </c>
      <c r="Q223" s="181">
        <f t="shared" si="53"/>
        <v>98362.19</v>
      </c>
      <c r="R223" s="181">
        <f t="shared" si="53"/>
        <v>-4705.8100000000013</v>
      </c>
      <c r="S223" s="181">
        <f t="shared" si="53"/>
        <v>43963.29</v>
      </c>
      <c r="T223" s="181">
        <f t="shared" si="53"/>
        <v>-48947.220000000016</v>
      </c>
      <c r="U223" s="181">
        <f t="shared" si="53"/>
        <v>544010.83000000007</v>
      </c>
      <c r="V223" s="181">
        <f t="shared" si="53"/>
        <v>-15080.91</v>
      </c>
      <c r="W223" s="181">
        <f t="shared" si="53"/>
        <v>-314421.67000000004</v>
      </c>
      <c r="X223" s="181">
        <f t="shared" si="53"/>
        <v>456199.36</v>
      </c>
      <c r="Y223" s="181">
        <f t="shared" si="53"/>
        <v>138689.76999999999</v>
      </c>
      <c r="Z223" s="181">
        <f t="shared" si="53"/>
        <v>1766349.46</v>
      </c>
      <c r="AA223" s="181">
        <f t="shared" si="53"/>
        <v>1120099.08</v>
      </c>
      <c r="AB223" s="181">
        <f t="shared" si="53"/>
        <v>10126.51</v>
      </c>
      <c r="AC223" s="181">
        <f t="shared" si="53"/>
        <v>1129.2400000000052</v>
      </c>
      <c r="AD223" s="181">
        <f t="shared" si="53"/>
        <v>-297058.18</v>
      </c>
      <c r="AE223" s="181">
        <f t="shared" si="53"/>
        <v>4584.9600000000064</v>
      </c>
      <c r="AF223" s="181">
        <f t="shared" si="53"/>
        <v>-249384.18</v>
      </c>
      <c r="AG223" s="181">
        <f t="shared" si="53"/>
        <v>76405.579999999987</v>
      </c>
      <c r="AH223" s="181">
        <f t="shared" si="53"/>
        <v>904527.7</v>
      </c>
      <c r="AI223" s="181">
        <f t="shared" si="53"/>
        <v>869734.76</v>
      </c>
      <c r="AJ223" s="181">
        <f t="shared" si="53"/>
        <v>-35701.35</v>
      </c>
      <c r="AK223" s="181">
        <f t="shared" si="53"/>
        <v>45606.67</v>
      </c>
      <c r="AL223" s="181">
        <f t="shared" si="53"/>
        <v>571824.05000000005</v>
      </c>
      <c r="AM223" s="181">
        <f t="shared" si="53"/>
        <v>45087.840000000004</v>
      </c>
      <c r="AN223" s="181">
        <f t="shared" si="53"/>
        <v>123768.67</v>
      </c>
      <c r="AO223" s="181">
        <f t="shared" si="53"/>
        <v>6229.74</v>
      </c>
      <c r="AP223" s="181">
        <f t="shared" si="53"/>
        <v>209567.68</v>
      </c>
      <c r="AQ223" s="181">
        <f t="shared" si="53"/>
        <v>200305.65999999997</v>
      </c>
      <c r="AR223" s="181">
        <f t="shared" si="53"/>
        <v>32981.15</v>
      </c>
      <c r="AS223" s="181">
        <f t="shared" si="53"/>
        <v>76558.69</v>
      </c>
      <c r="AT223" s="181">
        <f t="shared" si="53"/>
        <v>1288.75</v>
      </c>
      <c r="AU223" s="181">
        <f t="shared" si="53"/>
        <v>-3462.9399999999951</v>
      </c>
      <c r="AV223" s="181">
        <f t="shared" si="53"/>
        <v>47834.869999999995</v>
      </c>
      <c r="AW223" s="181">
        <f t="shared" si="53"/>
        <v>258416.72000000003</v>
      </c>
      <c r="AX223" s="181">
        <f t="shared" si="53"/>
        <v>82660.81</v>
      </c>
      <c r="AY223" s="181">
        <f t="shared" si="53"/>
        <v>-50574.92</v>
      </c>
      <c r="AZ223" s="181">
        <f t="shared" si="53"/>
        <v>-46434.000000000007</v>
      </c>
      <c r="BA223" s="181">
        <f t="shared" si="53"/>
        <v>59877.34</v>
      </c>
      <c r="BB223" s="181">
        <f t="shared" si="53"/>
        <v>122026.26000000001</v>
      </c>
      <c r="BC223" s="181">
        <f t="shared" si="53"/>
        <v>134564.66</v>
      </c>
      <c r="BD223" s="181">
        <f t="shared" si="53"/>
        <v>59759.93</v>
      </c>
      <c r="BE223" s="181">
        <f t="shared" si="53"/>
        <v>651336.63000000012</v>
      </c>
      <c r="BF223" s="181">
        <f t="shared" si="53"/>
        <v>116013.61000000002</v>
      </c>
      <c r="BG223" s="181">
        <f t="shared" si="53"/>
        <v>13820888.070000002</v>
      </c>
      <c r="BH223" s="181">
        <f t="shared" si="53"/>
        <v>6766146.8499999996</v>
      </c>
      <c r="BI223" s="181">
        <f t="shared" si="53"/>
        <v>4355110.0199999996</v>
      </c>
      <c r="BJ223" s="181">
        <f t="shared" si="53"/>
        <v>2699631.2</v>
      </c>
    </row>
    <row r="224" spans="3:63" x14ac:dyDescent="0.25">
      <c r="N224" s="4"/>
      <c r="BG224" s="4"/>
      <c r="BH224" s="4"/>
      <c r="BI224" s="4"/>
      <c r="BJ224" s="4"/>
    </row>
    <row r="225" spans="5:62" x14ac:dyDescent="0.25">
      <c r="E225" s="60" t="s">
        <v>588</v>
      </c>
      <c r="F225" s="153">
        <f>F4-F120</f>
        <v>0</v>
      </c>
      <c r="G225" s="153">
        <f t="shared" ref="G225:BJ225" si="54">G4-G120</f>
        <v>0</v>
      </c>
      <c r="H225" s="153">
        <f t="shared" si="54"/>
        <v>0</v>
      </c>
      <c r="I225" s="153">
        <f t="shared" si="54"/>
        <v>0</v>
      </c>
      <c r="J225" s="153">
        <f t="shared" si="54"/>
        <v>0</v>
      </c>
      <c r="K225" s="153">
        <f t="shared" si="54"/>
        <v>0</v>
      </c>
      <c r="L225" s="153">
        <f t="shared" si="54"/>
        <v>0</v>
      </c>
      <c r="M225" s="153">
        <f t="shared" si="54"/>
        <v>0</v>
      </c>
      <c r="N225" s="153">
        <f t="shared" si="54"/>
        <v>0</v>
      </c>
      <c r="O225" s="153">
        <f t="shared" si="54"/>
        <v>0</v>
      </c>
      <c r="P225" s="153">
        <f t="shared" si="54"/>
        <v>0</v>
      </c>
      <c r="Q225" s="153">
        <f t="shared" si="54"/>
        <v>0</v>
      </c>
      <c r="R225" s="153">
        <f t="shared" si="54"/>
        <v>0</v>
      </c>
      <c r="S225" s="153">
        <f t="shared" si="54"/>
        <v>0</v>
      </c>
      <c r="T225" s="153">
        <f t="shared" si="54"/>
        <v>271730.33999999892</v>
      </c>
      <c r="U225" s="153">
        <f t="shared" si="54"/>
        <v>0</v>
      </c>
      <c r="V225" s="153">
        <f t="shared" si="54"/>
        <v>0</v>
      </c>
      <c r="W225" s="153">
        <f t="shared" si="54"/>
        <v>0</v>
      </c>
      <c r="X225" s="153">
        <f t="shared" si="54"/>
        <v>0</v>
      </c>
      <c r="Y225" s="153">
        <f t="shared" si="54"/>
        <v>0</v>
      </c>
      <c r="Z225" s="153">
        <f t="shared" si="54"/>
        <v>0</v>
      </c>
      <c r="AA225" s="153">
        <f t="shared" si="54"/>
        <v>0</v>
      </c>
      <c r="AB225" s="153">
        <f t="shared" si="54"/>
        <v>3215.7000000001863</v>
      </c>
      <c r="AC225" s="153">
        <f t="shared" si="54"/>
        <v>0</v>
      </c>
      <c r="AD225" s="153">
        <f t="shared" si="54"/>
        <v>0</v>
      </c>
      <c r="AE225" s="153">
        <f t="shared" si="54"/>
        <v>0</v>
      </c>
      <c r="AF225" s="153">
        <f t="shared" si="54"/>
        <v>0</v>
      </c>
      <c r="AG225" s="153">
        <f t="shared" si="54"/>
        <v>0</v>
      </c>
      <c r="AH225" s="153">
        <f t="shared" si="54"/>
        <v>0</v>
      </c>
      <c r="AI225" s="153">
        <f t="shared" si="54"/>
        <v>0</v>
      </c>
      <c r="AJ225" s="153">
        <f t="shared" si="54"/>
        <v>0</v>
      </c>
      <c r="AK225" s="153">
        <f t="shared" si="54"/>
        <v>0</v>
      </c>
      <c r="AL225" s="153">
        <f t="shared" si="54"/>
        <v>0</v>
      </c>
      <c r="AM225" s="153">
        <f t="shared" si="54"/>
        <v>0</v>
      </c>
      <c r="AN225" s="153">
        <f t="shared" si="54"/>
        <v>0</v>
      </c>
      <c r="AO225" s="153">
        <f t="shared" si="54"/>
        <v>0</v>
      </c>
      <c r="AP225" s="153">
        <f t="shared" si="54"/>
        <v>0</v>
      </c>
      <c r="AQ225" s="153">
        <f t="shared" si="54"/>
        <v>0</v>
      </c>
      <c r="AR225" s="153">
        <f t="shared" si="54"/>
        <v>0</v>
      </c>
      <c r="AS225" s="153">
        <f t="shared" si="54"/>
        <v>0</v>
      </c>
      <c r="AT225" s="153">
        <f t="shared" si="54"/>
        <v>0</v>
      </c>
      <c r="AU225" s="153">
        <f t="shared" si="54"/>
        <v>0</v>
      </c>
      <c r="AV225" s="153">
        <f t="shared" si="54"/>
        <v>0</v>
      </c>
      <c r="AW225" s="153">
        <f t="shared" si="54"/>
        <v>0</v>
      </c>
      <c r="AX225" s="153">
        <f t="shared" si="54"/>
        <v>0</v>
      </c>
      <c r="AY225" s="153">
        <f t="shared" si="54"/>
        <v>0</v>
      </c>
      <c r="AZ225" s="153">
        <f t="shared" si="54"/>
        <v>0</v>
      </c>
      <c r="BA225" s="153">
        <f t="shared" si="54"/>
        <v>0</v>
      </c>
      <c r="BB225" s="153">
        <f t="shared" si="54"/>
        <v>0</v>
      </c>
      <c r="BC225" s="153">
        <f t="shared" si="54"/>
        <v>0</v>
      </c>
      <c r="BD225" s="153">
        <f t="shared" si="54"/>
        <v>0</v>
      </c>
      <c r="BE225" s="153">
        <f t="shared" si="54"/>
        <v>0</v>
      </c>
      <c r="BF225" s="153">
        <f t="shared" si="54"/>
        <v>0</v>
      </c>
      <c r="BG225" s="153">
        <f t="shared" si="54"/>
        <v>274946.04000008106</v>
      </c>
      <c r="BH225" s="153">
        <f t="shared" si="54"/>
        <v>271730.33999997377</v>
      </c>
      <c r="BI225" s="153">
        <f t="shared" si="54"/>
        <v>3215.7000000476837</v>
      </c>
      <c r="BJ225" s="153">
        <f t="shared" si="54"/>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228"/>
  <sheetViews>
    <sheetView workbookViewId="0">
      <selection activeCell="I7" sqref="I7"/>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7" ht="26.25" x14ac:dyDescent="0.4">
      <c r="A1" s="42" t="s">
        <v>849</v>
      </c>
      <c r="B1" s="7"/>
      <c r="C1" s="7"/>
      <c r="D1" s="7"/>
      <c r="E1" s="78"/>
    </row>
    <row r="3" spans="1:7" ht="15.75" thickBot="1" x14ac:dyDescent="0.3">
      <c r="E3" s="213" t="s">
        <v>594</v>
      </c>
      <c r="F3" s="214"/>
      <c r="G3" s="214"/>
    </row>
    <row r="4" spans="1:7" ht="15.75" thickBot="1" x14ac:dyDescent="0.3">
      <c r="A4" t="s">
        <v>635</v>
      </c>
      <c r="E4" s="174" t="s">
        <v>56</v>
      </c>
    </row>
    <row r="7" spans="1:7" ht="21" x14ac:dyDescent="0.35">
      <c r="A7" s="73">
        <v>1</v>
      </c>
      <c r="B7" s="73"/>
      <c r="C7" s="73"/>
      <c r="D7" s="73"/>
      <c r="E7" s="73" t="s">
        <v>239</v>
      </c>
      <c r="F7" s="175">
        <f>HLOOKUP($E$4,'5. Bilan'!$F$3:$BF$226,2,0)</f>
        <v>15188762.25</v>
      </c>
    </row>
    <row r="8" spans="1:7" x14ac:dyDescent="0.25">
      <c r="A8" s="78"/>
      <c r="B8" s="74">
        <v>10</v>
      </c>
      <c r="C8" s="74"/>
      <c r="D8" s="74"/>
      <c r="E8" s="74" t="s">
        <v>240</v>
      </c>
      <c r="F8" s="75">
        <f>HLOOKUP($E$4,'5. Bilan'!$F$3:$BF$226,3,0)</f>
        <v>6215834.7400000002</v>
      </c>
    </row>
    <row r="9" spans="1:7" x14ac:dyDescent="0.25">
      <c r="A9" s="79"/>
      <c r="B9" s="79"/>
      <c r="C9" s="69">
        <v>100</v>
      </c>
      <c r="D9" s="69"/>
      <c r="E9" s="69" t="s">
        <v>241</v>
      </c>
      <c r="F9" s="176">
        <f>SUM(F10:F15)</f>
        <v>4761773.55</v>
      </c>
    </row>
    <row r="10" spans="1:7" x14ac:dyDescent="0.25">
      <c r="D10">
        <v>1000</v>
      </c>
      <c r="E10" t="s">
        <v>313</v>
      </c>
      <c r="F10" s="4">
        <f>HLOOKUP($E$4,'5. Bilan'!$F$3:$BF$226,5,0)</f>
        <v>267.60000000000002</v>
      </c>
    </row>
    <row r="11" spans="1:7" x14ac:dyDescent="0.25">
      <c r="D11">
        <v>1001</v>
      </c>
      <c r="E11" t="s">
        <v>314</v>
      </c>
      <c r="F11" s="4">
        <f>HLOOKUP($E$4,'5. Bilan'!$F$3:$BF$226,6,0)</f>
        <v>741863.52</v>
      </c>
    </row>
    <row r="12" spans="1:7" x14ac:dyDescent="0.25">
      <c r="D12">
        <v>1002</v>
      </c>
      <c r="E12" t="s">
        <v>322</v>
      </c>
      <c r="F12" s="4">
        <f>HLOOKUP($E$4,'5. Bilan'!$F$3:$BF$226,7,0)</f>
        <v>4019642.43</v>
      </c>
    </row>
    <row r="13" spans="1:7" x14ac:dyDescent="0.25">
      <c r="D13">
        <v>1003</v>
      </c>
      <c r="E13" t="s">
        <v>315</v>
      </c>
      <c r="F13" s="4">
        <f>HLOOKUP($E$4,'5. Bilan'!$F$3:$BF$226,8,0)</f>
        <v>0</v>
      </c>
    </row>
    <row r="14" spans="1:7" x14ac:dyDescent="0.25">
      <c r="D14">
        <v>1004</v>
      </c>
      <c r="E14" t="s">
        <v>316</v>
      </c>
      <c r="F14" s="4">
        <f>HLOOKUP($E$4,'5. Bilan'!$F$3:$BF$226,9,0)</f>
        <v>0</v>
      </c>
    </row>
    <row r="15" spans="1:7" x14ac:dyDescent="0.25">
      <c r="D15">
        <v>1009</v>
      </c>
      <c r="E15" t="s">
        <v>317</v>
      </c>
      <c r="F15" s="4">
        <f>HLOOKUP($E$4,'5. Bilan'!$F$3:$BF$226,10,0)</f>
        <v>0</v>
      </c>
    </row>
    <row r="16" spans="1:7" x14ac:dyDescent="0.25">
      <c r="F16" s="4"/>
    </row>
    <row r="17" spans="1:6" x14ac:dyDescent="0.25">
      <c r="A17" s="79"/>
      <c r="B17" s="79"/>
      <c r="C17" s="69">
        <v>101</v>
      </c>
      <c r="D17" s="69"/>
      <c r="E17" s="69" t="s">
        <v>242</v>
      </c>
      <c r="F17" s="70">
        <f>SUM(F18:F25)</f>
        <v>988069.3</v>
      </c>
    </row>
    <row r="18" spans="1:6" x14ac:dyDescent="0.25">
      <c r="D18">
        <v>1010</v>
      </c>
      <c r="E18" t="s">
        <v>318</v>
      </c>
      <c r="F18" s="4">
        <f>HLOOKUP($E$4,'5. Bilan'!$F$3:$BF$226,13,0)</f>
        <v>166340</v>
      </c>
    </row>
    <row r="19" spans="1:6" x14ac:dyDescent="0.25">
      <c r="D19">
        <v>1011</v>
      </c>
      <c r="E19" t="s">
        <v>399</v>
      </c>
      <c r="F19" s="4">
        <f>HLOOKUP($E$4,'5. Bilan'!$F$3:$BF$226,14,0)</f>
        <v>0</v>
      </c>
    </row>
    <row r="20" spans="1:6" x14ac:dyDescent="0.25">
      <c r="D20">
        <v>1012</v>
      </c>
      <c r="E20" t="s">
        <v>319</v>
      </c>
      <c r="F20" s="4">
        <f>HLOOKUP($E$4,'5. Bilan'!$F$3:$BF$226,15,0)</f>
        <v>697600.16</v>
      </c>
    </row>
    <row r="21" spans="1:6" x14ac:dyDescent="0.25">
      <c r="D21">
        <v>1013</v>
      </c>
      <c r="E21" t="s">
        <v>320</v>
      </c>
      <c r="F21" s="4">
        <f>HLOOKUP($E$4,'5. Bilan'!$F$3:$BF$226,16,0)</f>
        <v>0</v>
      </c>
    </row>
    <row r="22" spans="1:6" x14ac:dyDescent="0.25">
      <c r="D22">
        <v>1014</v>
      </c>
      <c r="E22" t="s">
        <v>321</v>
      </c>
      <c r="F22" s="4">
        <f>HLOOKUP($E$4,'5. Bilan'!$F$3:$BF$226,17,0)</f>
        <v>0</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124129.14</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201236.19000000003</v>
      </c>
    </row>
    <row r="34" spans="3:6" x14ac:dyDescent="0.25">
      <c r="D34">
        <v>1040</v>
      </c>
      <c r="E34" t="s">
        <v>61</v>
      </c>
      <c r="F34" s="4">
        <f>HLOOKUP($E$4,'5. Bilan'!$F$3:$BF$226,29,0)</f>
        <v>0</v>
      </c>
    </row>
    <row r="35" spans="3:6" x14ac:dyDescent="0.25">
      <c r="D35">
        <v>1041</v>
      </c>
      <c r="E35" t="s">
        <v>330</v>
      </c>
      <c r="F35" s="4">
        <f>HLOOKUP($E$4,'5. Bilan'!$F$3:$BF$226,30,0)</f>
        <v>178325.95</v>
      </c>
    </row>
    <row r="36" spans="3:6" x14ac:dyDescent="0.25">
      <c r="D36">
        <v>1042</v>
      </c>
      <c r="E36" t="s">
        <v>331</v>
      </c>
      <c r="F36" s="4">
        <f>HLOOKUP($E$4,'5. Bilan'!$F$3:$BF$226,31,0)</f>
        <v>22910.2</v>
      </c>
    </row>
    <row r="37" spans="3:6" x14ac:dyDescent="0.25">
      <c r="D37">
        <v>1043</v>
      </c>
      <c r="E37" t="s">
        <v>332</v>
      </c>
      <c r="F37" s="4">
        <f>HLOOKUP($E$4,'5. Bilan'!$F$3:$BF$226,32,0)</f>
        <v>0.04</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2601</v>
      </c>
    </row>
    <row r="51" spans="3:6" x14ac:dyDescent="0.25">
      <c r="D51">
        <v>1070</v>
      </c>
      <c r="E51" t="s">
        <v>342</v>
      </c>
      <c r="F51" s="4">
        <f>HLOOKUP($E$4,'5. Bilan'!$F$3:$BF$226,46,0)</f>
        <v>2601</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262154.7</v>
      </c>
    </row>
    <row r="57" spans="3:6" x14ac:dyDescent="0.25">
      <c r="D57">
        <v>1080</v>
      </c>
      <c r="E57" t="s">
        <v>347</v>
      </c>
      <c r="F57" s="4">
        <f>HLOOKUP($E$4,'5. Bilan'!$F$3:$BF$226,52,0)</f>
        <v>0</v>
      </c>
    </row>
    <row r="58" spans="3:6" x14ac:dyDescent="0.25">
      <c r="D58">
        <v>1084</v>
      </c>
      <c r="E58" t="s">
        <v>348</v>
      </c>
      <c r="F58" s="4">
        <f>HLOOKUP($E$4,'5. Bilan'!$F$3:$BF$226,53,0)</f>
        <v>262154.7</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8972927.5099999998</v>
      </c>
    </row>
    <row r="71" spans="2:6" x14ac:dyDescent="0.25">
      <c r="C71" s="69">
        <v>140</v>
      </c>
      <c r="D71" s="69"/>
      <c r="E71" s="69" t="s">
        <v>249</v>
      </c>
      <c r="F71" s="70">
        <f>SUM(F72:F80)</f>
        <v>8956624.5600000005</v>
      </c>
    </row>
    <row r="72" spans="2:6" x14ac:dyDescent="0.25">
      <c r="D72">
        <v>1400</v>
      </c>
      <c r="E72" t="s">
        <v>357</v>
      </c>
      <c r="F72" s="4">
        <f>HLOOKUP($E$4,'5. Bilan'!$F$3:$BF$226,67,0)</f>
        <v>141467</v>
      </c>
    </row>
    <row r="73" spans="2:6" x14ac:dyDescent="0.25">
      <c r="D73">
        <v>1401</v>
      </c>
      <c r="E73" t="s">
        <v>358</v>
      </c>
      <c r="F73" s="4">
        <f>HLOOKUP($E$4,'5. Bilan'!$F$3:$BF$226,68,0)</f>
        <v>2791732.15</v>
      </c>
    </row>
    <row r="74" spans="2:6" x14ac:dyDescent="0.25">
      <c r="D74">
        <v>1402</v>
      </c>
      <c r="E74" t="s">
        <v>359</v>
      </c>
      <c r="F74" s="4">
        <f>HLOOKUP($E$4,'5. Bilan'!$F$3:$BF$226,69,0)</f>
        <v>0</v>
      </c>
    </row>
    <row r="75" spans="2:6" x14ac:dyDescent="0.25">
      <c r="D75">
        <v>1403</v>
      </c>
      <c r="E75" t="s">
        <v>360</v>
      </c>
      <c r="F75" s="4">
        <f>HLOOKUP($E$4,'5. Bilan'!$F$3:$BF$226,70,0)</f>
        <v>5449351.1100000003</v>
      </c>
    </row>
    <row r="76" spans="2:6" x14ac:dyDescent="0.25">
      <c r="D76">
        <v>1404</v>
      </c>
      <c r="E76" t="s">
        <v>361</v>
      </c>
      <c r="F76" s="4">
        <f>HLOOKUP($E$4,'5. Bilan'!$F$3:$BF$226,71,0)</f>
        <v>574074.30000000005</v>
      </c>
    </row>
    <row r="77" spans="2:6" x14ac:dyDescent="0.25">
      <c r="D77">
        <v>1405</v>
      </c>
      <c r="E77" t="s">
        <v>362</v>
      </c>
      <c r="F77" s="4">
        <f>HLOOKUP($E$4,'5. Bilan'!$F$3:$BF$226,72,0)</f>
        <v>0</v>
      </c>
    </row>
    <row r="78" spans="2:6" x14ac:dyDescent="0.25">
      <c r="D78">
        <v>1406</v>
      </c>
      <c r="E78" t="s">
        <v>363</v>
      </c>
      <c r="F78" s="4">
        <f>HLOOKUP($E$4,'5. Bilan'!$F$3:$BF$226,73,0)</f>
        <v>0</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0</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0</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16302.95</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16302.95</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15188762.25</v>
      </c>
    </row>
    <row r="124" spans="1:6" x14ac:dyDescent="0.25">
      <c r="A124" s="7"/>
      <c r="B124" s="85">
        <v>20</v>
      </c>
      <c r="C124" s="85"/>
      <c r="D124" s="85"/>
      <c r="E124" s="85" t="s">
        <v>252</v>
      </c>
      <c r="F124" s="86">
        <f>HLOOKUP($E$4,'5. Bilan'!$F$3:$BF$226,119,0)</f>
        <v>10597593.460000001</v>
      </c>
    </row>
    <row r="125" spans="1:6" x14ac:dyDescent="0.25">
      <c r="C125" s="83">
        <v>200</v>
      </c>
      <c r="D125" s="83"/>
      <c r="E125" s="83" t="s">
        <v>253</v>
      </c>
      <c r="F125" s="84">
        <f>SUM(F126:F133)</f>
        <v>0</v>
      </c>
    </row>
    <row r="126" spans="1:6" x14ac:dyDescent="0.25">
      <c r="D126">
        <v>2000</v>
      </c>
      <c r="E126" t="s">
        <v>398</v>
      </c>
      <c r="F126" s="4">
        <f>HLOOKUP($E$4,'5. Bilan'!$F$3:$BF$226,121,0)</f>
        <v>0</v>
      </c>
    </row>
    <row r="127" spans="1:6" x14ac:dyDescent="0.25">
      <c r="D127">
        <v>2001</v>
      </c>
      <c r="E127" t="s">
        <v>399</v>
      </c>
      <c r="F127" s="4">
        <f>HLOOKUP($E$4,'5. Bilan'!$F$3:$BF$226,122,0)</f>
        <v>0</v>
      </c>
    </row>
    <row r="128" spans="1:6" x14ac:dyDescent="0.25">
      <c r="D128">
        <v>2002</v>
      </c>
      <c r="E128" t="s">
        <v>400</v>
      </c>
      <c r="F128" s="4">
        <f>HLOOKUP($E$4,'5. Bilan'!$F$3:$BF$226,123,0)</f>
        <v>0</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0</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5748056.3600000003</v>
      </c>
    </row>
    <row r="136" spans="3:6" x14ac:dyDescent="0.25">
      <c r="D136">
        <v>2010</v>
      </c>
      <c r="E136" t="s">
        <v>405</v>
      </c>
      <c r="F136" s="4">
        <f>HLOOKUP($E$4,'5. Bilan'!$F$3:$BF$226,131,0)</f>
        <v>5619656.3600000003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128400</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166973.4</v>
      </c>
    </row>
    <row r="146" spans="3:6" x14ac:dyDescent="0.25">
      <c r="D146">
        <v>2040</v>
      </c>
      <c r="E146" t="s">
        <v>61</v>
      </c>
      <c r="F146" s="4">
        <f>HLOOKUP($E$4,'5. Bilan'!$F$3:$BF$226,141,0)</f>
        <v>0</v>
      </c>
    </row>
    <row r="147" spans="3:6" x14ac:dyDescent="0.25">
      <c r="D147">
        <v>2041</v>
      </c>
      <c r="E147" t="s">
        <v>277</v>
      </c>
      <c r="F147" s="4">
        <f>HLOOKUP($E$4,'5. Bilan'!$F$3:$BF$226,142,0)</f>
        <v>154885.6</v>
      </c>
    </row>
    <row r="148" spans="3:6" x14ac:dyDescent="0.25">
      <c r="D148">
        <v>2042</v>
      </c>
      <c r="E148" t="s">
        <v>331</v>
      </c>
      <c r="F148" s="4">
        <f>HLOOKUP($E$4,'5. Bilan'!$F$3:$BF$226,143,0)</f>
        <v>12087.8</v>
      </c>
    </row>
    <row r="149" spans="3:6" x14ac:dyDescent="0.25">
      <c r="D149">
        <v>2043</v>
      </c>
      <c r="E149" t="s">
        <v>332</v>
      </c>
      <c r="F149" s="4">
        <f>HLOOKUP($E$4,'5. Bilan'!$F$3:$BF$226,144,0)</f>
        <v>0</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4604400</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0</v>
      </c>
    </row>
    <row r="171" spans="3:6" x14ac:dyDescent="0.25">
      <c r="D171">
        <v>2064</v>
      </c>
      <c r="E171" t="s">
        <v>448</v>
      </c>
      <c r="F171" s="4">
        <f>HLOOKUP($E$4,'5. Bilan'!$F$3:$BF$226,166,0)</f>
        <v>4604400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78163.7</v>
      </c>
    </row>
    <row r="187" spans="2:6" x14ac:dyDescent="0.25">
      <c r="D187">
        <v>2090</v>
      </c>
      <c r="E187" t="s">
        <v>259</v>
      </c>
      <c r="F187" s="4">
        <f>HLOOKUP($E$4,'5. Bilan'!$F$3:$BF$226,182,0)</f>
        <v>0</v>
      </c>
    </row>
    <row r="188" spans="2:6" x14ac:dyDescent="0.25">
      <c r="D188">
        <v>2091</v>
      </c>
      <c r="E188" t="s">
        <v>440</v>
      </c>
      <c r="F188" s="4">
        <f>HLOOKUP($E$4,'5. Bilan'!$F$3:$BF$226,183,0)</f>
        <v>78163.7</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4591168.79</v>
      </c>
    </row>
    <row r="193" spans="3:6" x14ac:dyDescent="0.25">
      <c r="C193" s="83">
        <v>290</v>
      </c>
      <c r="D193" s="83"/>
      <c r="E193" s="83" t="s">
        <v>261</v>
      </c>
      <c r="F193" s="84">
        <f>SUM(F194)</f>
        <v>2151199.2599999998</v>
      </c>
    </row>
    <row r="194" spans="3:6" x14ac:dyDescent="0.25">
      <c r="D194">
        <v>2900</v>
      </c>
      <c r="E194" t="s">
        <v>261</v>
      </c>
      <c r="F194" s="4">
        <f>HLOOKUP($E$4,'5. Bilan'!$F$3:$BF$226,189,0)</f>
        <v>2151199.2599999998</v>
      </c>
    </row>
    <row r="195" spans="3:6" x14ac:dyDescent="0.25">
      <c r="F195" s="4"/>
    </row>
    <row r="196" spans="3:6" x14ac:dyDescent="0.25">
      <c r="C196" s="83">
        <v>291</v>
      </c>
      <c r="D196" s="83"/>
      <c r="E196" s="83" t="s">
        <v>262</v>
      </c>
      <c r="F196" s="84">
        <f>SUM(F197:F198)</f>
        <v>50921.1</v>
      </c>
    </row>
    <row r="197" spans="3:6" x14ac:dyDescent="0.25">
      <c r="D197">
        <v>2910</v>
      </c>
      <c r="E197" t="s">
        <v>262</v>
      </c>
      <c r="F197" s="4">
        <f>HLOOKUP($E$4,'5. Bilan'!$F$3:$BF$226,192,0)</f>
        <v>50921.1</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320000</v>
      </c>
    </row>
    <row r="207" spans="3:6" x14ac:dyDescent="0.25">
      <c r="D207">
        <v>2940</v>
      </c>
      <c r="E207" t="s">
        <v>265</v>
      </c>
      <c r="F207" s="4">
        <f>HLOOKUP($E$4,'5. Bilan'!$F$3:$BF$226,202,0)</f>
        <v>320000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2069048.43</v>
      </c>
    </row>
    <row r="219" spans="3:6" x14ac:dyDescent="0.25">
      <c r="D219">
        <v>2990</v>
      </c>
      <c r="E219" t="s">
        <v>444</v>
      </c>
      <c r="F219" s="4">
        <f>HLOOKUP($E$4,'5. Bilan'!$F$3:$BF$226,214,0)</f>
        <v>-157625.18</v>
      </c>
    </row>
    <row r="220" spans="3:6" x14ac:dyDescent="0.25">
      <c r="D220">
        <v>2999</v>
      </c>
      <c r="E220" t="s">
        <v>582</v>
      </c>
      <c r="F220" s="4">
        <f>HLOOKUP($E$4,'5. Bilan'!$F$3:$BF$226,215,0)</f>
        <v>2226673.61</v>
      </c>
    </row>
    <row r="221" spans="3:6" x14ac:dyDescent="0.25">
      <c r="F221" s="4"/>
    </row>
    <row r="222" spans="3:6" x14ac:dyDescent="0.25">
      <c r="C222" s="160"/>
      <c r="D222" s="160"/>
      <c r="E222" s="160" t="s">
        <v>587</v>
      </c>
      <c r="F222" s="178"/>
    </row>
    <row r="223" spans="3:6" x14ac:dyDescent="0.25">
      <c r="D223">
        <v>290</v>
      </c>
      <c r="E223" t="s">
        <v>586</v>
      </c>
      <c r="F223" s="4">
        <f>HLOOKUP($E$4,'5. Bilan'!$F$3:$BF$226,218,0)</f>
        <v>202553.28</v>
      </c>
    </row>
    <row r="224" spans="3:6" x14ac:dyDescent="0.25">
      <c r="D224">
        <v>2990</v>
      </c>
      <c r="E224" t="s">
        <v>590</v>
      </c>
      <c r="F224" s="4">
        <f>HLOOKUP($E$4,'5. Bilan'!$F$3:$BF$226,219,0)</f>
        <v>-157625.18</v>
      </c>
    </row>
    <row r="225" spans="5:6" x14ac:dyDescent="0.25">
      <c r="F225" s="4"/>
    </row>
    <row r="226" spans="5:6" x14ac:dyDescent="0.25">
      <c r="E226" s="7" t="s">
        <v>589</v>
      </c>
      <c r="F226" s="4">
        <f>HLOOKUP($E$4,'5. Bilan'!$F$3:$BF$226,221,0)</f>
        <v>44928.100000000006</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G61"/>
  <sheetViews>
    <sheetView workbookViewId="0">
      <pane xSplit="2" ySplit="6" topLeftCell="BC7" activePane="bottomRight" state="frozen"/>
      <selection pane="topRight" activeCell="C1" sqref="C1"/>
      <selection pane="bottomLeft" activeCell="A7" sqref="A7"/>
      <selection pane="bottomRight" activeCell="BD20" sqref="BD20"/>
    </sheetView>
  </sheetViews>
  <sheetFormatPr baseColWidth="10" defaultRowHeight="15" x14ac:dyDescent="0.25"/>
  <cols>
    <col min="1" max="1" width="5.7109375" customWidth="1"/>
    <col min="2" max="2" width="50.28515625" customWidth="1"/>
    <col min="3" max="56" width="16.28515625" customWidth="1"/>
    <col min="57" max="59" width="17.85546875"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59"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59"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59"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59"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row>
    <row r="21" spans="1:59"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59"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59"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59"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59"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59"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59"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59"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31" workbookViewId="0">
      <selection activeCell="O17" sqref="O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71</v>
      </c>
    </row>
    <row r="5" spans="1:3" ht="15" customHeight="1" x14ac:dyDescent="0.25">
      <c r="C5" s="65"/>
    </row>
    <row r="6" spans="1:3" ht="15" customHeight="1" x14ac:dyDescent="0.25">
      <c r="C6" s="182" t="s">
        <v>202</v>
      </c>
    </row>
    <row r="7" spans="1:3" x14ac:dyDescent="0.25">
      <c r="A7" s="67">
        <v>10</v>
      </c>
      <c r="B7" s="67" t="s">
        <v>240</v>
      </c>
      <c r="C7" s="4">
        <f>HLOOKUP($B$4,'5.4 Tableau de l''endettement'!$C$6:$BC$24,2,0)</f>
        <v>767484.10000000009</v>
      </c>
    </row>
    <row r="8" spans="1:3" x14ac:dyDescent="0.25">
      <c r="A8" s="67"/>
      <c r="B8" s="67"/>
      <c r="C8" s="4"/>
    </row>
    <row r="9" spans="1:3" x14ac:dyDescent="0.25">
      <c r="A9" s="67">
        <v>20</v>
      </c>
      <c r="B9" s="67" t="s">
        <v>252</v>
      </c>
      <c r="C9" s="4">
        <f>HLOOKUP($B$4,'5.4 Tableau de l''endettement'!$C$6:$BC$24,4,0)</f>
        <v>841503</v>
      </c>
    </row>
    <row r="10" spans="1:3" x14ac:dyDescent="0.25">
      <c r="A10" s="67"/>
      <c r="B10" s="67"/>
      <c r="C10" s="4"/>
    </row>
    <row r="11" spans="1:3" x14ac:dyDescent="0.25">
      <c r="A11" s="67">
        <v>200</v>
      </c>
      <c r="B11" s="67" t="s">
        <v>451</v>
      </c>
      <c r="C11" s="4">
        <f>HLOOKUP($B$4,'5.4 Tableau de l''endettement'!$C$6:$BC$24,6,0)</f>
        <v>66448.5</v>
      </c>
    </row>
    <row r="12" spans="1:3" x14ac:dyDescent="0.25">
      <c r="A12" s="67"/>
      <c r="B12" s="67"/>
      <c r="C12" s="4"/>
    </row>
    <row r="13" spans="1:3" x14ac:dyDescent="0.25">
      <c r="A13" s="67">
        <v>201</v>
      </c>
      <c r="B13" s="67" t="s">
        <v>254</v>
      </c>
      <c r="C13" s="4">
        <f>HLOOKUP($B$4,'5.4 Tableau de l''endettement'!$C$6:$BC$24,8,0)</f>
        <v>0</v>
      </c>
    </row>
    <row r="14" spans="1:3" x14ac:dyDescent="0.25">
      <c r="A14" s="67"/>
      <c r="B14" s="67"/>
      <c r="C14" s="4"/>
    </row>
    <row r="15" spans="1:3" x14ac:dyDescent="0.25">
      <c r="A15" s="67">
        <v>206</v>
      </c>
      <c r="B15" s="67" t="s">
        <v>257</v>
      </c>
      <c r="C15" s="4">
        <f>HLOOKUP($B$4,'5.4 Tableau de l''endettement'!$C$6:$BC$24,10,0)</f>
        <v>768670.9</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835119.4</v>
      </c>
    </row>
    <row r="21" spans="1:3" x14ac:dyDescent="0.25">
      <c r="A21" s="67"/>
      <c r="B21" s="69" t="s">
        <v>449</v>
      </c>
      <c r="C21" s="70">
        <f>HLOOKUP($B$4,'5.4 Tableau de l''endettement'!$C$6:$BC$24,16,0)</f>
        <v>8699.1604166666675</v>
      </c>
    </row>
    <row r="22" spans="1:3" x14ac:dyDescent="0.25">
      <c r="A22" s="67"/>
      <c r="B22" s="7"/>
      <c r="C22" s="4"/>
    </row>
    <row r="23" spans="1:3" x14ac:dyDescent="0.25">
      <c r="A23" s="67"/>
      <c r="B23" s="99" t="s">
        <v>638</v>
      </c>
      <c r="C23" s="100">
        <f>HLOOKUP($B$4,'5.4 Tableau de l''endettement'!$C$6:$BC$24,18,0)</f>
        <v>74018.899999999907</v>
      </c>
    </row>
    <row r="24" spans="1:3" x14ac:dyDescent="0.25">
      <c r="A24" s="67"/>
      <c r="B24" s="69" t="s">
        <v>449</v>
      </c>
      <c r="C24" s="70">
        <f>HLOOKUP($B$4,'5.4 Tableau de l''endettement'!$C$6:$BC$24,19,0)</f>
        <v>771.03020833333233</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767484.1</v>
      </c>
    </row>
    <row r="30" spans="1:3" x14ac:dyDescent="0.25">
      <c r="A30" s="67"/>
      <c r="B30" s="67"/>
      <c r="C30" s="4"/>
    </row>
    <row r="31" spans="1:3" x14ac:dyDescent="0.25">
      <c r="A31" s="67">
        <v>20</v>
      </c>
      <c r="B31" s="67" t="s">
        <v>252</v>
      </c>
      <c r="C31" s="4">
        <f>HLOOKUP($B$4,'5.4 Tableau de l''endettement'!$C$6:$BC$49,26,0)</f>
        <v>841503</v>
      </c>
    </row>
    <row r="32" spans="1:3" x14ac:dyDescent="0.25">
      <c r="A32" s="67"/>
      <c r="B32" s="67"/>
      <c r="C32" s="4"/>
    </row>
    <row r="33" spans="1:3" x14ac:dyDescent="0.25">
      <c r="A33" s="67">
        <v>200</v>
      </c>
      <c r="B33" s="67" t="s">
        <v>451</v>
      </c>
      <c r="C33" s="4">
        <f>HLOOKUP($B$4,'5.4 Tableau de l''endettement'!$C$6:$BC$49,28,0)</f>
        <v>66448.5</v>
      </c>
    </row>
    <row r="34" spans="1:3" x14ac:dyDescent="0.25">
      <c r="A34" s="67"/>
      <c r="B34" s="67"/>
      <c r="C34" s="4"/>
    </row>
    <row r="35" spans="1:3" x14ac:dyDescent="0.25">
      <c r="A35" s="67">
        <v>201</v>
      </c>
      <c r="B35" s="67" t="s">
        <v>254</v>
      </c>
      <c r="C35" s="4">
        <f>HLOOKUP($B$4,'5.4 Tableau de l''endettement'!$C$6:$BC$49,30,0)</f>
        <v>0</v>
      </c>
    </row>
    <row r="36" spans="1:3" x14ac:dyDescent="0.25">
      <c r="A36" s="67"/>
      <c r="B36" s="67"/>
      <c r="C36" s="4"/>
    </row>
    <row r="37" spans="1:3" x14ac:dyDescent="0.25">
      <c r="A37" s="67">
        <v>206</v>
      </c>
      <c r="B37" s="67" t="s">
        <v>257</v>
      </c>
      <c r="C37" s="4">
        <f>HLOOKUP($B$4,'5.4 Tableau de l''endettement'!$C$6:$BC$49,32,0)</f>
        <v>768670.9</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835119.4</v>
      </c>
    </row>
    <row r="43" spans="1:3" x14ac:dyDescent="0.25">
      <c r="A43" s="67"/>
      <c r="B43" s="69" t="s">
        <v>449</v>
      </c>
      <c r="C43" s="70">
        <f>HLOOKUP($B$4,'5.4 Tableau de l''endettement'!$C$6:$BC$49,38,0)</f>
        <v>8699.1604166666675</v>
      </c>
    </row>
    <row r="44" spans="1:3" x14ac:dyDescent="0.25">
      <c r="A44" s="67"/>
      <c r="B44" s="7"/>
      <c r="C44" s="4"/>
    </row>
    <row r="45" spans="1:3" x14ac:dyDescent="0.25">
      <c r="A45" s="67"/>
      <c r="B45" s="99" t="s">
        <v>640</v>
      </c>
      <c r="C45" s="100">
        <f>HLOOKUP($B$4,'5.4 Tableau de l''endettement'!$C$6:$BC$49,40,0)</f>
        <v>74018.900000000023</v>
      </c>
    </row>
    <row r="46" spans="1:3" x14ac:dyDescent="0.25">
      <c r="A46" s="67"/>
      <c r="B46" s="69" t="s">
        <v>449</v>
      </c>
      <c r="C46" s="70">
        <f>HLOOKUP($B$4,'5.4 Tableau de l''endettement'!$C$6:$BC$49,41,0)</f>
        <v>771.03020833333358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I184"/>
  <sheetViews>
    <sheetView workbookViewId="0">
      <pane xSplit="4" ySplit="3" topLeftCell="BF133" activePane="bottomRight" state="frozen"/>
      <selection pane="topRight" activeCell="E1" sqref="E1"/>
      <selection pane="bottomLeft" activeCell="A4" sqref="A4"/>
      <selection pane="bottomRight" activeCell="BI2" sqref="BI2:BI182"/>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 t="shared" si="112"/>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2" sqref="A2"/>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A27" sqref="A27:XFD27"/>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22" t="s">
        <v>645</v>
      </c>
      <c r="B14" s="223"/>
      <c r="C14" s="223"/>
      <c r="D14" s="223"/>
      <c r="E14" s="223"/>
      <c r="F14" s="223"/>
      <c r="G14" s="223"/>
      <c r="H14" s="224"/>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22" t="s">
        <v>657</v>
      </c>
      <c r="B24" s="223"/>
      <c r="C24" s="223"/>
      <c r="D24" s="223"/>
      <c r="E24" s="223"/>
      <c r="F24" s="223"/>
      <c r="G24" s="223"/>
      <c r="H24" s="224"/>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22" t="s">
        <v>665</v>
      </c>
      <c r="B32" s="223"/>
      <c r="C32" s="223"/>
      <c r="D32" s="223"/>
      <c r="E32" s="223"/>
      <c r="F32" s="223"/>
      <c r="G32" s="223"/>
      <c r="H32" s="224"/>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22" t="s">
        <v>676</v>
      </c>
      <c r="B42" s="223"/>
      <c r="C42" s="223"/>
      <c r="D42" s="223"/>
      <c r="E42" s="223"/>
      <c r="F42" s="223"/>
      <c r="G42" s="223"/>
      <c r="H42" s="224"/>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22" t="s">
        <v>687</v>
      </c>
      <c r="B53" s="223"/>
      <c r="C53" s="223"/>
      <c r="D53" s="223"/>
      <c r="E53" s="223"/>
      <c r="F53" s="223"/>
      <c r="G53" s="223"/>
      <c r="H53" s="224"/>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22" t="s">
        <v>696</v>
      </c>
      <c r="B62" s="223"/>
      <c r="C62" s="223"/>
      <c r="D62" s="223"/>
      <c r="E62" s="223"/>
      <c r="F62" s="223"/>
      <c r="G62" s="223"/>
      <c r="H62" s="224"/>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22" t="s">
        <v>705</v>
      </c>
      <c r="B71" s="223"/>
      <c r="C71" s="223"/>
      <c r="D71" s="223"/>
      <c r="E71" s="223"/>
      <c r="F71" s="223"/>
      <c r="G71" s="223"/>
      <c r="H71" s="224"/>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22" t="s">
        <v>717</v>
      </c>
      <c r="B81" s="223"/>
      <c r="C81" s="223"/>
      <c r="D81" s="223"/>
      <c r="E81" s="223"/>
      <c r="F81" s="223"/>
      <c r="G81" s="223"/>
      <c r="H81" s="224"/>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22" t="s">
        <v>724</v>
      </c>
      <c r="B89" s="223"/>
      <c r="C89" s="223"/>
      <c r="D89" s="223"/>
      <c r="E89" s="223"/>
      <c r="F89" s="223"/>
      <c r="G89" s="223"/>
      <c r="H89" s="224"/>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22" t="s">
        <v>732</v>
      </c>
      <c r="B98" s="223"/>
      <c r="C98" s="223"/>
      <c r="D98" s="223"/>
      <c r="E98" s="223"/>
      <c r="F98" s="223"/>
      <c r="G98" s="223"/>
      <c r="H98" s="224"/>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R25" sqref="R25"/>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I61"/>
  <sheetViews>
    <sheetView workbookViewId="0">
      <pane xSplit="4" ySplit="3" topLeftCell="AS31" activePane="bottomRight" state="frozen"/>
      <selection pane="topRight" activeCell="E1" sqref="E1"/>
      <selection pane="bottomLeft" activeCell="A4" sqref="A4"/>
      <selection pane="bottomRight" activeCell="D38" sqref="D38"/>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90010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1"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1"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1"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1"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1"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1" x14ac:dyDescent="0.25">
      <c r="C54">
        <v>9000</v>
      </c>
      <c r="D54" t="s">
        <v>270</v>
      </c>
      <c r="E54" s="4">
        <v>-157625.18</v>
      </c>
      <c r="F54" s="4">
        <v>-48557.32</v>
      </c>
      <c r="G54" s="4">
        <v>-94828.6</v>
      </c>
      <c r="H54" s="4">
        <v>-14608.67</v>
      </c>
      <c r="I54" s="4">
        <v>28923</v>
      </c>
      <c r="J54" s="4">
        <v>355331.14</v>
      </c>
      <c r="K54" s="4">
        <v>105411.09</v>
      </c>
      <c r="L54" s="4">
        <v>-67.2</v>
      </c>
      <c r="M54" s="4">
        <v>288258.07</v>
      </c>
      <c r="N54" s="4">
        <v>-13123.38</v>
      </c>
      <c r="O54" s="4">
        <v>713421.97</v>
      </c>
      <c r="P54" s="4">
        <v>-5670.3</v>
      </c>
      <c r="Q54" s="4">
        <v>-26078.06</v>
      </c>
      <c r="R54" s="4">
        <v>33566.67</v>
      </c>
      <c r="S54" s="4">
        <v>-135865.17000000001</v>
      </c>
      <c r="T54" s="4">
        <v>310014.2</v>
      </c>
      <c r="U54" s="4">
        <v>-15080.91</v>
      </c>
      <c r="V54" s="4">
        <v>-314421.67</v>
      </c>
      <c r="W54" s="4">
        <v>71457.649999999994</v>
      </c>
      <c r="X54" s="4">
        <v>138690</v>
      </c>
      <c r="Y54" s="4">
        <v>1633805.81</v>
      </c>
      <c r="Z54" s="4">
        <v>925288.21</v>
      </c>
      <c r="AA54" s="4">
        <v>13373.11</v>
      </c>
      <c r="AB54" s="4">
        <v>-34056.49</v>
      </c>
      <c r="AC54" s="4">
        <v>-190765.53</v>
      </c>
      <c r="AD54" s="4">
        <v>0</v>
      </c>
      <c r="AE54" s="4">
        <v>-148769.32</v>
      </c>
      <c r="AF54" s="4">
        <v>-159274.14000000001</v>
      </c>
      <c r="AG54" s="4">
        <v>764904.49</v>
      </c>
      <c r="AH54" s="4">
        <v>28139.98</v>
      </c>
      <c r="AI54" s="4">
        <v>37068.9</v>
      </c>
      <c r="AJ54" s="4">
        <v>-6438.58</v>
      </c>
      <c r="AK54" s="4">
        <v>423500</v>
      </c>
      <c r="AL54" s="4">
        <v>1986</v>
      </c>
      <c r="AM54" s="4">
        <v>103605.34</v>
      </c>
      <c r="AN54" s="4">
        <v>6229.74</v>
      </c>
      <c r="AO54" s="4">
        <v>183300.05</v>
      </c>
      <c r="AP54" s="4">
        <v>200305.66</v>
      </c>
      <c r="AQ54" s="4">
        <v>32981</v>
      </c>
      <c r="AR54" s="4">
        <v>9638.94</v>
      </c>
      <c r="AS54" s="4">
        <v>32568.26</v>
      </c>
      <c r="AT54" s="4">
        <v>-48087.99</v>
      </c>
      <c r="AU54" s="4">
        <v>47834.87</v>
      </c>
      <c r="AV54" s="4">
        <v>115176.8</v>
      </c>
      <c r="AW54" s="4">
        <v>58369.4</v>
      </c>
      <c r="AX54" s="4">
        <v>-50574.92</v>
      </c>
      <c r="AY54" s="4">
        <v>-95514.240000000005</v>
      </c>
      <c r="AZ54" s="4">
        <v>42035.89</v>
      </c>
      <c r="BA54" s="4">
        <v>-22521.59</v>
      </c>
      <c r="BB54" s="4">
        <v>13297.33</v>
      </c>
      <c r="BC54" s="4">
        <v>46556.28</v>
      </c>
      <c r="BD54" s="4">
        <v>651336.63</v>
      </c>
      <c r="BE54" s="4">
        <v>66157.88</v>
      </c>
      <c r="BF54" s="4">
        <f t="shared" si="8"/>
        <v>5900605.0999999996</v>
      </c>
      <c r="BG54" s="4">
        <f t="shared" si="9"/>
        <v>1080457.3299999998</v>
      </c>
      <c r="BH54" s="4">
        <f t="shared" si="10"/>
        <v>3001966.4399999995</v>
      </c>
      <c r="BI54" s="4">
        <f t="shared" si="11"/>
        <v>1818181.3299999996</v>
      </c>
    </row>
    <row r="55" spans="1:61"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1"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1"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1"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1"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50"/>
  <sheetViews>
    <sheetView workbookViewId="0">
      <pane xSplit="4" ySplit="11" topLeftCell="AX15" activePane="bottomRight" state="frozen"/>
      <selection pane="topRight" activeCell="E1" sqref="E1"/>
      <selection pane="bottomLeft" activeCell="A12" sqref="A12"/>
      <selection pane="bottomRight" activeCell="AX30" sqref="AX3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495</v>
      </c>
      <c r="B10" s="110"/>
      <c r="C10" s="65" t="s">
        <v>496</v>
      </c>
      <c r="D10" s="65" t="s">
        <v>497</v>
      </c>
      <c r="E10" s="57">
        <f>'4.1 Comptes 2021 natures'!E2</f>
        <v>947</v>
      </c>
      <c r="F10" s="57">
        <f>'4.1 Comptes 2021 natures'!F2</f>
        <v>265</v>
      </c>
      <c r="G10" s="57">
        <f>'4.1 Comptes 2021 natures'!G2</f>
        <v>469</v>
      </c>
      <c r="H10" s="57">
        <f>'4.1 Comptes 2021 natures'!H2</f>
        <v>439</v>
      </c>
      <c r="I10" s="57">
        <f>'4.1 Comptes 2021 natures'!I2</f>
        <v>3728</v>
      </c>
      <c r="J10" s="57">
        <f>'4.1 Comptes 2021 natures'!J2</f>
        <v>3345</v>
      </c>
      <c r="K10" s="57">
        <f>'4.1 Comptes 2021 natures'!K2</f>
        <v>2652</v>
      </c>
      <c r="L10" s="57">
        <f>'4.1 Comptes 2021 natures'!L2</f>
        <v>12479</v>
      </c>
      <c r="M10" s="57">
        <f>'4.1 Comptes 2021 natures'!M2</f>
        <v>1359</v>
      </c>
      <c r="N10" s="57">
        <f>'4.1 Comptes 2021 natures'!N2</f>
        <v>117</v>
      </c>
      <c r="O10" s="57">
        <f>'4.1 Comptes 2021 natures'!O2</f>
        <v>7261</v>
      </c>
      <c r="P10" s="57">
        <f>'4.1 Comptes 2021 natures'!P2</f>
        <v>538</v>
      </c>
      <c r="Q10" s="57">
        <f>'4.1 Comptes 2021 natures'!Q2</f>
        <v>111</v>
      </c>
      <c r="R10" s="57">
        <f>'4.1 Comptes 2021 natures'!R2</f>
        <v>421</v>
      </c>
      <c r="S10" s="57">
        <f>'4.1 Comptes 2021 natures'!S2</f>
        <v>346</v>
      </c>
      <c r="T10" s="57">
        <f>'4.1 Comptes 2021 natures'!T2</f>
        <v>710</v>
      </c>
      <c r="U10" s="57">
        <f>'4.1 Comptes 2021 natures'!U2</f>
        <v>269</v>
      </c>
      <c r="V10" s="57">
        <f>'4.1 Comptes 2021 natures'!V2</f>
        <v>440</v>
      </c>
      <c r="W10" s="57">
        <f>'4.1 Comptes 2021 natures'!W2</f>
        <v>3229</v>
      </c>
      <c r="X10" s="57">
        <f>'4.1 Comptes 2021 natures'!X2</f>
        <v>310</v>
      </c>
      <c r="Y10" s="57">
        <f>'4.1 Comptes 2021 natures'!Y2</f>
        <v>1270</v>
      </c>
      <c r="Z10" s="57">
        <f>'4.1 Comptes 2021 natures'!Z2</f>
        <v>1506</v>
      </c>
      <c r="AA10" s="57">
        <f>'4.1 Comptes 2021 natures'!AA2</f>
        <v>96</v>
      </c>
      <c r="AB10" s="57">
        <f>'4.1 Comptes 2021 natures'!AB2</f>
        <v>148</v>
      </c>
      <c r="AC10" s="57">
        <f>'4.1 Comptes 2021 natures'!AC2</f>
        <v>518</v>
      </c>
      <c r="AD10" s="57">
        <f>'4.1 Comptes 2021 natures'!AD2</f>
        <v>701</v>
      </c>
      <c r="AE10" s="57">
        <f>'4.1 Comptes 2021 natures'!AE2</f>
        <v>564</v>
      </c>
      <c r="AF10" s="57">
        <f>'4.1 Comptes 2021 natures'!AF2</f>
        <v>525</v>
      </c>
      <c r="AG10" s="57">
        <f>'4.1 Comptes 2021 natures'!AG2</f>
        <v>1909</v>
      </c>
      <c r="AH10" s="57">
        <f>'4.1 Comptes 2021 natures'!AH2</f>
        <v>2580</v>
      </c>
      <c r="AI10" s="57">
        <f>'4.1 Comptes 2021 natures'!AI2</f>
        <v>222</v>
      </c>
      <c r="AJ10" s="57">
        <f>'4.1 Comptes 2021 natures'!AJ2</f>
        <v>129</v>
      </c>
      <c r="AK10" s="57">
        <f>'4.1 Comptes 2021 natures'!AK2</f>
        <v>1891</v>
      </c>
      <c r="AL10" s="57">
        <f>'4.1 Comptes 2021 natures'!AL2</f>
        <v>1126</v>
      </c>
      <c r="AM10" s="57">
        <f>'4.1 Comptes 2021 natures'!AM2</f>
        <v>1225</v>
      </c>
      <c r="AN10" s="57">
        <f>'4.1 Comptes 2021 natures'!AN2</f>
        <v>117</v>
      </c>
      <c r="AO10" s="57">
        <f>'4.1 Comptes 2021 natures'!AO2</f>
        <v>1185</v>
      </c>
      <c r="AP10" s="57">
        <f>'4.1 Comptes 2021 natures'!AP2</f>
        <v>642</v>
      </c>
      <c r="AQ10" s="57">
        <f>'4.1 Comptes 2021 natures'!AQ2</f>
        <v>633</v>
      </c>
      <c r="AR10" s="57">
        <f>'4.1 Comptes 2021 natures'!AR2</f>
        <v>1284</v>
      </c>
      <c r="AS10" s="57">
        <f>'4.1 Comptes 2021 natures'!AS2</f>
        <v>731</v>
      </c>
      <c r="AT10" s="57">
        <f>'4.1 Comptes 2021 natures'!AT2</f>
        <v>1016</v>
      </c>
      <c r="AU10" s="57">
        <f>'4.1 Comptes 2021 natures'!AU2</f>
        <v>304</v>
      </c>
      <c r="AV10" s="57">
        <f>'4.1 Comptes 2021 natures'!AV2</f>
        <v>2412</v>
      </c>
      <c r="AW10" s="57">
        <f>'4.1 Comptes 2021 natures'!AW2</f>
        <v>735</v>
      </c>
      <c r="AX10" s="57">
        <f>'4.1 Comptes 2021 natures'!AX2</f>
        <v>185</v>
      </c>
      <c r="AY10" s="57">
        <f>'4.1 Comptes 2021 natures'!AY2</f>
        <v>340</v>
      </c>
      <c r="AZ10" s="57">
        <f>'4.1 Comptes 2021 natures'!AZ2</f>
        <v>1697</v>
      </c>
      <c r="BA10" s="57">
        <f>'4.1 Comptes 2021 natures'!BA2</f>
        <v>390</v>
      </c>
      <c r="BB10" s="57">
        <f>'4.1 Comptes 2021 natures'!BB2</f>
        <v>1073</v>
      </c>
      <c r="BC10" s="57">
        <f>'4.1 Comptes 2021 natures'!BC2</f>
        <v>184</v>
      </c>
      <c r="BD10" s="57">
        <f>'4.1 Comptes 2021 natures'!BD2</f>
        <v>6466</v>
      </c>
      <c r="BE10" s="57">
        <f>'4.1 Comptes 2021 natures'!BE2</f>
        <v>559</v>
      </c>
      <c r="BF10" s="57" t="str">
        <f>'4.1 Comptes 2021 natures'!BG2</f>
        <v>ct</v>
      </c>
      <c r="BG10" s="57">
        <f>'4.1 Comptes 2021 natures'!BH2</f>
        <v>10478</v>
      </c>
      <c r="BH10" s="57">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11">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x14ac:dyDescent="0.25">
      <c r="B16" s="121"/>
      <c r="D16" s="4"/>
      <c r="BF16" s="4"/>
      <c r="BG16" s="4"/>
      <c r="BH16" s="4"/>
    </row>
    <row r="17" spans="1:60" x14ac:dyDescent="0.25">
      <c r="A17" s="111" t="s">
        <v>278</v>
      </c>
      <c r="B17" s="112" t="s">
        <v>225</v>
      </c>
      <c r="C17" s="111">
        <v>400</v>
      </c>
      <c r="D17" s="113">
        <f>'Base de données indicateurs1'!BF38</f>
        <v>166473515.80000004</v>
      </c>
      <c r="E17" s="4">
        <f>'Base de données indicateurs1'!E38</f>
        <v>2089448.2</v>
      </c>
      <c r="F17" s="4">
        <f>'Base de données indicateurs1'!F38</f>
        <v>492282.79</v>
      </c>
      <c r="G17" s="4">
        <f>'Base de données indicateurs1'!G38</f>
        <v>949917.15</v>
      </c>
      <c r="H17" s="4">
        <f>'Base de données indicateurs1'!H38</f>
        <v>841221.18</v>
      </c>
      <c r="I17" s="4">
        <f>'Base de données indicateurs1'!I38</f>
        <v>7675747</v>
      </c>
      <c r="J17" s="4">
        <f>'Base de données indicateurs1'!J38</f>
        <v>7567612.5700000003</v>
      </c>
      <c r="K17" s="4">
        <f>'Base de données indicateurs1'!K38</f>
        <v>5914223.3300000001</v>
      </c>
      <c r="L17" s="4">
        <f>'Base de données indicateurs1'!L38</f>
        <v>28291546</v>
      </c>
      <c r="M17" s="4">
        <f>'Base de données indicateurs1'!M38</f>
        <v>2993299.47</v>
      </c>
      <c r="N17" s="4">
        <f>'Base de données indicateurs1'!N38</f>
        <v>178520.05</v>
      </c>
      <c r="O17" s="4">
        <f>'Base de données indicateurs1'!O38</f>
        <v>14978467.65</v>
      </c>
      <c r="P17" s="4">
        <f>'Base de données indicateurs1'!P38</f>
        <v>923297.55</v>
      </c>
      <c r="Q17" s="4">
        <f>'Base de données indicateurs1'!Q38</f>
        <v>233632.67</v>
      </c>
      <c r="R17" s="4">
        <f>'Base de données indicateurs1'!R38</f>
        <v>894841.17</v>
      </c>
      <c r="S17" s="4">
        <f>'Base de données indicateurs1'!S38</f>
        <v>722684.29</v>
      </c>
      <c r="T17" s="4">
        <f>'Base de données indicateurs1'!T38</f>
        <v>1853875.05</v>
      </c>
      <c r="U17" s="4">
        <f>'Base de données indicateurs1'!U38</f>
        <v>414418.45</v>
      </c>
      <c r="V17" s="4">
        <f>'Base de données indicateurs1'!V38</f>
        <v>976276.95</v>
      </c>
      <c r="W17" s="4">
        <f>'Base de données indicateurs1'!W38</f>
        <v>6954871.4000000004</v>
      </c>
      <c r="X17" s="4">
        <f>'Base de données indicateurs1'!X38</f>
        <v>705231.84</v>
      </c>
      <c r="Y17" s="4">
        <f>'Base de données indicateurs1'!Y38</f>
        <v>5167560.4800000004</v>
      </c>
      <c r="Z17" s="4">
        <f>'Base de données indicateurs1'!Z38</f>
        <v>2851513.73</v>
      </c>
      <c r="AA17" s="4">
        <f>'Base de données indicateurs1'!AA38</f>
        <v>201253.2</v>
      </c>
      <c r="AB17" s="4">
        <f>'Base de données indicateurs1'!AB38</f>
        <v>272253.90000000002</v>
      </c>
      <c r="AC17" s="4">
        <f>'Base de données indicateurs1'!AC38</f>
        <v>1175064.6599999999</v>
      </c>
      <c r="AD17" s="4">
        <f>'Base de données indicateurs1'!AD38</f>
        <v>1415436</v>
      </c>
      <c r="AE17" s="4">
        <f>'Base de données indicateurs1'!AE38</f>
        <v>1180186.76</v>
      </c>
      <c r="AF17" s="4">
        <f>'Base de données indicateurs1'!AF38</f>
        <v>1212954.99</v>
      </c>
      <c r="AG17" s="4">
        <f>'Base de données indicateurs1'!AG38</f>
        <v>4742424.3499999996</v>
      </c>
      <c r="AH17" s="4">
        <f>'Base de données indicateurs1'!AH38</f>
        <v>6279646.9500000002</v>
      </c>
      <c r="AI17" s="4">
        <f>'Base de données indicateurs1'!AI38</f>
        <v>351906.95</v>
      </c>
      <c r="AJ17" s="4">
        <f>'Base de données indicateurs1'!AJ38</f>
        <v>243024.85</v>
      </c>
      <c r="AK17" s="4">
        <f>'Base de données indicateurs1'!AK38</f>
        <v>4750955.45</v>
      </c>
      <c r="AL17" s="4">
        <f>'Base de données indicateurs1'!AL38</f>
        <v>2118419</v>
      </c>
      <c r="AM17" s="4">
        <f>'Base de données indicateurs1'!AM38</f>
        <v>2412689.29</v>
      </c>
      <c r="AN17" s="4">
        <f>'Base de données indicateurs1'!AN38</f>
        <v>281720.31</v>
      </c>
      <c r="AO17" s="4">
        <f>'Base de données indicateurs1'!AO38</f>
        <v>3131674.65</v>
      </c>
      <c r="AP17" s="4">
        <f>'Base de données indicateurs1'!AP38</f>
        <v>1357873.47</v>
      </c>
      <c r="AQ17" s="4">
        <f>'Base de données indicateurs1'!AQ38</f>
        <v>1539192</v>
      </c>
      <c r="AR17" s="4">
        <f>'Base de données indicateurs1'!AR38</f>
        <v>2468752.63</v>
      </c>
      <c r="AS17" s="4">
        <f>'Base de données indicateurs1'!AS38</f>
        <v>1710364.38</v>
      </c>
      <c r="AT17" s="4">
        <f>'Base de données indicateurs1'!AT38</f>
        <v>2113393.6</v>
      </c>
      <c r="AU17" s="4">
        <f>'Base de données indicateurs1'!AU38</f>
        <v>104808.02</v>
      </c>
      <c r="AV17" s="4">
        <f>'Base de données indicateurs1'!AV38</f>
        <v>5179504.8499999996</v>
      </c>
      <c r="AW17" s="4">
        <f>'Base de données indicateurs1'!AW38</f>
        <v>2050363.3</v>
      </c>
      <c r="AX17" s="4">
        <f>'Base de données indicateurs1'!AX38</f>
        <v>313398.7</v>
      </c>
      <c r="AY17" s="4">
        <f>'Base de données indicateurs1'!AY38</f>
        <v>714266.27</v>
      </c>
      <c r="AZ17" s="4">
        <f>'Base de données indicateurs1'!AZ38</f>
        <v>4221312.49</v>
      </c>
      <c r="BA17" s="4">
        <f>'Base de données indicateurs1'!BA38</f>
        <v>761215.9</v>
      </c>
      <c r="BB17" s="4">
        <f>'Base de données indicateurs1'!BB38</f>
        <v>2495255.44</v>
      </c>
      <c r="BC17" s="4">
        <f>'Base de données indicateurs1'!BC38</f>
        <v>327291.61</v>
      </c>
      <c r="BD17" s="4">
        <f>'Base de données indicateurs1'!BD38</f>
        <v>16446907.85</v>
      </c>
      <c r="BE17" s="4">
        <f>'Base de données indicateurs1'!BE38</f>
        <v>1229515.01</v>
      </c>
      <c r="BF17" s="4">
        <f t="shared" si="0"/>
        <v>84946182.920000017</v>
      </c>
      <c r="BG17" s="4">
        <f t="shared" si="1"/>
        <v>25798458.66</v>
      </c>
      <c r="BH17" s="4">
        <f t="shared" si="2"/>
        <v>55728874.219999991</v>
      </c>
    </row>
    <row r="18" spans="1:60" x14ac:dyDescent="0.25">
      <c r="A18" s="114" t="s">
        <v>280</v>
      </c>
      <c r="B18" s="115" t="s">
        <v>225</v>
      </c>
      <c r="C18" s="114">
        <v>401</v>
      </c>
      <c r="D18" s="116">
        <f>'Base de données indicateurs1'!BF39</f>
        <v>26296993.079999998</v>
      </c>
      <c r="E18" s="4">
        <f>'Base de données indicateurs1'!E39</f>
        <v>99854.85</v>
      </c>
      <c r="F18" s="4">
        <f>'Base de données indicateurs1'!F39</f>
        <v>3715.57</v>
      </c>
      <c r="G18" s="4">
        <f>'Base de données indicateurs1'!G39</f>
        <v>31467.08</v>
      </c>
      <c r="H18" s="4">
        <f>'Base de données indicateurs1'!H39</f>
        <v>40843.800000000003</v>
      </c>
      <c r="I18" s="4">
        <f>'Base de données indicateurs1'!I39</f>
        <v>307672</v>
      </c>
      <c r="J18" s="4">
        <f>'Base de données indicateurs1'!J39</f>
        <v>443475.74</v>
      </c>
      <c r="K18" s="4">
        <f>'Base de données indicateurs1'!K39</f>
        <v>609166.68999999994</v>
      </c>
      <c r="L18" s="4">
        <f>'Base de données indicateurs1'!L39</f>
        <v>7757076.1799999997</v>
      </c>
      <c r="M18" s="4">
        <f>'Base de données indicateurs1'!M39</f>
        <v>296224.62</v>
      </c>
      <c r="N18" s="4">
        <f>'Base de données indicateurs1'!N39</f>
        <v>5310.2</v>
      </c>
      <c r="O18" s="4">
        <f>'Base de données indicateurs1'!O39</f>
        <v>1231334.8999999999</v>
      </c>
      <c r="P18" s="4">
        <f>'Base de données indicateurs1'!P39</f>
        <v>24811.05</v>
      </c>
      <c r="Q18" s="4">
        <f>'Base de données indicateurs1'!Q39</f>
        <v>307.39999999999998</v>
      </c>
      <c r="R18" s="4">
        <f>'Base de données indicateurs1'!R39</f>
        <v>10607</v>
      </c>
      <c r="S18" s="4">
        <f>'Base de données indicateurs1'!S39</f>
        <v>8931.7900000000009</v>
      </c>
      <c r="T18" s="4">
        <f>'Base de données indicateurs1'!T39</f>
        <v>41352.97</v>
      </c>
      <c r="U18" s="4">
        <f>'Base de données indicateurs1'!U39</f>
        <v>8919.2000000000007</v>
      </c>
      <c r="V18" s="4">
        <f>'Base de données indicateurs1'!V39</f>
        <v>132540.15</v>
      </c>
      <c r="W18" s="4">
        <f>'Base de données indicateurs1'!W39</f>
        <v>406055.6</v>
      </c>
      <c r="X18" s="4">
        <f>'Base de données indicateurs1'!X39</f>
        <v>1889.38</v>
      </c>
      <c r="Y18" s="4">
        <f>'Base de données indicateurs1'!Y39</f>
        <v>16408.3</v>
      </c>
      <c r="Z18" s="4">
        <f>'Base de données indicateurs1'!Z39</f>
        <v>3132885.03</v>
      </c>
      <c r="AA18" s="4">
        <f>'Base de données indicateurs1'!AA39</f>
        <v>0</v>
      </c>
      <c r="AB18" s="4">
        <f>'Base de données indicateurs1'!AB39</f>
        <v>7463.25</v>
      </c>
      <c r="AC18" s="4">
        <f>'Base de données indicateurs1'!AC39</f>
        <v>81437.100000000006</v>
      </c>
      <c r="AD18" s="4">
        <f>'Base de données indicateurs1'!AD39</f>
        <v>58675.06</v>
      </c>
      <c r="AE18" s="4">
        <f>'Base de données indicateurs1'!AE39</f>
        <v>24369.73</v>
      </c>
      <c r="AF18" s="4">
        <f>'Base de données indicateurs1'!AF39</f>
        <v>31256.28</v>
      </c>
      <c r="AG18" s="4">
        <f>'Base de données indicateurs1'!AG39</f>
        <v>1530576.78</v>
      </c>
      <c r="AH18" s="4">
        <f>'Base de données indicateurs1'!AH39</f>
        <v>669347.07999999996</v>
      </c>
      <c r="AI18" s="4">
        <f>'Base de données indicateurs1'!AI39</f>
        <v>21715.599999999999</v>
      </c>
      <c r="AJ18" s="4">
        <f>'Base de données indicateurs1'!AJ39</f>
        <v>3667</v>
      </c>
      <c r="AK18" s="4">
        <f>'Base de données indicateurs1'!AK39</f>
        <v>373929.65</v>
      </c>
      <c r="AL18" s="4">
        <f>'Base de données indicateurs1'!AL39</f>
        <v>48279</v>
      </c>
      <c r="AM18" s="4">
        <f>'Base de données indicateurs1'!AM39</f>
        <v>65945.75</v>
      </c>
      <c r="AN18" s="4">
        <f>'Base de données indicateurs1'!AN39</f>
        <v>10368.65</v>
      </c>
      <c r="AO18" s="4">
        <f>'Base de données indicateurs1'!AO39</f>
        <v>3851675.5</v>
      </c>
      <c r="AP18" s="4">
        <f>'Base de données indicateurs1'!AP39</f>
        <v>293639.55</v>
      </c>
      <c r="AQ18" s="4">
        <f>'Base de données indicateurs1'!AQ39</f>
        <v>10345</v>
      </c>
      <c r="AR18" s="4">
        <f>'Base de données indicateurs1'!AR39</f>
        <v>93326.42</v>
      </c>
      <c r="AS18" s="4">
        <f>'Base de données indicateurs1'!AS39</f>
        <v>14983.78</v>
      </c>
      <c r="AT18" s="4">
        <f>'Base de données indicateurs1'!AT39</f>
        <v>61337.4</v>
      </c>
      <c r="AU18" s="4">
        <f>'Base de données indicateurs1'!AU39</f>
        <v>130686.46</v>
      </c>
      <c r="AV18" s="4">
        <f>'Base de données indicateurs1'!AV39</f>
        <v>715760.85</v>
      </c>
      <c r="AW18" s="4">
        <f>'Base de données indicateurs1'!AW39</f>
        <v>135833.45000000001</v>
      </c>
      <c r="AX18" s="4">
        <f>'Base de données indicateurs1'!AX39</f>
        <v>6096.07</v>
      </c>
      <c r="AY18" s="4">
        <f>'Base de données indicateurs1'!AY39</f>
        <v>37440.879999999997</v>
      </c>
      <c r="AZ18" s="4">
        <f>'Base de données indicateurs1'!AZ39</f>
        <v>310800.92</v>
      </c>
      <c r="BA18" s="4">
        <f>'Base de données indicateurs1'!BA39</f>
        <v>14945.6</v>
      </c>
      <c r="BB18" s="4">
        <f>'Base de données indicateurs1'!BB39</f>
        <v>516787.33</v>
      </c>
      <c r="BC18" s="4">
        <f>'Base de données indicateurs1'!BC39</f>
        <v>1415.15</v>
      </c>
      <c r="BD18" s="4">
        <f>'Base de données indicateurs1'!BD39</f>
        <v>2530547.2000000002</v>
      </c>
      <c r="BE18" s="4">
        <f>'Base de données indicateurs1'!BE39</f>
        <v>33491.089999999997</v>
      </c>
      <c r="BF18" s="4">
        <f t="shared" si="0"/>
        <v>11459666.789999999</v>
      </c>
      <c r="BG18" s="4">
        <f t="shared" si="1"/>
        <v>5579690.5899999999</v>
      </c>
      <c r="BH18" s="4">
        <f t="shared" si="2"/>
        <v>9257635.6999999993</v>
      </c>
    </row>
    <row r="19" spans="1:60" x14ac:dyDescent="0.25">
      <c r="A19" s="114" t="s">
        <v>499</v>
      </c>
      <c r="B19" s="115" t="s">
        <v>500</v>
      </c>
      <c r="C19" s="122" t="s">
        <v>501</v>
      </c>
      <c r="D19" s="116">
        <f>'Base de données indicateurs1'!BF48+'Base de données indicateurs1'!BF26</f>
        <v>14311012.9</v>
      </c>
      <c r="E19" s="4">
        <f>'Base de données indicateurs1'!E48-'Base de données indicateurs1'!E26</f>
        <v>0</v>
      </c>
      <c r="F19" s="4">
        <f>'Base de données indicateurs1'!F48-'Base de données indicateurs1'!F26</f>
        <v>114138</v>
      </c>
      <c r="G19" s="4">
        <f>'Base de données indicateurs1'!G48-'Base de données indicateurs1'!G26</f>
        <v>58930</v>
      </c>
      <c r="H19" s="4">
        <f>'Base de données indicateurs1'!H48-'Base de données indicateurs1'!H26</f>
        <v>147310</v>
      </c>
      <c r="I19" s="4">
        <f>'Base de données indicateurs1'!I48-'Base de données indicateurs1'!I26</f>
        <v>1307908</v>
      </c>
      <c r="J19" s="4">
        <f>'Base de données indicateurs1'!J48-'Base de données indicateurs1'!J26</f>
        <v>154551</v>
      </c>
      <c r="K19" s="4">
        <f>'Base de données indicateurs1'!K48-'Base de données indicateurs1'!K26</f>
        <v>-128164</v>
      </c>
      <c r="L19" s="4">
        <f>'Base de données indicateurs1'!L48-'Base de données indicateurs1'!L26</f>
        <v>-910184</v>
      </c>
      <c r="M19" s="4">
        <f>'Base de données indicateurs1'!M48-'Base de données indicateurs1'!M26</f>
        <v>-41860.949999999997</v>
      </c>
      <c r="N19" s="4">
        <f>'Base de données indicateurs1'!N48-'Base de données indicateurs1'!N26</f>
        <v>114480</v>
      </c>
      <c r="O19" s="4">
        <f>'Base de données indicateurs1'!O48-'Base de données indicateurs1'!O26</f>
        <v>1553045</v>
      </c>
      <c r="P19" s="4">
        <f>'Base de données indicateurs1'!P48-'Base de données indicateurs1'!P26</f>
        <v>306786</v>
      </c>
      <c r="Q19" s="4">
        <f>'Base de données indicateurs1'!Q48-'Base de données indicateurs1'!Q26</f>
        <v>12521</v>
      </c>
      <c r="R19" s="4">
        <f>'Base de données indicateurs1'!R48-'Base de données indicateurs1'!R26</f>
        <v>194770</v>
      </c>
      <c r="S19" s="4">
        <f>'Base de données indicateurs1'!S48-'Base de données indicateurs1'!S26</f>
        <v>174234</v>
      </c>
      <c r="T19" s="4">
        <f>'Base de données indicateurs1'!T48-'Base de données indicateurs1'!T26</f>
        <v>-29695.95</v>
      </c>
      <c r="U19" s="4">
        <f>'Base de données indicateurs1'!U48-'Base de données indicateurs1'!U26</f>
        <v>158233</v>
      </c>
      <c r="V19" s="4">
        <f>'Base de données indicateurs1'!V48-'Base de données indicateurs1'!V26</f>
        <v>-52463</v>
      </c>
      <c r="W19" s="4">
        <f>'Base de données indicateurs1'!W48-'Base de données indicateurs1'!W26</f>
        <v>1230830</v>
      </c>
      <c r="X19" s="4">
        <f>'Base de données indicateurs1'!X48-'Base de données indicateurs1'!X26</f>
        <v>33864</v>
      </c>
      <c r="Y19" s="4">
        <f>'Base de données indicateurs1'!Y48-'Base de données indicateurs1'!Y26</f>
        <v>14138</v>
      </c>
      <c r="Z19" s="4">
        <f>'Base de données indicateurs1'!Z48-'Base de données indicateurs1'!Z26</f>
        <v>-1816158</v>
      </c>
      <c r="AA19" s="4">
        <f>'Base de données indicateurs1'!AA48-'Base de données indicateurs1'!AA26</f>
        <v>91814</v>
      </c>
      <c r="AB19" s="4">
        <f>'Base de données indicateurs1'!AB48-'Base de données indicateurs1'!AB26</f>
        <v>61684</v>
      </c>
      <c r="AC19" s="4">
        <f>'Base de données indicateurs1'!AC48-'Base de données indicateurs1'!AC26</f>
        <v>-12380</v>
      </c>
      <c r="AD19" s="4">
        <f>'Base de données indicateurs1'!AD48-'Base de données indicateurs1'!AD26</f>
        <v>316658</v>
      </c>
      <c r="AE19" s="4">
        <f>'Base de données indicateurs1'!AE48-'Base de données indicateurs1'!AE26</f>
        <v>121430</v>
      </c>
      <c r="AF19" s="4">
        <f>'Base de données indicateurs1'!AF48-'Base de données indicateurs1'!AF26</f>
        <v>-1331</v>
      </c>
      <c r="AG19" s="4">
        <f>'Base de données indicateurs1'!AG48-'Base de données indicateurs1'!AG26</f>
        <v>-289157</v>
      </c>
      <c r="AH19" s="4">
        <f>'Base de données indicateurs1'!AH48-'Base de données indicateurs1'!AH26</f>
        <v>277950</v>
      </c>
      <c r="AI19" s="4">
        <f>'Base de données indicateurs1'!AI48-'Base de données indicateurs1'!AI26</f>
        <v>216020</v>
      </c>
      <c r="AJ19" s="4">
        <f>'Base de données indicateurs1'!AJ48-'Base de données indicateurs1'!AJ26</f>
        <v>55604</v>
      </c>
      <c r="AK19" s="4">
        <f>'Base de données indicateurs1'!AK48-'Base de données indicateurs1'!AK26</f>
        <v>327904</v>
      </c>
      <c r="AL19" s="4">
        <f>'Base de données indicateurs1'!AL48-'Base de données indicateurs1'!AL26</f>
        <v>-105139</v>
      </c>
      <c r="AM19" s="4">
        <f>'Base de données indicateurs1'!AM48-'Base de données indicateurs1'!AM26</f>
        <v>817282</v>
      </c>
      <c r="AN19" s="4">
        <f>'Base de données indicateurs1'!AN48-'Base de données indicateurs1'!AN26</f>
        <v>49530</v>
      </c>
      <c r="AO19" s="4">
        <f>'Base de données indicateurs1'!AO48-'Base de données indicateurs1'!AO26</f>
        <v>0</v>
      </c>
      <c r="AP19" s="4">
        <f>'Base de données indicateurs1'!AP48-'Base de données indicateurs1'!AP26</f>
        <v>-2382</v>
      </c>
      <c r="AQ19" s="4">
        <f>'Base de données indicateurs1'!AQ48-'Base de données indicateurs1'!AQ26</f>
        <v>-17577</v>
      </c>
      <c r="AR19" s="4">
        <f>'Base de données indicateurs1'!AR48-'Base de données indicateurs1'!AR26</f>
        <v>658646</v>
      </c>
      <c r="AS19" s="4">
        <f>'Base de données indicateurs1'!AS48-'Base de données indicateurs1'!AS26</f>
        <v>478318</v>
      </c>
      <c r="AT19" s="4">
        <f>'Base de données indicateurs1'!AT48-'Base de données indicateurs1'!AT26</f>
        <v>330168</v>
      </c>
      <c r="AU19" s="4">
        <f>'Base de données indicateurs1'!AU48-'Base de données indicateurs1'!AU26</f>
        <v>-89804</v>
      </c>
      <c r="AV19" s="4">
        <f>'Base de données indicateurs1'!AV48-'Base de données indicateurs1'!AV26</f>
        <v>0</v>
      </c>
      <c r="AW19" s="4">
        <f>'Base de données indicateurs1'!AW48-'Base de données indicateurs1'!AW26</f>
        <v>5246</v>
      </c>
      <c r="AX19" s="4">
        <f>'Base de données indicateurs1'!AX48-'Base de données indicateurs1'!AX26</f>
        <v>61386</v>
      </c>
      <c r="AY19" s="4">
        <f>'Base de données indicateurs1'!AY48-'Base de données indicateurs1'!AY26</f>
        <v>117858</v>
      </c>
      <c r="AZ19" s="4">
        <f>'Base de données indicateurs1'!AZ48-'Base de données indicateurs1'!AZ26</f>
        <v>493047</v>
      </c>
      <c r="BA19" s="4">
        <f>'Base de données indicateurs1'!BA48-'Base de données indicateurs1'!BA26</f>
        <v>19035</v>
      </c>
      <c r="BB19" s="4">
        <f>'Base de données indicateurs1'!BB48-'Base de données indicateurs1'!BB26</f>
        <v>-39223</v>
      </c>
      <c r="BC19" s="4">
        <f>'Base de données indicateurs1'!BC48-'Base de données indicateurs1'!BC26</f>
        <v>155228</v>
      </c>
      <c r="BD19" s="4">
        <f>'Base de données indicateurs1'!BD48-'Base de données indicateurs1'!BD26</f>
        <v>-467838</v>
      </c>
      <c r="BE19" s="4">
        <f>'Base de données indicateurs1'!BE48-'Base de données indicateurs1'!BE26</f>
        <v>0</v>
      </c>
      <c r="BF19" s="4">
        <f t="shared" si="0"/>
        <v>4365368.0999999996</v>
      </c>
      <c r="BG19" s="4">
        <f t="shared" si="1"/>
        <v>-929864</v>
      </c>
      <c r="BH19" s="4">
        <f t="shared" si="2"/>
        <v>2791685</v>
      </c>
    </row>
    <row r="20" spans="1:60" x14ac:dyDescent="0.25">
      <c r="A20" s="114" t="s">
        <v>502</v>
      </c>
      <c r="B20" s="115" t="s">
        <v>225</v>
      </c>
      <c r="C20" s="114">
        <v>46228</v>
      </c>
      <c r="D20" s="116">
        <f>'Base de données indicateurs1'!BF49</f>
        <v>1454799.2</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929584.2</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83752</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441463</v>
      </c>
      <c r="BE20" s="4">
        <f>'Base de données indicateurs1'!BE49</f>
        <v>0</v>
      </c>
      <c r="BF20" s="4">
        <f t="shared" si="0"/>
        <v>929584.2</v>
      </c>
      <c r="BG20" s="4">
        <f t="shared" si="1"/>
        <v>0</v>
      </c>
      <c r="BH20" s="4">
        <f t="shared" si="2"/>
        <v>525215</v>
      </c>
    </row>
    <row r="21" spans="1:60" ht="15.75" thickBot="1" x14ac:dyDescent="0.3">
      <c r="A21" s="117"/>
      <c r="B21" s="118"/>
      <c r="C21" s="117"/>
      <c r="D21" s="119"/>
      <c r="BF21" s="4"/>
      <c r="BG21" s="4"/>
      <c r="BH21" s="4"/>
    </row>
    <row r="22" spans="1:60" ht="15.75" thickBot="1" x14ac:dyDescent="0.3">
      <c r="A22" s="7" t="s">
        <v>503</v>
      </c>
      <c r="B22" s="64"/>
      <c r="C22" s="7"/>
      <c r="D22" s="120">
        <f>D17+D18+D19+D20</f>
        <v>208536320.98000005</v>
      </c>
      <c r="E22" s="4">
        <f>E17+E18+E19+E20</f>
        <v>2189303.0499999998</v>
      </c>
      <c r="F22" s="4">
        <f t="shared" ref="F22:BE22" si="4">F17+F18+F19+F20</f>
        <v>610136.36</v>
      </c>
      <c r="G22" s="4">
        <f t="shared" si="4"/>
        <v>1040314.23</v>
      </c>
      <c r="H22" s="4">
        <f t="shared" si="4"/>
        <v>1029374.9800000001</v>
      </c>
      <c r="I22" s="4">
        <f t="shared" si="4"/>
        <v>9291327</v>
      </c>
      <c r="J22" s="4">
        <f t="shared" si="4"/>
        <v>8165639.3100000005</v>
      </c>
      <c r="K22" s="4">
        <f t="shared" si="4"/>
        <v>6395226.0199999996</v>
      </c>
      <c r="L22" s="4">
        <f t="shared" si="4"/>
        <v>36068022.380000003</v>
      </c>
      <c r="M22" s="4">
        <f t="shared" si="4"/>
        <v>3247663.14</v>
      </c>
      <c r="N22" s="4">
        <f t="shared" si="4"/>
        <v>298310.25</v>
      </c>
      <c r="O22" s="4">
        <f t="shared" si="4"/>
        <v>17762847.550000001</v>
      </c>
      <c r="P22" s="4">
        <f t="shared" si="4"/>
        <v>1254894.6000000001</v>
      </c>
      <c r="Q22" s="4">
        <f t="shared" si="4"/>
        <v>246461.07</v>
      </c>
      <c r="R22" s="4">
        <f t="shared" si="4"/>
        <v>1100218.17</v>
      </c>
      <c r="S22" s="4">
        <f t="shared" si="4"/>
        <v>905850.08000000007</v>
      </c>
      <c r="T22" s="4">
        <f t="shared" si="4"/>
        <v>1865532.07</v>
      </c>
      <c r="U22" s="4">
        <f t="shared" si="4"/>
        <v>581570.65</v>
      </c>
      <c r="V22" s="4">
        <f t="shared" si="4"/>
        <v>1056354.0999999999</v>
      </c>
      <c r="W22" s="4">
        <f t="shared" si="4"/>
        <v>8591757</v>
      </c>
      <c r="X22" s="4">
        <f t="shared" si="4"/>
        <v>740985.22</v>
      </c>
      <c r="Y22" s="4">
        <f t="shared" si="4"/>
        <v>5198106.78</v>
      </c>
      <c r="Z22" s="4">
        <f t="shared" si="4"/>
        <v>4168240.76</v>
      </c>
      <c r="AA22" s="4">
        <f t="shared" si="4"/>
        <v>293067.2</v>
      </c>
      <c r="AB22" s="4">
        <f t="shared" si="4"/>
        <v>341401.15</v>
      </c>
      <c r="AC22" s="4">
        <f t="shared" si="4"/>
        <v>1244121.76</v>
      </c>
      <c r="AD22" s="4">
        <f t="shared" si="4"/>
        <v>1790769.06</v>
      </c>
      <c r="AE22" s="4">
        <f t="shared" si="4"/>
        <v>1325986.49</v>
      </c>
      <c r="AF22" s="4">
        <f t="shared" si="4"/>
        <v>1242880.27</v>
      </c>
      <c r="AG22" s="4">
        <f t="shared" si="4"/>
        <v>5983844.1299999999</v>
      </c>
      <c r="AH22" s="4">
        <f t="shared" si="4"/>
        <v>7226944.0300000003</v>
      </c>
      <c r="AI22" s="4">
        <f t="shared" si="4"/>
        <v>589642.55000000005</v>
      </c>
      <c r="AJ22" s="4">
        <f t="shared" si="4"/>
        <v>302295.84999999998</v>
      </c>
      <c r="AK22" s="4">
        <f t="shared" si="4"/>
        <v>5452789.1000000006</v>
      </c>
      <c r="AL22" s="4">
        <f t="shared" si="4"/>
        <v>2145311</v>
      </c>
      <c r="AM22" s="4">
        <f t="shared" si="4"/>
        <v>3295917.04</v>
      </c>
      <c r="AN22" s="4">
        <f t="shared" si="4"/>
        <v>341618.96</v>
      </c>
      <c r="AO22" s="4">
        <f t="shared" si="4"/>
        <v>6983350.1500000004</v>
      </c>
      <c r="AP22" s="4">
        <f t="shared" si="4"/>
        <v>1649131.02</v>
      </c>
      <c r="AQ22" s="4">
        <f t="shared" si="4"/>
        <v>1531960</v>
      </c>
      <c r="AR22" s="4">
        <f t="shared" si="4"/>
        <v>3220725.05</v>
      </c>
      <c r="AS22" s="4">
        <f t="shared" si="4"/>
        <v>2203666.16</v>
      </c>
      <c r="AT22" s="4">
        <f t="shared" si="4"/>
        <v>2504899</v>
      </c>
      <c r="AU22" s="4">
        <f t="shared" si="4"/>
        <v>145690.48000000001</v>
      </c>
      <c r="AV22" s="4">
        <f t="shared" si="4"/>
        <v>5895265.6999999993</v>
      </c>
      <c r="AW22" s="4">
        <f t="shared" si="4"/>
        <v>2191442.75</v>
      </c>
      <c r="AX22" s="4">
        <f t="shared" si="4"/>
        <v>380880.77</v>
      </c>
      <c r="AY22" s="4">
        <f t="shared" si="4"/>
        <v>869565.15</v>
      </c>
      <c r="AZ22" s="4">
        <f t="shared" si="4"/>
        <v>5025160.41</v>
      </c>
      <c r="BA22" s="4">
        <f t="shared" si="4"/>
        <v>795196.5</v>
      </c>
      <c r="BB22" s="4">
        <f t="shared" si="4"/>
        <v>2972819.77</v>
      </c>
      <c r="BC22" s="4">
        <f t="shared" si="4"/>
        <v>483934.76</v>
      </c>
      <c r="BD22" s="4">
        <f t="shared" si="4"/>
        <v>18951080.050000001</v>
      </c>
      <c r="BE22" s="4">
        <f t="shared" si="4"/>
        <v>1263006.1000000001</v>
      </c>
      <c r="BF22" s="4">
        <f t="shared" si="0"/>
        <v>101700802.00999998</v>
      </c>
      <c r="BG22" s="4">
        <f t="shared" si="1"/>
        <v>30448285.250000004</v>
      </c>
      <c r="BH22" s="4">
        <f t="shared" si="2"/>
        <v>68303409.919999987</v>
      </c>
    </row>
    <row r="23" spans="1:60" ht="15.75" thickBot="1" x14ac:dyDescent="0.3">
      <c r="B23" s="121"/>
      <c r="D23" s="4"/>
      <c r="BF23" s="4"/>
      <c r="BG23" s="4"/>
      <c r="BH23" s="4"/>
    </row>
    <row r="24" spans="1:60" ht="15.75" thickBot="1" x14ac:dyDescent="0.3">
      <c r="A24" s="7" t="s">
        <v>504</v>
      </c>
      <c r="B24" s="121"/>
      <c r="D24" s="120">
        <f>IF(D22&lt;&gt;0,D15/D22,"")*100</f>
        <v>137.21785078266703</v>
      </c>
      <c r="E24" s="143">
        <f>IF(E22&lt;&gt;0,E15/E22,"")*100</f>
        <v>200.14400062156773</v>
      </c>
      <c r="F24" s="126">
        <f t="shared" ref="F24:BH24" si="5">IF(F22&lt;&gt;0,F15/F22,"")*100</f>
        <v>218.66817116095169</v>
      </c>
      <c r="G24" s="126">
        <f t="shared" si="5"/>
        <v>239.76364333687908</v>
      </c>
      <c r="H24" s="126">
        <f t="shared" si="5"/>
        <v>14.928072178323184</v>
      </c>
      <c r="I24" s="126">
        <f t="shared" si="5"/>
        <v>103.28475146768594</v>
      </c>
      <c r="J24" s="126">
        <f t="shared" si="5"/>
        <v>197.61626625166227</v>
      </c>
      <c r="K24" s="126">
        <f t="shared" si="5"/>
        <v>9.5922096901901241</v>
      </c>
      <c r="L24" s="126">
        <f t="shared" si="5"/>
        <v>264.58310382139672</v>
      </c>
      <c r="M24" s="126">
        <f t="shared" si="5"/>
        <v>100.8978255669706</v>
      </c>
      <c r="N24" s="126">
        <f t="shared" si="5"/>
        <v>220.24779235711813</v>
      </c>
      <c r="O24" s="126">
        <f t="shared" si="5"/>
        <v>152.73987401867893</v>
      </c>
      <c r="P24" s="126">
        <f t="shared" si="5"/>
        <v>92.40606183180644</v>
      </c>
      <c r="Q24" s="126">
        <f t="shared" si="5"/>
        <v>16.719602004486976</v>
      </c>
      <c r="R24" s="126">
        <f t="shared" si="5"/>
        <v>159.41766804305732</v>
      </c>
      <c r="S24" s="126">
        <f t="shared" si="5"/>
        <v>193.09502738024815</v>
      </c>
      <c r="T24" s="126">
        <f t="shared" si="5"/>
        <v>-11.170312928471954</v>
      </c>
      <c r="U24" s="126">
        <f t="shared" si="5"/>
        <v>50.814758275714233</v>
      </c>
      <c r="V24" s="126">
        <f t="shared" si="5"/>
        <v>184.84668256600702</v>
      </c>
      <c r="W24" s="126">
        <f t="shared" si="5"/>
        <v>126.01518839510939</v>
      </c>
      <c r="X24" s="126">
        <f t="shared" si="5"/>
        <v>-169.87707258182559</v>
      </c>
      <c r="Y24" s="126">
        <f t="shared" si="5"/>
        <v>123.89593428090369</v>
      </c>
      <c r="Z24" s="126">
        <f t="shared" si="5"/>
        <v>-249.03301842861882</v>
      </c>
      <c r="AA24" s="126">
        <f t="shared" si="5"/>
        <v>25.256630561181879</v>
      </c>
      <c r="AB24" s="126">
        <f t="shared" si="5"/>
        <v>-94.763409555005921</v>
      </c>
      <c r="AC24" s="126">
        <f t="shared" si="5"/>
        <v>108.46635380768521</v>
      </c>
      <c r="AD24" s="126">
        <f t="shared" si="5"/>
        <v>257.76245486394544</v>
      </c>
      <c r="AE24" s="126">
        <f t="shared" si="5"/>
        <v>107.58363533553049</v>
      </c>
      <c r="AF24" s="126">
        <f t="shared" si="5"/>
        <v>-226.41033315300757</v>
      </c>
      <c r="AG24" s="126">
        <f t="shared" si="5"/>
        <v>-23.955028888762179</v>
      </c>
      <c r="AH24" s="126">
        <f t="shared" si="5"/>
        <v>115.03076812952706</v>
      </c>
      <c r="AI24" s="126">
        <f t="shared" si="5"/>
        <v>-14.969769396730292</v>
      </c>
      <c r="AJ24" s="126">
        <f t="shared" si="5"/>
        <v>-332.66357775007504</v>
      </c>
      <c r="AK24" s="126">
        <f t="shared" si="5"/>
        <v>234.31155369643761</v>
      </c>
      <c r="AL24" s="126">
        <f t="shared" si="5"/>
        <v>200.23618114110263</v>
      </c>
      <c r="AM24" s="126">
        <f t="shared" si="5"/>
        <v>194.7590807686106</v>
      </c>
      <c r="AN24" s="126">
        <f t="shared" si="5"/>
        <v>-20.190079613848098</v>
      </c>
      <c r="AO24" s="126">
        <f t="shared" si="5"/>
        <v>-60.906306409395782</v>
      </c>
      <c r="AP24" s="126">
        <f t="shared" si="5"/>
        <v>84.583939849727656</v>
      </c>
      <c r="AQ24" s="126">
        <f t="shared" si="5"/>
        <v>82.270751194548168</v>
      </c>
      <c r="AR24" s="126">
        <f t="shared" si="5"/>
        <v>-9.621057531750516</v>
      </c>
      <c r="AS24" s="126">
        <f t="shared" si="5"/>
        <v>140.0785834093854</v>
      </c>
      <c r="AT24" s="126">
        <f t="shared" si="5"/>
        <v>203.47129485061072</v>
      </c>
      <c r="AU24" s="126">
        <f t="shared" si="5"/>
        <v>-748.15070277755967</v>
      </c>
      <c r="AV24" s="126">
        <f t="shared" si="5"/>
        <v>130.93117668979707</v>
      </c>
      <c r="AW24" s="126">
        <f t="shared" si="5"/>
        <v>128.00999432907844</v>
      </c>
      <c r="AX24" s="126">
        <f t="shared" si="5"/>
        <v>46.996071762824883</v>
      </c>
      <c r="AY24" s="126">
        <f t="shared" si="5"/>
        <v>-73.293598530253874</v>
      </c>
      <c r="AZ24" s="126">
        <f t="shared" si="5"/>
        <v>304.72608196799831</v>
      </c>
      <c r="BA24" s="126">
        <f t="shared" si="5"/>
        <v>-111.19446325530859</v>
      </c>
      <c r="BB24" s="126">
        <f t="shared" si="5"/>
        <v>196.020705621182</v>
      </c>
      <c r="BC24" s="126">
        <f t="shared" si="5"/>
        <v>-119.07811499219439</v>
      </c>
      <c r="BD24" s="126">
        <f t="shared" si="5"/>
        <v>222.27441918277373</v>
      </c>
      <c r="BE24" s="126">
        <f t="shared" si="5"/>
        <v>156.83587830652598</v>
      </c>
      <c r="BF24" s="126">
        <f t="shared" si="5"/>
        <v>175.78600018554567</v>
      </c>
      <c r="BG24" s="126">
        <f t="shared" si="5"/>
        <v>16.143697090462577</v>
      </c>
      <c r="BH24" s="126">
        <f t="shared" si="5"/>
        <v>150.00394112095307</v>
      </c>
    </row>
    <row r="25" spans="1:60" x14ac:dyDescent="0.25">
      <c r="A25" s="123" t="s">
        <v>505</v>
      </c>
      <c r="B25" s="121"/>
      <c r="D25" s="4"/>
      <c r="BF25" s="4"/>
      <c r="BG25" s="4"/>
      <c r="BH25" s="4"/>
    </row>
    <row r="26" spans="1:60" x14ac:dyDescent="0.25">
      <c r="A26" s="123"/>
      <c r="B26" s="121"/>
      <c r="D26" s="4"/>
      <c r="BF26" s="4"/>
      <c r="BG26" s="4"/>
      <c r="BH26" s="4"/>
    </row>
    <row r="27" spans="1:60" x14ac:dyDescent="0.25">
      <c r="B27" s="121"/>
      <c r="D27" s="4"/>
      <c r="BF27" s="4"/>
      <c r="BG27" s="4"/>
      <c r="BH27" s="4"/>
    </row>
    <row r="28" spans="1:60" x14ac:dyDescent="0.25">
      <c r="A28" s="7" t="s">
        <v>506</v>
      </c>
      <c r="B28" s="121"/>
      <c r="D28" s="4"/>
      <c r="BF28" s="4"/>
      <c r="BG28" s="4"/>
      <c r="BH28" s="4"/>
    </row>
    <row r="29" spans="1:60" x14ac:dyDescent="0.25">
      <c r="B29" s="121"/>
      <c r="D29" s="4"/>
      <c r="BF29" s="4"/>
      <c r="BG29" s="4"/>
      <c r="BH29" s="4"/>
    </row>
    <row r="30" spans="1:60" x14ac:dyDescent="0.25">
      <c r="A30" s="111" t="s">
        <v>507</v>
      </c>
      <c r="B30" s="112"/>
      <c r="C30" s="124">
        <v>90</v>
      </c>
      <c r="D30" s="210">
        <f>'Base de données indicateurs1'!BF33-'Base de données indicateurs1'!BF33+'Base de données indicateurs1'!BF54-'Base de données indicateurs1'!BF55</f>
        <v>2349011.3999999994</v>
      </c>
      <c r="E30" s="145">
        <f>'Base de données indicateurs1'!E33-'Base de données indicateurs1'!E33+'Base de données indicateurs1'!E54-'Base de données indicateurs1'!E55</f>
        <v>-157625.18</v>
      </c>
      <c r="F30" s="145">
        <f>'Base de données indicateurs1'!F33-'Base de données indicateurs1'!F33+'Base de données indicateurs1'!F54-'Base de données indicateurs1'!F55</f>
        <v>-48557.32</v>
      </c>
      <c r="G30" s="145">
        <f>'Base de données indicateurs1'!G33-'Base de données indicateurs1'!G33+'Base de données indicateurs1'!G54-'Base de données indicateurs1'!G55</f>
        <v>-94828.6</v>
      </c>
      <c r="H30" s="145">
        <f>'Base de données indicateurs1'!H33-'Base de données indicateurs1'!H33+'Base de données indicateurs1'!H54-'Base de données indicateurs1'!H55</f>
        <v>-14608.67</v>
      </c>
      <c r="I30" s="145">
        <f>'Base de données indicateurs1'!I33-'Base de données indicateurs1'!I33+'Base de données indicateurs1'!I54-'Base de données indicateurs1'!I55</f>
        <v>28923</v>
      </c>
      <c r="J30" s="145">
        <f>'Base de données indicateurs1'!J33-'Base de données indicateurs1'!J33+'Base de données indicateurs1'!J54-'Base de données indicateurs1'!J55</f>
        <v>355331.14</v>
      </c>
      <c r="K30" s="145">
        <f>'Base de données indicateurs1'!K33-'Base de données indicateurs1'!K33+'Base de données indicateurs1'!K54-'Base de données indicateurs1'!K55</f>
        <v>105411.09</v>
      </c>
      <c r="L30" s="145">
        <f>'Base de données indicateurs1'!L33-'Base de données indicateurs1'!L33+'Base de données indicateurs1'!L54-'Base de données indicateurs1'!L55</f>
        <v>-3551660.9000000004</v>
      </c>
      <c r="M30" s="145">
        <f>'Base de données indicateurs1'!M33-'Base de données indicateurs1'!M33+'Base de données indicateurs1'!M54-'Base de données indicateurs1'!M55</f>
        <v>288258.07</v>
      </c>
      <c r="N30" s="145">
        <f>'Base de données indicateurs1'!N33-'Base de données indicateurs1'!N33+'Base de données indicateurs1'!N54-'Base de données indicateurs1'!N55</f>
        <v>-13123.38</v>
      </c>
      <c r="O30" s="145">
        <f>'Base de données indicateurs1'!O33-'Base de données indicateurs1'!O33+'Base de données indicateurs1'!O54-'Base de données indicateurs1'!O55</f>
        <v>713421.97</v>
      </c>
      <c r="P30" s="145">
        <f>'Base de données indicateurs1'!P33-'Base de données indicateurs1'!P33+'Base de données indicateurs1'!P54-'Base de données indicateurs1'!P55</f>
        <v>-5670.3</v>
      </c>
      <c r="Q30" s="145">
        <f>'Base de données indicateurs1'!Q33-'Base de données indicateurs1'!Q33+'Base de données indicateurs1'!Q54-'Base de données indicateurs1'!Q55</f>
        <v>-26078.06</v>
      </c>
      <c r="R30" s="145">
        <f>'Base de données indicateurs1'!R33-'Base de données indicateurs1'!R33+'Base de données indicateurs1'!R54-'Base de données indicateurs1'!R55</f>
        <v>33566.67</v>
      </c>
      <c r="S30" s="145">
        <f>'Base de données indicateurs1'!S33-'Base de données indicateurs1'!S33+'Base de données indicateurs1'!S54-'Base de données indicateurs1'!S55</f>
        <v>-135865.17000000001</v>
      </c>
      <c r="T30" s="145">
        <f>'Base de données indicateurs1'!T33-'Base de données indicateurs1'!T33+'Base de données indicateurs1'!T54-'Base de données indicateurs1'!T55</f>
        <v>310014.2</v>
      </c>
      <c r="U30" s="145">
        <f>'Base de données indicateurs1'!U33-'Base de données indicateurs1'!U33+'Base de données indicateurs1'!U54-'Base de données indicateurs1'!U55</f>
        <v>-15080.91</v>
      </c>
      <c r="V30" s="145">
        <f>'Base de données indicateurs1'!V33-'Base de données indicateurs1'!V33+'Base de données indicateurs1'!V54-'Base de données indicateurs1'!V55</f>
        <v>-314421.67</v>
      </c>
      <c r="W30" s="145">
        <f>'Base de données indicateurs1'!W33-'Base de données indicateurs1'!W33+'Base de données indicateurs1'!W54-'Base de données indicateurs1'!W55</f>
        <v>71457.649999999994</v>
      </c>
      <c r="X30" s="145">
        <f>'Base de données indicateurs1'!X33-'Base de données indicateurs1'!X33+'Base de données indicateurs1'!X54-'Base de données indicateurs1'!X55</f>
        <v>138690</v>
      </c>
      <c r="Y30" s="145">
        <f>'Base de données indicateurs1'!Y33-'Base de données indicateurs1'!Y33+'Base de données indicateurs1'!Y54-'Base de données indicateurs1'!Y55</f>
        <v>1633805.81</v>
      </c>
      <c r="Z30" s="145">
        <f>'Base de données indicateurs1'!Z33-'Base de données indicateurs1'!Z33+'Base de données indicateurs1'!Z54-'Base de données indicateurs1'!Z55</f>
        <v>925288.21</v>
      </c>
      <c r="AA30" s="145">
        <f>'Base de données indicateurs1'!AA33-'Base de données indicateurs1'!AA33+'Base de données indicateurs1'!AA54-'Base de données indicateurs1'!AA55</f>
        <v>13373.11</v>
      </c>
      <c r="AB30" s="145">
        <f>'Base de données indicateurs1'!AB33-'Base de données indicateurs1'!AB33+'Base de données indicateurs1'!AB54-'Base de données indicateurs1'!AB55</f>
        <v>-34056.49</v>
      </c>
      <c r="AC30" s="145">
        <f>'Base de données indicateurs1'!AC33-'Base de données indicateurs1'!AC33+'Base de données indicateurs1'!AC54-'Base de données indicateurs1'!AC55</f>
        <v>-190765.53</v>
      </c>
      <c r="AD30" s="145">
        <f>'Base de données indicateurs1'!AD33-'Base de données indicateurs1'!AD33+'Base de données indicateurs1'!AD54-'Base de données indicateurs1'!AD55</f>
        <v>0</v>
      </c>
      <c r="AE30" s="145">
        <f>'Base de données indicateurs1'!AE33-'Base de données indicateurs1'!AE33+'Base de données indicateurs1'!AE54-'Base de données indicateurs1'!AE55</f>
        <v>-148769.32</v>
      </c>
      <c r="AF30" s="145">
        <f>'Base de données indicateurs1'!AF33-'Base de données indicateurs1'!AF33+'Base de données indicateurs1'!AF54-'Base de données indicateurs1'!AF55</f>
        <v>-159274.14000000001</v>
      </c>
      <c r="AG30" s="145">
        <f>'Base de données indicateurs1'!AG33-'Base de données indicateurs1'!AG33+'Base de données indicateurs1'!AG54-'Base de données indicateurs1'!AG55</f>
        <v>764904.49</v>
      </c>
      <c r="AH30" s="145">
        <f>'Base de données indicateurs1'!AH33-'Base de données indicateurs1'!AH33+'Base de données indicateurs1'!AH54-'Base de données indicateurs1'!AH55</f>
        <v>28139.98</v>
      </c>
      <c r="AI30" s="145">
        <f>'Base de données indicateurs1'!AI33-'Base de données indicateurs1'!AI33+'Base de données indicateurs1'!AI54-'Base de données indicateurs1'!AI55</f>
        <v>37068.9</v>
      </c>
      <c r="AJ30" s="145">
        <f>'Base de données indicateurs1'!AJ33-'Base de données indicateurs1'!AJ33+'Base de données indicateurs1'!AJ54-'Base de données indicateurs1'!AJ55</f>
        <v>-6438.58</v>
      </c>
      <c r="AK30" s="145">
        <f>'Base de données indicateurs1'!AK33-'Base de données indicateurs1'!AK33+'Base de données indicateurs1'!AK54-'Base de données indicateurs1'!AK55</f>
        <v>423500</v>
      </c>
      <c r="AL30" s="145">
        <f>'Base de données indicateurs1'!AL33-'Base de données indicateurs1'!AL33+'Base de données indicateurs1'!AL54-'Base de données indicateurs1'!AL55</f>
        <v>1986</v>
      </c>
      <c r="AM30" s="145">
        <f>'Base de données indicateurs1'!AM33-'Base de données indicateurs1'!AM33+'Base de données indicateurs1'!AM54-'Base de données indicateurs1'!AM55</f>
        <v>103605.34</v>
      </c>
      <c r="AN30" s="145">
        <f>'Base de données indicateurs1'!AN33-'Base de données indicateurs1'!AN33+'Base de données indicateurs1'!AN54-'Base de données indicateurs1'!AN55</f>
        <v>6229.74</v>
      </c>
      <c r="AO30" s="145">
        <f>'Base de données indicateurs1'!AO33-'Base de données indicateurs1'!AO33+'Base de données indicateurs1'!AO54-'Base de données indicateurs1'!AO55</f>
        <v>183300.05</v>
      </c>
      <c r="AP30" s="145">
        <f>'Base de données indicateurs1'!AP33-'Base de données indicateurs1'!AP33+'Base de données indicateurs1'!AP54-'Base de données indicateurs1'!AP55</f>
        <v>200305.66</v>
      </c>
      <c r="AQ30" s="145">
        <f>'Base de données indicateurs1'!AQ33-'Base de données indicateurs1'!AQ33+'Base de données indicateurs1'!AQ54-'Base de données indicateurs1'!AQ55</f>
        <v>32981</v>
      </c>
      <c r="AR30" s="145">
        <f>'Base de données indicateurs1'!AR33-'Base de données indicateurs1'!AR33+'Base de données indicateurs1'!AR54-'Base de données indicateurs1'!AR55</f>
        <v>9638.94</v>
      </c>
      <c r="AS30" s="145">
        <f>'Base de données indicateurs1'!AS33-'Base de données indicateurs1'!AS33+'Base de données indicateurs1'!AS54-'Base de données indicateurs1'!AS55</f>
        <v>32568.26</v>
      </c>
      <c r="AT30" s="145">
        <f>'Base de données indicateurs1'!AT33-'Base de données indicateurs1'!AT33+'Base de données indicateurs1'!AT54-'Base de données indicateurs1'!AT55</f>
        <v>-48087.99</v>
      </c>
      <c r="AU30" s="145">
        <f>'Base de données indicateurs1'!AU33-'Base de données indicateurs1'!AU33+'Base de données indicateurs1'!AU54-'Base de données indicateurs1'!AU55</f>
        <v>47834.87</v>
      </c>
      <c r="AV30" s="145">
        <f>'Base de données indicateurs1'!AV33-'Base de données indicateurs1'!AV33+'Base de données indicateurs1'!AV54-'Base de données indicateurs1'!AV55</f>
        <v>115176.8</v>
      </c>
      <c r="AW30" s="145">
        <f>'Base de données indicateurs1'!AW33-'Base de données indicateurs1'!AW33+'Base de données indicateurs1'!AW54-'Base de données indicateurs1'!AW55</f>
        <v>58369.4</v>
      </c>
      <c r="AX30" s="145">
        <f>'Base de données indicateurs1'!AX33-'Base de données indicateurs1'!AX33+'Base de données indicateurs1'!AX54-'Base de données indicateurs1'!AX55</f>
        <v>-50574.92</v>
      </c>
      <c r="AY30" s="145">
        <f>'Base de données indicateurs1'!AY33-'Base de données indicateurs1'!AY33+'Base de données indicateurs1'!AY54-'Base de données indicateurs1'!AY55</f>
        <v>-95514.240000000005</v>
      </c>
      <c r="AZ30" s="145">
        <f>'Base de données indicateurs1'!AZ33-'Base de données indicateurs1'!AZ33+'Base de données indicateurs1'!AZ54-'Base de données indicateurs1'!AZ55</f>
        <v>42035.89</v>
      </c>
      <c r="BA30" s="145">
        <f>'Base de données indicateurs1'!BA33-'Base de données indicateurs1'!BA33+'Base de données indicateurs1'!BA54-'Base de données indicateurs1'!BA55</f>
        <v>-22521.59</v>
      </c>
      <c r="BB30" s="145">
        <f>'Base de données indicateurs1'!BB33-'Base de données indicateurs1'!BB33+'Base de données indicateurs1'!BB54-'Base de données indicateurs1'!BB55</f>
        <v>13297.33</v>
      </c>
      <c r="BC30" s="145">
        <f>'Base de données indicateurs1'!BC33-'Base de données indicateurs1'!BC33+'Base de données indicateurs1'!BC54-'Base de données indicateurs1'!BC55</f>
        <v>46556.28</v>
      </c>
      <c r="BD30" s="145">
        <f>'Base de données indicateurs1'!BD33-'Base de données indicateurs1'!BD33+'Base de données indicateurs1'!BD54-'Base de données indicateurs1'!BD55</f>
        <v>651336.63</v>
      </c>
      <c r="BE30" s="145">
        <f>'Base de données indicateurs1'!BE33-'Base de données indicateurs1'!BE33+'Base de données indicateurs1'!BE54-'Base de données indicateurs1'!BE55</f>
        <v>66157.88</v>
      </c>
      <c r="BF30" s="4">
        <f t="shared" si="0"/>
        <v>-2471136.37</v>
      </c>
      <c r="BG30" s="4">
        <f t="shared" si="1"/>
        <v>3001966.4399999995</v>
      </c>
      <c r="BH30" s="4">
        <f t="shared" si="2"/>
        <v>1818181.3299999996</v>
      </c>
    </row>
    <row r="31" spans="1:60" x14ac:dyDescent="0.25">
      <c r="A31" s="114" t="s">
        <v>98</v>
      </c>
      <c r="B31" s="115" t="s">
        <v>225</v>
      </c>
      <c r="C31" s="114">
        <v>33</v>
      </c>
      <c r="D31" s="116">
        <f>'Base de données indicateurs1'!BF20</f>
        <v>22383897.43</v>
      </c>
      <c r="E31" s="4">
        <f>'Base de données indicateurs1'!E20</f>
        <v>282130.74</v>
      </c>
      <c r="F31" s="4">
        <f>'Base de données indicateurs1'!F20</f>
        <v>82434</v>
      </c>
      <c r="G31" s="4">
        <f>'Base de données indicateurs1'!G20</f>
        <v>75868.399999999994</v>
      </c>
      <c r="H31" s="4">
        <f>'Base de données indicateurs1'!H20</f>
        <v>97710</v>
      </c>
      <c r="I31" s="4">
        <f>'Base de données indicateurs1'!I20</f>
        <v>967279</v>
      </c>
      <c r="J31" s="4">
        <f>'Base de données indicateurs1'!J20</f>
        <v>1031543.09</v>
      </c>
      <c r="K31" s="4">
        <f>'Base de données indicateurs1'!K20</f>
        <v>507798.55</v>
      </c>
      <c r="L31" s="4">
        <f>'Base de données indicateurs1'!L20</f>
        <v>5626924.5</v>
      </c>
      <c r="M31" s="4">
        <f>'Base de données indicateurs1'!M20</f>
        <v>236080</v>
      </c>
      <c r="N31" s="4">
        <f>'Base de données indicateurs1'!N20</f>
        <v>50797.67</v>
      </c>
      <c r="O31" s="4">
        <f>'Base de données indicateurs1'!O20</f>
        <v>1215448.1000000001</v>
      </c>
      <c r="P31" s="4">
        <f>'Base de données indicateurs1'!P20</f>
        <v>117103</v>
      </c>
      <c r="Q31" s="4">
        <f>'Base de données indicateurs1'!Q20</f>
        <v>12561</v>
      </c>
      <c r="R31" s="4">
        <f>'Base de données indicateurs1'!R20</f>
        <v>94900</v>
      </c>
      <c r="S31" s="4">
        <f>'Base de données indicateurs1'!S20</f>
        <v>107211</v>
      </c>
      <c r="T31" s="4">
        <f>'Base de données indicateurs1'!T20</f>
        <v>116736.9</v>
      </c>
      <c r="U31" s="4">
        <f>'Base de données indicateurs1'!U20</f>
        <v>33089.699999999997</v>
      </c>
      <c r="V31" s="4">
        <f>'Base de données indicateurs1'!V20</f>
        <v>155684.85</v>
      </c>
      <c r="W31" s="4">
        <f>'Base de données indicateurs1'!W20</f>
        <v>940048.97</v>
      </c>
      <c r="X31" s="4">
        <f>'Base de données indicateurs1'!X20</f>
        <v>40515</v>
      </c>
      <c r="Y31" s="4">
        <f>'Base de données indicateurs1'!Y20</f>
        <v>269737.3</v>
      </c>
      <c r="Z31" s="4">
        <f>'Base de données indicateurs1'!Z20</f>
        <v>354358.34</v>
      </c>
      <c r="AA31" s="4">
        <f>'Base de données indicateurs1'!AA20</f>
        <v>48600</v>
      </c>
      <c r="AB31" s="4">
        <f>'Base de données indicateurs1'!AB20</f>
        <v>700</v>
      </c>
      <c r="AC31" s="4">
        <f>'Base de données indicateurs1'!AC20</f>
        <v>88682.95</v>
      </c>
      <c r="AD31" s="4">
        <f>'Base de données indicateurs1'!AD20</f>
        <v>189752.77</v>
      </c>
      <c r="AE31" s="4">
        <f>'Base de données indicateurs1'!AE20</f>
        <v>146039.14000000001</v>
      </c>
      <c r="AF31" s="4">
        <f>'Base de données indicateurs1'!AF20</f>
        <v>86837.65</v>
      </c>
      <c r="AG31" s="4">
        <f>'Base de données indicateurs1'!AG20</f>
        <v>616217.30000000005</v>
      </c>
      <c r="AH31" s="4">
        <f>'Base de données indicateurs1'!AH20</f>
        <v>768732</v>
      </c>
      <c r="AI31" s="4">
        <f>'Base de données indicateurs1'!AI20</f>
        <v>53527</v>
      </c>
      <c r="AJ31" s="4">
        <f>'Base de données indicateurs1'!AJ20</f>
        <v>54670.8</v>
      </c>
      <c r="AK31" s="4">
        <f>'Base de données indicateurs1'!AK20</f>
        <v>702484</v>
      </c>
      <c r="AL31" s="4">
        <f>'Base de données indicateurs1'!AL20</f>
        <v>408999</v>
      </c>
      <c r="AM31" s="4">
        <f>'Base de données indicateurs1'!AM20</f>
        <v>262400</v>
      </c>
      <c r="AN31" s="4">
        <f>'Base de données indicateurs1'!AN20</f>
        <v>34064</v>
      </c>
      <c r="AO31" s="4">
        <f>'Base de données indicateurs1'!AO20</f>
        <v>599305.21</v>
      </c>
      <c r="AP31" s="4">
        <f>'Base de données indicateurs1'!AP20</f>
        <v>85150</v>
      </c>
      <c r="AQ31" s="4">
        <f>'Base de données indicateurs1'!AQ20</f>
        <v>220973</v>
      </c>
      <c r="AR31" s="4">
        <f>'Base de données indicateurs1'!AR20</f>
        <v>180610</v>
      </c>
      <c r="AS31" s="4">
        <f>'Base de données indicateurs1'!AS20</f>
        <v>178081.75</v>
      </c>
      <c r="AT31" s="4">
        <f>'Base de données indicateurs1'!AT20</f>
        <v>248187</v>
      </c>
      <c r="AU31" s="4">
        <f>'Base de données indicateurs1'!AU20</f>
        <v>76788.100000000006</v>
      </c>
      <c r="AV31" s="4">
        <f>'Base de données indicateurs1'!AV20</f>
        <v>465912.53</v>
      </c>
      <c r="AW31" s="4">
        <f>'Base de données indicateurs1'!AW20</f>
        <v>132346.01999999999</v>
      </c>
      <c r="AX31" s="4">
        <f>'Base de données indicateurs1'!AX20</f>
        <v>33410</v>
      </c>
      <c r="AY31" s="4">
        <f>'Base de données indicateurs1'!AY20</f>
        <v>185465</v>
      </c>
      <c r="AZ31" s="4">
        <f>'Base de données indicateurs1'!AZ20</f>
        <v>583142</v>
      </c>
      <c r="BA31" s="4">
        <f>'Base de données indicateurs1'!BA20</f>
        <v>31888.18</v>
      </c>
      <c r="BB31" s="4">
        <f>'Base de données indicateurs1'!BB20</f>
        <v>381525.81</v>
      </c>
      <c r="BC31" s="4">
        <f>'Base de données indicateurs1'!BC20</f>
        <v>13961</v>
      </c>
      <c r="BD31" s="4">
        <f>'Base de données indicateurs1'!BD20</f>
        <v>2988366.11</v>
      </c>
      <c r="BE31" s="4">
        <f>'Base de données indicateurs1'!BE20</f>
        <v>101119</v>
      </c>
      <c r="BF31" s="4">
        <f t="shared" si="0"/>
        <v>11751349.469999999</v>
      </c>
      <c r="BG31" s="4">
        <f t="shared" si="1"/>
        <v>2718370.25</v>
      </c>
      <c r="BH31" s="4">
        <f t="shared" si="2"/>
        <v>7914177.709999999</v>
      </c>
    </row>
    <row r="32" spans="1:60" x14ac:dyDescent="0.25">
      <c r="A32" s="114" t="s">
        <v>227</v>
      </c>
      <c r="B32" s="115" t="s">
        <v>225</v>
      </c>
      <c r="C32" s="114">
        <v>35</v>
      </c>
      <c r="D32" s="116">
        <f>'Base de données indicateurs1'!BF24</f>
        <v>2171226.4700000002</v>
      </c>
      <c r="E32" s="4">
        <f>'Base de données indicateurs1'!E24</f>
        <v>16978.75</v>
      </c>
      <c r="F32" s="4">
        <f>'Base de données indicateurs1'!F24</f>
        <v>15022.35</v>
      </c>
      <c r="G32" s="4">
        <f>'Base de données indicateurs1'!G24</f>
        <v>4842.95</v>
      </c>
      <c r="H32" s="4">
        <f>'Base de données indicateurs1'!H24</f>
        <v>0</v>
      </c>
      <c r="I32" s="4">
        <f>'Base de données indicateurs1'!I24</f>
        <v>112388</v>
      </c>
      <c r="J32" s="4">
        <f>'Base de données indicateurs1'!J24</f>
        <v>8283.2099999999991</v>
      </c>
      <c r="K32" s="4">
        <f>'Base de données indicateurs1'!K24</f>
        <v>30083.4</v>
      </c>
      <c r="L32" s="4">
        <f>'Base de données indicateurs1'!L24</f>
        <v>0</v>
      </c>
      <c r="M32" s="4">
        <f>'Base de données indicateurs1'!M24</f>
        <v>108697.49</v>
      </c>
      <c r="N32" s="4">
        <f>'Base de données indicateurs1'!N24</f>
        <v>9500</v>
      </c>
      <c r="O32" s="4">
        <f>'Base de données indicateurs1'!O24</f>
        <v>738557.5</v>
      </c>
      <c r="P32" s="4">
        <f>'Base de données indicateurs1'!P24</f>
        <v>0</v>
      </c>
      <c r="Q32" s="4">
        <f>'Base de données indicateurs1'!Q24</f>
        <v>0</v>
      </c>
      <c r="R32" s="4">
        <f>'Base de données indicateurs1'!R24</f>
        <v>-45.4</v>
      </c>
      <c r="S32" s="4">
        <f>'Base de données indicateurs1'!S24</f>
        <v>29000</v>
      </c>
      <c r="T32" s="4">
        <f>'Base de données indicateurs1'!T24</f>
        <v>0</v>
      </c>
      <c r="U32" s="4">
        <f>'Base de données indicateurs1'!U24</f>
        <v>14808.4</v>
      </c>
      <c r="V32" s="4">
        <f>'Base de données indicateurs1'!V24</f>
        <v>0</v>
      </c>
      <c r="W32" s="4">
        <f>'Base de données indicateurs1'!W24</f>
        <v>0</v>
      </c>
      <c r="X32" s="4">
        <f>'Base de données indicateurs1'!X24</f>
        <v>74767.850000000006</v>
      </c>
      <c r="Y32" s="4">
        <f>'Base de données indicateurs1'!Y24</f>
        <v>1646.6</v>
      </c>
      <c r="Z32" s="4">
        <f>'Base de données indicateurs1'!Z24</f>
        <v>64419</v>
      </c>
      <c r="AA32" s="4">
        <f>'Base de données indicateurs1'!AA24</f>
        <v>0</v>
      </c>
      <c r="AB32" s="4">
        <f>'Base de données indicateurs1'!AB24</f>
        <v>8123.55</v>
      </c>
      <c r="AC32" s="4">
        <f>'Base de données indicateurs1'!AC24</f>
        <v>5397.7</v>
      </c>
      <c r="AD32" s="4">
        <f>'Base de données indicateurs1'!AD24</f>
        <v>3500</v>
      </c>
      <c r="AE32" s="4">
        <f>'Base de données indicateurs1'!AE24</f>
        <v>5379.25</v>
      </c>
      <c r="AF32" s="4">
        <f>'Base de données indicateurs1'!AF24</f>
        <v>6081.76</v>
      </c>
      <c r="AG32" s="4">
        <f>'Base de données indicateurs1'!AG24</f>
        <v>57650.95</v>
      </c>
      <c r="AH32" s="4">
        <f>'Base de données indicateurs1'!AH24</f>
        <v>24180.25</v>
      </c>
      <c r="AI32" s="4">
        <f>'Base de données indicateurs1'!AI24</f>
        <v>15605.95</v>
      </c>
      <c r="AJ32" s="4">
        <f>'Base de données indicateurs1'!AJ24</f>
        <v>3000</v>
      </c>
      <c r="AK32" s="4">
        <f>'Base de données indicateurs1'!AK24</f>
        <v>60056.55</v>
      </c>
      <c r="AL32" s="4">
        <f>'Base de données indicateurs1'!AL24</f>
        <v>5884</v>
      </c>
      <c r="AM32" s="4">
        <f>'Base de données indicateurs1'!AM24</f>
        <v>44358.37</v>
      </c>
      <c r="AN32" s="4">
        <f>'Base de données indicateurs1'!AN24</f>
        <v>0</v>
      </c>
      <c r="AO32" s="4">
        <f>'Base de données indicateurs1'!AO24</f>
        <v>0</v>
      </c>
      <c r="AP32" s="4">
        <f>'Base de données indicateurs1'!AP24</f>
        <v>9464.7800000000007</v>
      </c>
      <c r="AQ32" s="4">
        <f>'Base de données indicateurs1'!AQ24</f>
        <v>13193</v>
      </c>
      <c r="AR32" s="4">
        <f>'Base de données indicateurs1'!AR24</f>
        <v>112767.45</v>
      </c>
      <c r="AS32" s="4">
        <f>'Base de données indicateurs1'!AS24</f>
        <v>99540</v>
      </c>
      <c r="AT32" s="4">
        <f>'Base de données indicateurs1'!AT24</f>
        <v>196054.44</v>
      </c>
      <c r="AU32" s="4">
        <f>'Base de données indicateurs1'!AU24</f>
        <v>1484.3</v>
      </c>
      <c r="AV32" s="4">
        <f>'Base de données indicateurs1'!AV24</f>
        <v>167384.66</v>
      </c>
      <c r="AW32" s="4">
        <f>'Base de données indicateurs1'!AW24</f>
        <v>13512</v>
      </c>
      <c r="AX32" s="4">
        <f>'Base de données indicateurs1'!AX24</f>
        <v>35.86</v>
      </c>
      <c r="AY32" s="4">
        <f>'Base de données indicateurs1'!AY24</f>
        <v>-310</v>
      </c>
      <c r="AZ32" s="4">
        <f>'Base de données indicateurs1'!AZ24</f>
        <v>10462.5</v>
      </c>
      <c r="BA32" s="4">
        <f>'Base de données indicateurs1'!BA24</f>
        <v>5123</v>
      </c>
      <c r="BB32" s="4">
        <f>'Base de données indicateurs1'!BB24</f>
        <v>39690.97</v>
      </c>
      <c r="BC32" s="4">
        <f>'Base de données indicateurs1'!BC24</f>
        <v>5104</v>
      </c>
      <c r="BD32" s="4">
        <f>'Base de données indicateurs1'!BD24</f>
        <v>10234.450000000001</v>
      </c>
      <c r="BE32" s="4">
        <f>'Base de données indicateurs1'!BE24</f>
        <v>19316.63</v>
      </c>
      <c r="BF32" s="4">
        <f t="shared" si="0"/>
        <v>1088116.6499999999</v>
      </c>
      <c r="BG32" s="4">
        <f t="shared" si="1"/>
        <v>269752.86000000004</v>
      </c>
      <c r="BH32" s="4">
        <f t="shared" si="2"/>
        <v>813356.96000000008</v>
      </c>
    </row>
    <row r="33" spans="1:60" x14ac:dyDescent="0.25">
      <c r="A33" s="114" t="s">
        <v>174</v>
      </c>
      <c r="B33" s="115" t="s">
        <v>226</v>
      </c>
      <c r="C33" s="114">
        <v>45</v>
      </c>
      <c r="D33" s="116">
        <f>'Base de données indicateurs1'!BF47</f>
        <v>896799.65999999992</v>
      </c>
      <c r="E33" s="4">
        <f>'Base de données indicateurs1'!E47</f>
        <v>46777.4</v>
      </c>
      <c r="F33" s="4">
        <f>'Base de données indicateurs1'!F47</f>
        <v>0</v>
      </c>
      <c r="G33" s="4">
        <f>'Base de données indicateurs1'!G47</f>
        <v>22529.05</v>
      </c>
      <c r="H33" s="4">
        <f>'Base de données indicateurs1'!H47</f>
        <v>0</v>
      </c>
      <c r="I33" s="4">
        <f>'Base de données indicateurs1'!I47</f>
        <v>58900</v>
      </c>
      <c r="J33" s="4">
        <f>'Base de données indicateurs1'!J47</f>
        <v>8198.85</v>
      </c>
      <c r="K33" s="4">
        <f>'Base de données indicateurs1'!K47</f>
        <v>130846.1</v>
      </c>
      <c r="L33" s="4">
        <f>'Base de données indicateurs1'!L47</f>
        <v>34397.550000000003</v>
      </c>
      <c r="M33" s="4">
        <f>'Base de données indicateurs1'!M47</f>
        <v>55705.49</v>
      </c>
      <c r="N33" s="4">
        <f>'Base de données indicateurs1'!N47</f>
        <v>0</v>
      </c>
      <c r="O33" s="4">
        <f>'Base de données indicateurs1'!O47</f>
        <v>25602.42</v>
      </c>
      <c r="P33" s="4">
        <f>'Base de données indicateurs1'!P47</f>
        <v>0</v>
      </c>
      <c r="Q33" s="4">
        <f>'Base de données indicateurs1'!Q47</f>
        <v>0</v>
      </c>
      <c r="R33" s="4">
        <f>'Base de données indicateurs1'!R47</f>
        <v>0</v>
      </c>
      <c r="S33" s="4">
        <f>'Base de données indicateurs1'!S47</f>
        <v>0</v>
      </c>
      <c r="T33" s="4">
        <f>'Base de données indicateurs1'!T47</f>
        <v>-1908.7</v>
      </c>
      <c r="U33" s="4">
        <f>'Base de données indicateurs1'!U47</f>
        <v>625.65</v>
      </c>
      <c r="V33" s="4">
        <f>'Base de données indicateurs1'!V47</f>
        <v>18102.8</v>
      </c>
      <c r="W33" s="4">
        <f>'Base de données indicateurs1'!W47</f>
        <v>7909.7</v>
      </c>
      <c r="X33" s="4">
        <f>'Base de données indicateurs1'!X47</f>
        <v>33663.15</v>
      </c>
      <c r="Y33" s="4">
        <f>'Base de données indicateurs1'!Y47</f>
        <v>3099.8</v>
      </c>
      <c r="Z33" s="4">
        <f>'Base de données indicateurs1'!Z47</f>
        <v>4274.6000000000004</v>
      </c>
      <c r="AA33" s="4">
        <f>'Base de données indicateurs1'!AA47</f>
        <v>-200</v>
      </c>
      <c r="AB33" s="4">
        <f>'Base de données indicateurs1'!AB47</f>
        <v>369.8</v>
      </c>
      <c r="AC33" s="4">
        <f>'Base de données indicateurs1'!AC47</f>
        <v>10317</v>
      </c>
      <c r="AD33" s="4">
        <f>'Base de données indicateurs1'!AD47</f>
        <v>0</v>
      </c>
      <c r="AE33" s="4">
        <f>'Base de données indicateurs1'!AE47</f>
        <v>1389.6</v>
      </c>
      <c r="AF33" s="4">
        <f>'Base de données indicateurs1'!AF47</f>
        <v>2606.8000000000002</v>
      </c>
      <c r="AG33" s="4">
        <f>'Base de données indicateurs1'!AG47</f>
        <v>55676.25</v>
      </c>
      <c r="AH33" s="4">
        <f>'Base de données indicateurs1'!AH47</f>
        <v>16678.900000000001</v>
      </c>
      <c r="AI33" s="4">
        <f>'Base de données indicateurs1'!AI47</f>
        <v>1190.3499999999999</v>
      </c>
      <c r="AJ33" s="4">
        <f>'Base de données indicateurs1'!AJ47</f>
        <v>3200.42</v>
      </c>
      <c r="AK33" s="4">
        <f>'Base de données indicateurs1'!AK47</f>
        <v>0</v>
      </c>
      <c r="AL33" s="4">
        <f>'Base de données indicateurs1'!AL47</f>
        <v>3862</v>
      </c>
      <c r="AM33" s="4">
        <f>'Base de données indicateurs1'!AM47</f>
        <v>134400</v>
      </c>
      <c r="AN33" s="4">
        <f>'Base de données indicateurs1'!AN47</f>
        <v>296.39999999999998</v>
      </c>
      <c r="AO33" s="4">
        <f>'Base de données indicateurs1'!AO47</f>
        <v>0</v>
      </c>
      <c r="AP33" s="4">
        <f>'Base de données indicateurs1'!AP47</f>
        <v>420</v>
      </c>
      <c r="AQ33" s="4">
        <f>'Base de données indicateurs1'!AQ47</f>
        <v>0</v>
      </c>
      <c r="AR33" s="4">
        <f>'Base de données indicateurs1'!AR47</f>
        <v>13174</v>
      </c>
      <c r="AS33" s="4">
        <f>'Base de données indicateurs1'!AS47</f>
        <v>83961.47</v>
      </c>
      <c r="AT33" s="4">
        <f>'Base de données indicateurs1'!AT47</f>
        <v>33579.46</v>
      </c>
      <c r="AU33" s="4">
        <f>'Base de données indicateurs1'!AU47</f>
        <v>3785.05</v>
      </c>
      <c r="AV33" s="4">
        <f>'Base de données indicateurs1'!AV47</f>
        <v>5953.7</v>
      </c>
      <c r="AW33" s="4">
        <f>'Base de données indicateurs1'!AW47</f>
        <v>1865.05</v>
      </c>
      <c r="AX33" s="4">
        <f>'Base de données indicateurs1'!AX47</f>
        <v>421.7</v>
      </c>
      <c r="AY33" s="4">
        <f>'Base de données indicateurs1'!AY47</f>
        <v>860.2</v>
      </c>
      <c r="AZ33" s="4">
        <f>'Base de données indicateurs1'!AZ47</f>
        <v>4606.45</v>
      </c>
      <c r="BA33" s="4">
        <f>'Base de données indicateurs1'!BA47</f>
        <v>0</v>
      </c>
      <c r="BB33" s="4">
        <f>'Base de données indicateurs1'!BB47</f>
        <v>5894.15</v>
      </c>
      <c r="BC33" s="4">
        <f>'Base de données indicateurs1'!BC47</f>
        <v>0</v>
      </c>
      <c r="BD33" s="4">
        <f>'Base de données indicateurs1'!BD47</f>
        <v>54899.05</v>
      </c>
      <c r="BE33" s="4">
        <f>'Base de données indicateurs1'!BE47</f>
        <v>8868</v>
      </c>
      <c r="BF33" s="4">
        <f t="shared" si="0"/>
        <v>407686.31</v>
      </c>
      <c r="BG33" s="4">
        <f t="shared" si="1"/>
        <v>132266.67000000001</v>
      </c>
      <c r="BH33" s="4">
        <f t="shared" si="2"/>
        <v>356846.68000000005</v>
      </c>
    </row>
    <row r="34" spans="1:60" x14ac:dyDescent="0.25">
      <c r="A34" s="114" t="s">
        <v>508</v>
      </c>
      <c r="B34" s="115" t="s">
        <v>225</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row>
    <row r="35" spans="1:60" x14ac:dyDescent="0.25">
      <c r="A35" s="114" t="s">
        <v>509</v>
      </c>
      <c r="B35" s="115" t="s">
        <v>225</v>
      </c>
      <c r="C35" s="114">
        <v>365</v>
      </c>
      <c r="D35" s="116">
        <f>'Base de données indicateurs1'!BF29</f>
        <v>20820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7400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13420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7400</v>
      </c>
      <c r="BG35" s="4">
        <f t="shared" si="1"/>
        <v>0</v>
      </c>
      <c r="BH35" s="4">
        <f t="shared" si="2"/>
        <v>13420</v>
      </c>
    </row>
    <row r="36" spans="1:60" x14ac:dyDescent="0.25">
      <c r="A36" s="114" t="s">
        <v>510</v>
      </c>
      <c r="B36" s="115" t="s">
        <v>225</v>
      </c>
      <c r="C36" s="114">
        <v>366</v>
      </c>
      <c r="D36" s="116">
        <f>'Base de données indicateurs1'!BF30</f>
        <v>20250</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15250</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5000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15250</v>
      </c>
      <c r="BG36" s="4">
        <f t="shared" si="1"/>
        <v>5000</v>
      </c>
      <c r="BH36" s="4">
        <f t="shared" si="2"/>
        <v>0</v>
      </c>
    </row>
    <row r="37" spans="1:60" x14ac:dyDescent="0.25">
      <c r="A37" s="114" t="s">
        <v>511</v>
      </c>
      <c r="B37" s="115" t="s">
        <v>225</v>
      </c>
      <c r="C37" s="114">
        <v>389</v>
      </c>
      <c r="D37" s="116">
        <f>'Base de données indicateurs1'!BF31</f>
        <v>4853037.37</v>
      </c>
      <c r="E37" s="4">
        <f>'Base de données indicateurs1'!E31</f>
        <v>0</v>
      </c>
      <c r="F37" s="4">
        <f>'Base de données indicateurs1'!F31</f>
        <v>0</v>
      </c>
      <c r="G37" s="4">
        <f>'Base de données indicateurs1'!G31</f>
        <v>0</v>
      </c>
      <c r="H37" s="4">
        <f>'Base de données indicateurs1'!H31</f>
        <v>0</v>
      </c>
      <c r="I37" s="4">
        <f>'Base de données indicateurs1'!I31</f>
        <v>470000</v>
      </c>
      <c r="J37" s="4">
        <f>'Base de données indicateurs1'!J31</f>
        <v>0</v>
      </c>
      <c r="K37" s="4">
        <f>'Base de données indicateurs1'!K31</f>
        <v>100000</v>
      </c>
      <c r="L37" s="4">
        <f>'Base de données indicateurs1'!L31</f>
        <v>0</v>
      </c>
      <c r="M37" s="4">
        <f>'Base de données indicateurs1'!M31</f>
        <v>0</v>
      </c>
      <c r="N37" s="4">
        <f>'Base de données indicateurs1'!N31</f>
        <v>0</v>
      </c>
      <c r="O37" s="4">
        <f>'Base de données indicateurs1'!O31</f>
        <v>0</v>
      </c>
      <c r="P37" s="4">
        <f>'Base de données indicateurs1'!P31</f>
        <v>0</v>
      </c>
      <c r="Q37" s="4">
        <f>'Base de données indicateurs1'!Q31</f>
        <v>0</v>
      </c>
      <c r="R37" s="4">
        <f>'Base de données indicateurs1'!R31</f>
        <v>0</v>
      </c>
      <c r="S37" s="4">
        <f>'Base de données indicateurs1'!S31</f>
        <v>23651.4</v>
      </c>
      <c r="T37" s="4">
        <f>'Base de données indicateurs1'!T31</f>
        <v>0</v>
      </c>
      <c r="U37" s="4">
        <f>'Base de données indicateurs1'!U31</f>
        <v>0</v>
      </c>
      <c r="V37" s="4">
        <f>'Base de données indicateurs1'!V31</f>
        <v>0</v>
      </c>
      <c r="W37" s="4">
        <f>'Base de données indicateurs1'!W31</f>
        <v>787113.6</v>
      </c>
      <c r="X37" s="4">
        <f>'Base de données indicateurs1'!X31</f>
        <v>21795.38</v>
      </c>
      <c r="Y37" s="4">
        <f>'Base de données indicateurs1'!Y31</f>
        <v>0</v>
      </c>
      <c r="Z37" s="4">
        <f>'Base de données indicateurs1'!Z31</f>
        <v>51438.41</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0</v>
      </c>
      <c r="AG37" s="4">
        <f>'Base de données indicateurs1'!AG31</f>
        <v>200000</v>
      </c>
      <c r="AH37" s="4">
        <f>'Base de données indicateurs1'!AH31</f>
        <v>650000</v>
      </c>
      <c r="AI37" s="4">
        <f>'Base de données indicateurs1'!AI31</f>
        <v>0</v>
      </c>
      <c r="AJ37" s="4">
        <f>'Base de données indicateurs1'!AJ31</f>
        <v>0</v>
      </c>
      <c r="AK37" s="4">
        <f>'Base de données indicateurs1'!AK31</f>
        <v>401659.89</v>
      </c>
      <c r="AL37" s="4">
        <f>'Base de données indicateurs1'!AL31</f>
        <v>32541</v>
      </c>
      <c r="AM37" s="4">
        <f>'Base de données indicateurs1'!AM31</f>
        <v>100000</v>
      </c>
      <c r="AN37" s="4">
        <f>'Base de données indicateurs1'!AN31</f>
        <v>2106.63</v>
      </c>
      <c r="AO37" s="4">
        <f>'Base de données indicateurs1'!AO31</f>
        <v>800000</v>
      </c>
      <c r="AP37" s="4">
        <f>'Base de données indicateurs1'!AP31</f>
        <v>0</v>
      </c>
      <c r="AQ37" s="4">
        <f>'Base de données indicateurs1'!AQ31</f>
        <v>0</v>
      </c>
      <c r="AR37" s="4">
        <f>'Base de données indicateurs1'!AR31</f>
        <v>270000</v>
      </c>
      <c r="AS37" s="4">
        <f>'Base de données indicateurs1'!AS31</f>
        <v>275000</v>
      </c>
      <c r="AT37" s="4">
        <f>'Base de données indicateurs1'!AT31</f>
        <v>0</v>
      </c>
      <c r="AU37" s="4">
        <f>'Base de données indicateurs1'!AU31</f>
        <v>0</v>
      </c>
      <c r="AV37" s="4">
        <f>'Base de données indicateurs1'!AV31</f>
        <v>100000</v>
      </c>
      <c r="AW37" s="4">
        <f>'Base de données indicateurs1'!AW31</f>
        <v>248757.85</v>
      </c>
      <c r="AX37" s="4">
        <f>'Base de données indicateurs1'!AX31</f>
        <v>0</v>
      </c>
      <c r="AY37" s="4">
        <f>'Base de données indicateurs1'!AY31</f>
        <v>0</v>
      </c>
      <c r="AZ37" s="4">
        <f>'Base de données indicateurs1'!AZ31</f>
        <v>200000</v>
      </c>
      <c r="BA37" s="4">
        <f>'Base de données indicateurs1'!BA31</f>
        <v>0</v>
      </c>
      <c r="BB37" s="4">
        <f>'Base de données indicateurs1'!BB31</f>
        <v>58973.21</v>
      </c>
      <c r="BC37" s="4">
        <f>'Base de données indicateurs1'!BC31</f>
        <v>0</v>
      </c>
      <c r="BD37" s="4">
        <f>'Base de données indicateurs1'!BD31</f>
        <v>0</v>
      </c>
      <c r="BE37" s="4">
        <f>'Base de données indicateurs1'!BE31</f>
        <v>60000</v>
      </c>
      <c r="BF37" s="4">
        <f t="shared" si="0"/>
        <v>1380765</v>
      </c>
      <c r="BG37" s="4">
        <f t="shared" si="1"/>
        <v>923233.79</v>
      </c>
      <c r="BH37" s="4">
        <f t="shared" si="2"/>
        <v>2549038.58</v>
      </c>
    </row>
    <row r="38" spans="1:60" x14ac:dyDescent="0.25">
      <c r="A38" s="114" t="s">
        <v>233</v>
      </c>
      <c r="B38" s="115" t="s">
        <v>226</v>
      </c>
      <c r="C38" s="114">
        <v>489</v>
      </c>
      <c r="D38" s="116">
        <f>'Base de données indicateurs1'!BF51</f>
        <v>3376992.21</v>
      </c>
      <c r="E38" s="4">
        <f>'Base de données indicateurs1'!E51</f>
        <v>0</v>
      </c>
      <c r="F38" s="4">
        <f>'Base de données indicateurs1'!F51</f>
        <v>0</v>
      </c>
      <c r="G38" s="4">
        <f>'Base de données indicateurs1'!G51</f>
        <v>0</v>
      </c>
      <c r="H38" s="4">
        <f>'Base de données indicateurs1'!H51</f>
        <v>0</v>
      </c>
      <c r="I38" s="4">
        <f>'Base de données indicateurs1'!I51</f>
        <v>0</v>
      </c>
      <c r="J38" s="4">
        <f>'Base de données indicateurs1'!J51</f>
        <v>2944.95</v>
      </c>
      <c r="K38" s="4">
        <f>'Base de données indicateurs1'!K51</f>
        <v>0</v>
      </c>
      <c r="L38" s="4">
        <f>'Base de données indicateurs1'!L51</f>
        <v>1310000</v>
      </c>
      <c r="M38" s="4">
        <f>'Base de données indicateurs1'!M51</f>
        <v>0</v>
      </c>
      <c r="N38" s="4">
        <f>'Base de données indicateurs1'!N51</f>
        <v>0</v>
      </c>
      <c r="O38" s="4">
        <f>'Base de données indicateurs1'!O51</f>
        <v>0</v>
      </c>
      <c r="P38" s="4">
        <f>'Base de données indicateurs1'!P51</f>
        <v>0</v>
      </c>
      <c r="Q38" s="4">
        <f>'Base de données indicateurs1'!Q51</f>
        <v>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130000</v>
      </c>
      <c r="AD38" s="4">
        <f>'Base de données indicateurs1'!AD51</f>
        <v>0</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35000</v>
      </c>
      <c r="AM38" s="4">
        <f>'Base de données indicateurs1'!AM51</f>
        <v>18062.259999999998</v>
      </c>
      <c r="AN38" s="4">
        <f>'Base de données indicateurs1'!AN51</f>
        <v>5985</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100000</v>
      </c>
      <c r="AU38" s="4">
        <f>'Base de données indicateurs1'!AU51</f>
        <v>775000</v>
      </c>
      <c r="AV38" s="4">
        <f>'Base de données indicateurs1'!AV51</f>
        <v>0</v>
      </c>
      <c r="AW38" s="4">
        <f>'Base de données indicateurs1'!AW51</f>
        <v>0</v>
      </c>
      <c r="AX38" s="4">
        <f>'Base de données indicateurs1'!AX51</f>
        <v>0</v>
      </c>
      <c r="AY38" s="4">
        <f>'Base de données indicateurs1'!AY51</f>
        <v>0</v>
      </c>
      <c r="AZ38" s="4">
        <f>'Base de données indicateurs1'!AZ51</f>
        <v>0</v>
      </c>
      <c r="BA38" s="4">
        <f>'Base de données indicateurs1'!BA51</f>
        <v>0</v>
      </c>
      <c r="BB38" s="4">
        <f>'Base de données indicateurs1'!BB51</f>
        <v>0</v>
      </c>
      <c r="BC38" s="4">
        <f>'Base de données indicateurs1'!BC51</f>
        <v>0</v>
      </c>
      <c r="BD38" s="4">
        <f>'Base de données indicateurs1'!BD51</f>
        <v>1000000</v>
      </c>
      <c r="BE38" s="4">
        <f>'Base de données indicateurs1'!BE51</f>
        <v>0</v>
      </c>
      <c r="BF38" s="4">
        <f t="shared" si="0"/>
        <v>1312944.95</v>
      </c>
      <c r="BG38" s="4">
        <f t="shared" si="1"/>
        <v>130000</v>
      </c>
      <c r="BH38" s="4">
        <f t="shared" si="2"/>
        <v>1934047.26</v>
      </c>
    </row>
    <row r="39" spans="1:60" x14ac:dyDescent="0.25">
      <c r="A39" s="114" t="s">
        <v>512</v>
      </c>
      <c r="B39" s="115" t="s">
        <v>226</v>
      </c>
      <c r="C39" s="114">
        <v>4490</v>
      </c>
      <c r="D39" s="116">
        <f>'Base de données indicateurs1'!BF46</f>
        <v>716906</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850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1458</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0</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714598</v>
      </c>
      <c r="BE39" s="4">
        <f>'Base de données indicateurs1'!BE46</f>
        <v>0</v>
      </c>
      <c r="BF39" s="4">
        <f t="shared" si="0"/>
        <v>850</v>
      </c>
      <c r="BG39" s="4">
        <f t="shared" si="1"/>
        <v>0</v>
      </c>
      <c r="BH39" s="4">
        <f t="shared" si="2"/>
        <v>716056</v>
      </c>
    </row>
    <row r="40" spans="1:60" ht="15.75" thickBot="1" x14ac:dyDescent="0.3">
      <c r="B40" s="121"/>
      <c r="D40" s="4"/>
      <c r="BF40" s="4"/>
      <c r="BG40" s="4"/>
      <c r="BH40" s="4"/>
    </row>
    <row r="41" spans="1:60" ht="15.75" thickBot="1" x14ac:dyDescent="0.3">
      <c r="A41" s="7" t="s">
        <v>513</v>
      </c>
      <c r="B41" s="64"/>
      <c r="C41" s="7"/>
      <c r="D41" s="120">
        <f>SUM(D30:D32,D34:D37)-SUM(D33,D38:D39)</f>
        <v>26807544.799999997</v>
      </c>
      <c r="E41" s="144">
        <f>SUM(E30:E32,E34:E37)-SUM(E33,E38:E39)</f>
        <v>94706.91</v>
      </c>
      <c r="F41" s="129">
        <f t="shared" ref="F41:BE41" si="6">SUM(F30:F32,F34:F37)-SUM(F33,F38:F39)</f>
        <v>48899.03</v>
      </c>
      <c r="G41" s="129">
        <f t="shared" si="6"/>
        <v>-36646.30000000001</v>
      </c>
      <c r="H41" s="129">
        <f t="shared" si="6"/>
        <v>83101.33</v>
      </c>
      <c r="I41" s="129">
        <f t="shared" si="6"/>
        <v>1519690</v>
      </c>
      <c r="J41" s="129">
        <f t="shared" si="6"/>
        <v>1383163.64</v>
      </c>
      <c r="K41" s="129">
        <f t="shared" si="6"/>
        <v>612446.94000000006</v>
      </c>
      <c r="L41" s="129">
        <f t="shared" si="6"/>
        <v>730866.04999999958</v>
      </c>
      <c r="M41" s="129">
        <f t="shared" si="6"/>
        <v>577330.07000000007</v>
      </c>
      <c r="N41" s="129">
        <f t="shared" si="6"/>
        <v>47174.29</v>
      </c>
      <c r="O41" s="129">
        <f t="shared" si="6"/>
        <v>2657075.1500000004</v>
      </c>
      <c r="P41" s="129">
        <f t="shared" si="6"/>
        <v>111432.7</v>
      </c>
      <c r="Q41" s="129">
        <f t="shared" si="6"/>
        <v>-13517.060000000001</v>
      </c>
      <c r="R41" s="129">
        <f t="shared" si="6"/>
        <v>128421.27</v>
      </c>
      <c r="S41" s="129">
        <f t="shared" si="6"/>
        <v>23997.229999999989</v>
      </c>
      <c r="T41" s="129">
        <f t="shared" si="6"/>
        <v>428659.8</v>
      </c>
      <c r="U41" s="129">
        <f t="shared" si="6"/>
        <v>39591.539999999994</v>
      </c>
      <c r="V41" s="129">
        <f t="shared" si="6"/>
        <v>-176839.61999999997</v>
      </c>
      <c r="W41" s="129">
        <f t="shared" si="6"/>
        <v>1790710.52</v>
      </c>
      <c r="X41" s="129">
        <f t="shared" si="6"/>
        <v>242105.08</v>
      </c>
      <c r="Y41" s="129">
        <f t="shared" si="6"/>
        <v>1907089.9100000001</v>
      </c>
      <c r="Z41" s="129">
        <f t="shared" si="6"/>
        <v>1391229.3599999999</v>
      </c>
      <c r="AA41" s="129">
        <f t="shared" si="6"/>
        <v>62173.11</v>
      </c>
      <c r="AB41" s="129">
        <f t="shared" si="6"/>
        <v>-25602.739999999998</v>
      </c>
      <c r="AC41" s="129">
        <f t="shared" si="6"/>
        <v>-237001.88</v>
      </c>
      <c r="AD41" s="129">
        <f t="shared" si="6"/>
        <v>193252.77</v>
      </c>
      <c r="AE41" s="129">
        <f t="shared" si="6"/>
        <v>1259.4700000000071</v>
      </c>
      <c r="AF41" s="129">
        <f t="shared" si="6"/>
        <v>-68961.530000000028</v>
      </c>
      <c r="AG41" s="129">
        <f t="shared" si="6"/>
        <v>1583096.49</v>
      </c>
      <c r="AH41" s="129">
        <f t="shared" si="6"/>
        <v>1454373.33</v>
      </c>
      <c r="AI41" s="129">
        <f t="shared" si="6"/>
        <v>105011.49999999999</v>
      </c>
      <c r="AJ41" s="129">
        <f t="shared" si="6"/>
        <v>48031.8</v>
      </c>
      <c r="AK41" s="129">
        <f t="shared" si="6"/>
        <v>1587700.44</v>
      </c>
      <c r="AL41" s="129">
        <f t="shared" si="6"/>
        <v>409090</v>
      </c>
      <c r="AM41" s="129">
        <f t="shared" si="6"/>
        <v>357901.44999999995</v>
      </c>
      <c r="AN41" s="129">
        <f t="shared" si="6"/>
        <v>36118.969999999994</v>
      </c>
      <c r="AO41" s="129">
        <f t="shared" si="6"/>
        <v>1582605.26</v>
      </c>
      <c r="AP41" s="129">
        <f t="shared" si="6"/>
        <v>294500.44000000006</v>
      </c>
      <c r="AQ41" s="129">
        <f t="shared" si="6"/>
        <v>267147</v>
      </c>
      <c r="AR41" s="129">
        <f t="shared" si="6"/>
        <v>559842.39</v>
      </c>
      <c r="AS41" s="129">
        <f t="shared" si="6"/>
        <v>501228.54000000004</v>
      </c>
      <c r="AT41" s="129">
        <f t="shared" si="6"/>
        <v>262573.99</v>
      </c>
      <c r="AU41" s="129">
        <f t="shared" si="6"/>
        <v>-652677.78</v>
      </c>
      <c r="AV41" s="129">
        <f t="shared" si="6"/>
        <v>842520.29000000015</v>
      </c>
      <c r="AW41" s="129">
        <f t="shared" si="6"/>
        <v>451120.22000000003</v>
      </c>
      <c r="AX41" s="129">
        <f t="shared" si="6"/>
        <v>-17550.759999999998</v>
      </c>
      <c r="AY41" s="129">
        <f t="shared" si="6"/>
        <v>88780.56</v>
      </c>
      <c r="AZ41" s="129">
        <f t="shared" si="6"/>
        <v>844453.94000000006</v>
      </c>
      <c r="BA41" s="129">
        <f t="shared" si="6"/>
        <v>14489.59</v>
      </c>
      <c r="BB41" s="129">
        <f t="shared" si="6"/>
        <v>487593.17</v>
      </c>
      <c r="BC41" s="129">
        <f t="shared" si="6"/>
        <v>65621.279999999999</v>
      </c>
      <c r="BD41" s="129">
        <f t="shared" si="6"/>
        <v>1880440.14</v>
      </c>
      <c r="BE41" s="129">
        <f t="shared" si="6"/>
        <v>237725.51</v>
      </c>
      <c r="BF41" s="4">
        <f t="shared" si="0"/>
        <v>10050263.49</v>
      </c>
      <c r="BG41" s="4">
        <f t="shared" si="1"/>
        <v>6656056.6699999999</v>
      </c>
      <c r="BH41" s="4">
        <f t="shared" si="2"/>
        <v>10101224.640000001</v>
      </c>
    </row>
    <row r="42" spans="1:60" x14ac:dyDescent="0.25">
      <c r="B42" s="121"/>
      <c r="D42" s="4"/>
      <c r="BF42" s="4"/>
      <c r="BG42" s="4"/>
      <c r="BH42" s="4"/>
    </row>
    <row r="43" spans="1:60" x14ac:dyDescent="0.25">
      <c r="A43" s="111" t="s">
        <v>514</v>
      </c>
      <c r="B43" s="112" t="s">
        <v>225</v>
      </c>
      <c r="C43" s="111">
        <v>690</v>
      </c>
      <c r="D43" s="113">
        <f>'Base de données indicateurs1'!BF58</f>
        <v>55119412.039999984</v>
      </c>
      <c r="E43" s="4">
        <f>'Base de données indicateurs1'!E58</f>
        <v>1817467.61</v>
      </c>
      <c r="F43" s="4">
        <f>'Base de données indicateurs1'!F58</f>
        <v>350105.49</v>
      </c>
      <c r="G43" s="4">
        <f>'Base de données indicateurs1'!G58</f>
        <v>303230.01</v>
      </c>
      <c r="H43" s="4">
        <f>'Base de données indicateurs1'!H58</f>
        <v>122282.8</v>
      </c>
      <c r="I43" s="4">
        <f>'Base de données indicateurs1'!I58</f>
        <v>574124.02</v>
      </c>
      <c r="J43" s="4">
        <f>'Base de données indicateurs1'!J58</f>
        <v>1847431.14</v>
      </c>
      <c r="K43" s="4">
        <f>'Base de données indicateurs1'!K58</f>
        <v>1006228.34</v>
      </c>
      <c r="L43" s="4">
        <f>'Base de données indicateurs1'!L58</f>
        <v>13702597.810000001</v>
      </c>
      <c r="M43" s="4">
        <f>'Base de données indicateurs1'!M58</f>
        <v>966348.19</v>
      </c>
      <c r="N43" s="4">
        <f>'Base de données indicateurs1'!N58</f>
        <v>41267.75</v>
      </c>
      <c r="O43" s="4">
        <f>'Base de données indicateurs1'!O58</f>
        <v>3552900.5</v>
      </c>
      <c r="P43" s="4">
        <f>'Base de données indicateurs1'!P58</f>
        <v>135435.99</v>
      </c>
      <c r="Q43" s="4">
        <f>'Base de données indicateurs1'!Q58</f>
        <v>2137</v>
      </c>
      <c r="R43" s="4">
        <f>'Base de données indicateurs1'!R58</f>
        <v>35597.1</v>
      </c>
      <c r="S43" s="4">
        <f>'Base de données indicateurs1'!S58</f>
        <v>12586.05</v>
      </c>
      <c r="T43" s="4">
        <f>'Base de données indicateurs1'!T58</f>
        <v>246921.63</v>
      </c>
      <c r="U43" s="4">
        <f>'Base de données indicateurs1'!U58</f>
        <v>475208.2</v>
      </c>
      <c r="V43" s="4">
        <v>217980.51</v>
      </c>
      <c r="W43" s="4">
        <f>'Base de données indicateurs1'!W58</f>
        <v>3657738.51</v>
      </c>
      <c r="X43" s="4">
        <f>'Base de données indicateurs1'!X58</f>
        <v>120441.4</v>
      </c>
      <c r="Y43" s="4">
        <f>'Base de données indicateurs1'!Y58</f>
        <v>1082163</v>
      </c>
      <c r="Z43" s="4">
        <f>'Base de données indicateurs1'!Z58</f>
        <v>449610.71</v>
      </c>
      <c r="AA43" s="4">
        <f>'Base de données indicateurs1'!AA58</f>
        <v>195639.65</v>
      </c>
      <c r="AB43" s="4">
        <f>'Base de données indicateurs1'!AB58</f>
        <v>651324.15</v>
      </c>
      <c r="AC43" s="4">
        <f>'Base de données indicateurs1'!AC58</f>
        <v>758577.75</v>
      </c>
      <c r="AD43" s="4">
        <f>'Base de données indicateurs1'!AD58</f>
        <v>236241.6</v>
      </c>
      <c r="AE43" s="4">
        <f>'Base de données indicateurs1'!AE58</f>
        <v>560601.35</v>
      </c>
      <c r="AF43" s="4">
        <f>'Base de données indicateurs1'!AF58</f>
        <v>592880.19999999995</v>
      </c>
      <c r="AG43" s="4">
        <f>'Base de données indicateurs1'!AG58</f>
        <v>1120256.05</v>
      </c>
      <c r="AH43" s="4">
        <f>'Base de données indicateurs1'!AH58</f>
        <v>482214.3</v>
      </c>
      <c r="AI43" s="4">
        <f>'Base de données indicateurs1'!AI58</f>
        <v>208776.05</v>
      </c>
      <c r="AJ43" s="4">
        <f>'Base de données indicateurs1'!AJ58</f>
        <v>228249.65</v>
      </c>
      <c r="AK43" s="4">
        <f>'Base de données indicateurs1'!AK58</f>
        <v>2587328.1</v>
      </c>
      <c r="AL43" s="4">
        <f>'Base de données indicateurs1'!AL58</f>
        <v>607952.1</v>
      </c>
      <c r="AM43" s="4">
        <f>'Base de données indicateurs1'!AM58</f>
        <v>359831.66</v>
      </c>
      <c r="AN43" s="4">
        <f>'Base de données indicateurs1'!AN58</f>
        <v>15191.1</v>
      </c>
      <c r="AO43" s="4">
        <f>'Base de données indicateurs1'!AO58</f>
        <v>1300821.51</v>
      </c>
      <c r="AP43" s="4">
        <f>'Base de données indicateurs1'!AP58</f>
        <v>407340.9</v>
      </c>
      <c r="AQ43" s="4">
        <f>'Base de données indicateurs1'!AQ58</f>
        <v>529522</v>
      </c>
      <c r="AR43" s="4">
        <f>'Base de données indicateurs1'!AR58</f>
        <v>2561966.7000000002</v>
      </c>
      <c r="AS43" s="4">
        <f>'Base de données indicateurs1'!AS58</f>
        <v>190136.45</v>
      </c>
      <c r="AT43" s="4">
        <f>'Base de données indicateurs1'!AT58</f>
        <v>1378844.35</v>
      </c>
      <c r="AU43" s="4">
        <f>'Base de données indicateurs1'!AU58</f>
        <v>69113</v>
      </c>
      <c r="AV43" s="4">
        <f>'Base de données indicateurs1'!AV58</f>
        <v>611861.4</v>
      </c>
      <c r="AW43" s="4">
        <f>'Base de données indicateurs1'!AW58</f>
        <v>342404.75</v>
      </c>
      <c r="AX43" s="4">
        <f>'Base de données indicateurs1'!AX58</f>
        <v>0</v>
      </c>
      <c r="AY43" s="4">
        <f>'Base de données indicateurs1'!AY58</f>
        <v>24663.3</v>
      </c>
      <c r="AZ43" s="4">
        <f>'Base de données indicateurs1'!AZ58</f>
        <v>17061.55</v>
      </c>
      <c r="BA43" s="4">
        <f>'Base de données indicateurs1'!BA58</f>
        <v>722496</v>
      </c>
      <c r="BB43" s="4">
        <f>'Base de données indicateurs1'!BB58</f>
        <v>1057290.32</v>
      </c>
      <c r="BC43" s="4">
        <f>'Base de données indicateurs1'!BC58</f>
        <v>72697.2</v>
      </c>
      <c r="BD43" s="4">
        <f>'Base de données indicateurs1'!BD58</f>
        <v>6553486.2199999997</v>
      </c>
      <c r="BE43" s="4">
        <f>'Base de données indicateurs1'!BE58</f>
        <v>104880.05</v>
      </c>
      <c r="BF43" s="4">
        <f t="shared" si="0"/>
        <v>29067588.649999999</v>
      </c>
      <c r="BG43" s="4">
        <f t="shared" si="1"/>
        <v>6686975.8599999994</v>
      </c>
      <c r="BH43" s="4">
        <f t="shared" si="2"/>
        <v>19514888.660000004</v>
      </c>
    </row>
    <row r="44" spans="1:60" x14ac:dyDescent="0.25">
      <c r="A44" s="114" t="s">
        <v>515</v>
      </c>
      <c r="B44" s="115" t="s">
        <v>226</v>
      </c>
      <c r="C44" s="114">
        <v>590</v>
      </c>
      <c r="D44" s="116">
        <f>'Base de données indicateurs1'!BF61</f>
        <v>16057375.180000002</v>
      </c>
      <c r="E44" s="4">
        <f>'Base de données indicateurs1'!E61</f>
        <v>320010.90000000002</v>
      </c>
      <c r="F44" s="4">
        <f>'Base de données indicateurs1'!F61</f>
        <v>202473.55</v>
      </c>
      <c r="G44" s="4">
        <f>'Base de données indicateurs1'!G61</f>
        <v>243621.8</v>
      </c>
      <c r="H44" s="4">
        <f>'Base de données indicateurs1'!H61</f>
        <v>0</v>
      </c>
      <c r="I44" s="4">
        <f>'Base de données indicateurs1'!I61</f>
        <v>144993.79999999999</v>
      </c>
      <c r="J44" s="4">
        <f>'Base de données indicateurs1'!J61</f>
        <v>1305025.21</v>
      </c>
      <c r="K44" s="4">
        <f>'Base de données indicateurs1'!K61</f>
        <v>390647.25</v>
      </c>
      <c r="L44" s="4">
        <f>'Base de données indicateurs1'!L61</f>
        <v>1561026.7</v>
      </c>
      <c r="M44" s="4">
        <f>'Base de données indicateurs1'!M61</f>
        <v>170087.9</v>
      </c>
      <c r="N44" s="4">
        <f>'Base de données indicateurs1'!N61</f>
        <v>0</v>
      </c>
      <c r="O44" s="4">
        <f>'Base de données indicateurs1'!O61</f>
        <v>668476.35</v>
      </c>
      <c r="P44" s="4">
        <f>'Base de données indicateurs1'!P61</f>
        <v>13158.1</v>
      </c>
      <c r="Q44" s="4">
        <f>'Base de données indicateurs1'!Q61</f>
        <v>0</v>
      </c>
      <c r="R44" s="4">
        <f>'Base de données indicateurs1'!R61</f>
        <v>0</v>
      </c>
      <c r="S44" s="4">
        <f>'Base de données indicateurs1'!S61</f>
        <v>83953</v>
      </c>
      <c r="T44" s="4">
        <f>'Base de données indicateurs1'!T61</f>
        <v>0</v>
      </c>
      <c r="U44" s="4">
        <f>'Base de données indicateurs1'!U61</f>
        <v>406138.5</v>
      </c>
      <c r="V44" s="4">
        <v>312999.09999999998</v>
      </c>
      <c r="W44" s="4">
        <f>'Base de données indicateurs1'!W61</f>
        <v>1476429.1</v>
      </c>
      <c r="X44" s="4">
        <f>'Base de données indicateurs1'!X61</f>
        <v>60000</v>
      </c>
      <c r="Y44" s="4">
        <f>'Base de données indicateurs1'!Y61</f>
        <v>712474.95</v>
      </c>
      <c r="Z44" s="4">
        <f>'Base de données indicateurs1'!Z61</f>
        <v>0</v>
      </c>
      <c r="AA44" s="4">
        <f>'Base de données indicateurs1'!AA61</f>
        <v>14730</v>
      </c>
      <c r="AB44" s="4">
        <f>'Base de données indicateurs1'!AB61</f>
        <v>220439</v>
      </c>
      <c r="AC44" s="4">
        <f>'Base de données indicateurs1'!AC61</f>
        <v>148468.4</v>
      </c>
      <c r="AD44" s="4">
        <f>'Base de données indicateurs1'!AD61</f>
        <v>388199.1</v>
      </c>
      <c r="AE44" s="4">
        <f>'Base de données indicateurs1'!AE61</f>
        <v>515846.5</v>
      </c>
      <c r="AF44" s="4">
        <f>'Base de données indicateurs1'!AF61</f>
        <v>216238</v>
      </c>
      <c r="AG44" s="4">
        <f>'Base de données indicateurs1'!AG61</f>
        <v>109279.25</v>
      </c>
      <c r="AH44" s="4">
        <f>'Base de données indicateurs1'!AH61</f>
        <v>40614</v>
      </c>
      <c r="AI44" s="4">
        <f>'Base de données indicateurs1'!AI61</f>
        <v>96348.43</v>
      </c>
      <c r="AJ44" s="4">
        <f>'Base de données indicateurs1'!AJ61</f>
        <v>204729</v>
      </c>
      <c r="AK44" s="4">
        <f>'Base de données indicateurs1'!AK61</f>
        <v>1039322.15</v>
      </c>
      <c r="AL44" s="4">
        <f>'Base de données indicateurs1'!AL61</f>
        <v>286701.09999999998</v>
      </c>
      <c r="AM44" s="4">
        <f>'Base de données indicateurs1'!AM61</f>
        <v>139977</v>
      </c>
      <c r="AN44" s="4">
        <f>'Base de données indicateurs1'!AN61</f>
        <v>744467.39</v>
      </c>
      <c r="AO44" s="4">
        <f>'Base de données indicateurs1'!AO61</f>
        <v>88171.45</v>
      </c>
      <c r="AP44" s="4">
        <f>'Base de données indicateurs1'!AP61</f>
        <v>97134.65</v>
      </c>
      <c r="AQ44" s="4">
        <f>'Base de données indicateurs1'!AQ61</f>
        <v>10889</v>
      </c>
      <c r="AR44" s="4">
        <f>'Base de données indicateurs1'!AR61</f>
        <v>692740.3</v>
      </c>
      <c r="AS44" s="4">
        <f>'Base de données indicateurs1'!AS61</f>
        <v>77000</v>
      </c>
      <c r="AT44" s="4">
        <f>'Base de données indicateurs1'!AT61</f>
        <v>206000</v>
      </c>
      <c r="AU44" s="4">
        <f>'Base de données indicateurs1'!AU61</f>
        <v>188423.5</v>
      </c>
      <c r="AV44" s="4">
        <f>'Base de données indicateurs1'!AV61</f>
        <v>27500</v>
      </c>
      <c r="AW44" s="4">
        <f>'Base de données indicateurs1'!AW61</f>
        <v>0</v>
      </c>
      <c r="AX44" s="4">
        <f>'Base de données indicateurs1'!AX61</f>
        <v>0</v>
      </c>
      <c r="AY44" s="4">
        <f>'Base de données indicateurs1'!AY61</f>
        <v>13795</v>
      </c>
      <c r="AZ44" s="4">
        <f>'Base de données indicateurs1'!AZ61</f>
        <v>4852.3500000000004</v>
      </c>
      <c r="BA44" s="4">
        <f>'Base de données indicateurs1'!BA61</f>
        <v>160000</v>
      </c>
      <c r="BB44" s="4">
        <f>'Base de données indicateurs1'!BB61</f>
        <v>9142</v>
      </c>
      <c r="BC44" s="4">
        <f>'Base de données indicateurs1'!BC61</f>
        <v>0</v>
      </c>
      <c r="BD44" s="4">
        <f>'Base de données indicateurs1'!BD61</f>
        <v>2529747.5</v>
      </c>
      <c r="BE44" s="4">
        <f>'Base de données indicateurs1'!BE61</f>
        <v>0</v>
      </c>
      <c r="BF44" s="4">
        <f t="shared" si="0"/>
        <v>7299041.2599999998</v>
      </c>
      <c r="BG44" s="4">
        <f t="shared" si="1"/>
        <v>2727366.63</v>
      </c>
      <c r="BH44" s="4">
        <f t="shared" si="2"/>
        <v>6315863.3900000006</v>
      </c>
    </row>
    <row r="45" spans="1:60" ht="15.75" thickBot="1" x14ac:dyDescent="0.3">
      <c r="B45" s="110"/>
      <c r="D45" s="4"/>
      <c r="BF45" s="4"/>
      <c r="BG45" s="4"/>
      <c r="BH45" s="4"/>
    </row>
    <row r="46" spans="1:60" ht="15.75" thickBot="1" x14ac:dyDescent="0.3">
      <c r="A46" s="7" t="s">
        <v>221</v>
      </c>
      <c r="B46" s="125"/>
      <c r="C46" s="7"/>
      <c r="D46" s="120">
        <f>D43-D44</f>
        <v>39062036.859999985</v>
      </c>
      <c r="E46" s="4">
        <f>E43-E44</f>
        <v>1497456.71</v>
      </c>
      <c r="F46" s="4">
        <f t="shared" ref="F46:BE46" si="7">F43-F44</f>
        <v>147631.94</v>
      </c>
      <c r="G46" s="4">
        <f t="shared" si="7"/>
        <v>59608.210000000021</v>
      </c>
      <c r="H46" s="4">
        <f t="shared" si="7"/>
        <v>122282.8</v>
      </c>
      <c r="I46" s="4">
        <f t="shared" si="7"/>
        <v>429130.22000000003</v>
      </c>
      <c r="J46" s="4">
        <f t="shared" si="7"/>
        <v>542405.92999999993</v>
      </c>
      <c r="K46" s="4">
        <f t="shared" si="7"/>
        <v>615581.09</v>
      </c>
      <c r="L46" s="4">
        <f t="shared" si="7"/>
        <v>12141571.110000001</v>
      </c>
      <c r="M46" s="4">
        <f t="shared" si="7"/>
        <v>796260.28999999992</v>
      </c>
      <c r="N46" s="4">
        <f t="shared" si="7"/>
        <v>41267.75</v>
      </c>
      <c r="O46" s="4">
        <f t="shared" si="7"/>
        <v>2884424.15</v>
      </c>
      <c r="P46" s="4">
        <f t="shared" si="7"/>
        <v>122277.88999999998</v>
      </c>
      <c r="Q46" s="4">
        <f t="shared" si="7"/>
        <v>2137</v>
      </c>
      <c r="R46" s="4">
        <f t="shared" si="7"/>
        <v>35597.1</v>
      </c>
      <c r="S46" s="4">
        <f t="shared" si="7"/>
        <v>-71366.95</v>
      </c>
      <c r="T46" s="4">
        <f t="shared" si="7"/>
        <v>246921.63</v>
      </c>
      <c r="U46" s="4">
        <f t="shared" si="7"/>
        <v>69069.700000000012</v>
      </c>
      <c r="V46" s="4">
        <f t="shared" si="7"/>
        <v>-95018.589999999967</v>
      </c>
      <c r="W46" s="4">
        <f t="shared" si="7"/>
        <v>2181309.4099999997</v>
      </c>
      <c r="X46" s="4">
        <f t="shared" si="7"/>
        <v>60441.399999999994</v>
      </c>
      <c r="Y46" s="4">
        <f t="shared" si="7"/>
        <v>369688.05000000005</v>
      </c>
      <c r="Z46" s="4">
        <f t="shared" si="7"/>
        <v>449610.71</v>
      </c>
      <c r="AA46" s="4">
        <f t="shared" si="7"/>
        <v>180909.65</v>
      </c>
      <c r="AB46" s="4">
        <f t="shared" si="7"/>
        <v>430885.15</v>
      </c>
      <c r="AC46" s="4">
        <f t="shared" si="7"/>
        <v>610109.35</v>
      </c>
      <c r="AD46" s="4">
        <f t="shared" si="7"/>
        <v>-151957.49999999997</v>
      </c>
      <c r="AE46" s="4">
        <f t="shared" si="7"/>
        <v>44754.849999999977</v>
      </c>
      <c r="AF46" s="4">
        <f t="shared" si="7"/>
        <v>376642.19999999995</v>
      </c>
      <c r="AG46" s="4">
        <f t="shared" si="7"/>
        <v>1010976.8</v>
      </c>
      <c r="AH46" s="4">
        <f t="shared" si="7"/>
        <v>441600.3</v>
      </c>
      <c r="AI46" s="4">
        <f t="shared" si="7"/>
        <v>112427.62</v>
      </c>
      <c r="AJ46" s="4">
        <f t="shared" si="7"/>
        <v>23520.649999999994</v>
      </c>
      <c r="AK46" s="4">
        <f t="shared" si="7"/>
        <v>1548005.9500000002</v>
      </c>
      <c r="AL46" s="4">
        <f t="shared" si="7"/>
        <v>321251</v>
      </c>
      <c r="AM46" s="4">
        <f t="shared" si="7"/>
        <v>219854.65999999997</v>
      </c>
      <c r="AN46" s="4">
        <f t="shared" si="7"/>
        <v>-729276.29</v>
      </c>
      <c r="AO46" s="4">
        <f t="shared" si="7"/>
        <v>1212650.06</v>
      </c>
      <c r="AP46" s="4">
        <f t="shared" si="7"/>
        <v>310206.25</v>
      </c>
      <c r="AQ46" s="4">
        <f t="shared" si="7"/>
        <v>518633</v>
      </c>
      <c r="AR46" s="4">
        <f t="shared" si="7"/>
        <v>1869226.4000000001</v>
      </c>
      <c r="AS46" s="4">
        <f t="shared" si="7"/>
        <v>113136.45000000001</v>
      </c>
      <c r="AT46" s="4">
        <f t="shared" si="7"/>
        <v>1172844.3500000001</v>
      </c>
      <c r="AU46" s="4">
        <f t="shared" si="7"/>
        <v>-119310.5</v>
      </c>
      <c r="AV46" s="4">
        <f t="shared" si="7"/>
        <v>584361.4</v>
      </c>
      <c r="AW46" s="4">
        <f t="shared" si="7"/>
        <v>342404.75</v>
      </c>
      <c r="AX46" s="4">
        <f t="shared" si="7"/>
        <v>0</v>
      </c>
      <c r="AY46" s="4">
        <f t="shared" si="7"/>
        <v>10868.3</v>
      </c>
      <c r="AZ46" s="4">
        <f t="shared" si="7"/>
        <v>12209.199999999999</v>
      </c>
      <c r="BA46" s="4">
        <f t="shared" si="7"/>
        <v>562496</v>
      </c>
      <c r="BB46" s="4">
        <f t="shared" si="7"/>
        <v>1048148.3200000001</v>
      </c>
      <c r="BC46" s="4">
        <f t="shared" si="7"/>
        <v>72697.2</v>
      </c>
      <c r="BD46" s="4">
        <f t="shared" si="7"/>
        <v>4023738.7199999997</v>
      </c>
      <c r="BE46" s="4">
        <f t="shared" si="7"/>
        <v>104880.05</v>
      </c>
      <c r="BF46" s="4">
        <f t="shared" si="0"/>
        <v>21768547.390000001</v>
      </c>
      <c r="BG46" s="4">
        <f t="shared" si="1"/>
        <v>3959609.23</v>
      </c>
      <c r="BH46" s="4">
        <f t="shared" si="2"/>
        <v>13199025.27</v>
      </c>
    </row>
    <row r="47" spans="1:60" ht="15.75" thickBot="1" x14ac:dyDescent="0.3">
      <c r="B47" s="110"/>
      <c r="D47" s="4"/>
      <c r="BF47" s="4"/>
      <c r="BG47" s="4"/>
      <c r="BH47" s="4"/>
    </row>
    <row r="48" spans="1:60" ht="15.75" thickBot="1" x14ac:dyDescent="0.3">
      <c r="A48" s="7" t="s">
        <v>516</v>
      </c>
      <c r="B48" s="125"/>
      <c r="C48" s="7"/>
      <c r="D48" s="120">
        <f>IF(D46&lt;&gt;0,D41/D46,"")*100</f>
        <v>68.628128369443161</v>
      </c>
      <c r="E48" s="143">
        <f>IF(E46&lt;&gt;0,E41/E46,"")*100</f>
        <v>6.3245173878849563</v>
      </c>
      <c r="F48" s="126">
        <f t="shared" ref="F48:BH48" si="8">IF(F46&lt;&gt;0,F41/F46,"")*100</f>
        <v>33.122256606531082</v>
      </c>
      <c r="G48" s="126">
        <f t="shared" si="8"/>
        <v>-61.478611754991462</v>
      </c>
      <c r="H48" s="126">
        <f t="shared" si="8"/>
        <v>67.958314660769943</v>
      </c>
      <c r="I48" s="126">
        <f t="shared" si="8"/>
        <v>354.13259872492779</v>
      </c>
      <c r="J48" s="126">
        <f t="shared" si="8"/>
        <v>255.005257778063</v>
      </c>
      <c r="K48" s="126">
        <f t="shared" si="8"/>
        <v>99.490863177749674</v>
      </c>
      <c r="L48" s="126">
        <f t="shared" si="8"/>
        <v>6.0195344027433659</v>
      </c>
      <c r="M48" s="126">
        <f t="shared" si="8"/>
        <v>72.505194249985777</v>
      </c>
      <c r="N48" s="126">
        <f t="shared" si="8"/>
        <v>114.31272603909832</v>
      </c>
      <c r="O48" s="126">
        <f>IF(O46&lt;&gt;0,O41/O46,"")*100</f>
        <v>92.118045468451669</v>
      </c>
      <c r="P48" s="126">
        <f t="shared" si="8"/>
        <v>91.130702369823368</v>
      </c>
      <c r="Q48" s="126">
        <f t="shared" si="8"/>
        <v>-632.52503509592896</v>
      </c>
      <c r="R48" s="126">
        <f t="shared" si="8"/>
        <v>360.76329251540159</v>
      </c>
      <c r="S48" s="126">
        <f t="shared" si="8"/>
        <v>-33.62513039999606</v>
      </c>
      <c r="T48" s="126">
        <f t="shared" si="8"/>
        <v>173.60155932876353</v>
      </c>
      <c r="U48" s="126">
        <f t="shared" si="8"/>
        <v>57.321140818622332</v>
      </c>
      <c r="V48" s="126">
        <f t="shared" si="8"/>
        <v>186.11054952509824</v>
      </c>
      <c r="W48" s="126">
        <f t="shared" si="8"/>
        <v>82.093375281409536</v>
      </c>
      <c r="X48" s="126">
        <f t="shared" si="8"/>
        <v>400.56166799577773</v>
      </c>
      <c r="Y48" s="126">
        <f t="shared" si="8"/>
        <v>515.86463506191228</v>
      </c>
      <c r="Z48" s="126">
        <f>IF(Z46&lt;&gt;0,Z41/Z46,"")*100</f>
        <v>309.42976425094497</v>
      </c>
      <c r="AA48" s="126">
        <f t="shared" si="8"/>
        <v>34.366939519257265</v>
      </c>
      <c r="AB48" s="126">
        <f t="shared" si="8"/>
        <v>-5.941894261150563</v>
      </c>
      <c r="AC48" s="126">
        <f t="shared" si="8"/>
        <v>-38.845803625202599</v>
      </c>
      <c r="AD48" s="126">
        <f t="shared" si="8"/>
        <v>-127.17553921326687</v>
      </c>
      <c r="AE48" s="126">
        <f t="shared" si="8"/>
        <v>2.8141531029598084</v>
      </c>
      <c r="AF48" s="126">
        <f t="shared" si="8"/>
        <v>-18.309560107709661</v>
      </c>
      <c r="AG48" s="126">
        <f t="shared" si="8"/>
        <v>156.59078328998251</v>
      </c>
      <c r="AH48" s="126">
        <f t="shared" si="8"/>
        <v>329.34156294730781</v>
      </c>
      <c r="AI48" s="126">
        <f t="shared" si="8"/>
        <v>93.40364938793509</v>
      </c>
      <c r="AJ48" s="126">
        <f t="shared" si="8"/>
        <v>204.21119314304673</v>
      </c>
      <c r="AK48" s="126">
        <f t="shared" si="8"/>
        <v>102.56423368398551</v>
      </c>
      <c r="AL48" s="126">
        <f t="shared" si="8"/>
        <v>127.34279426367546</v>
      </c>
      <c r="AM48" s="126">
        <f t="shared" si="8"/>
        <v>162.79002228108334</v>
      </c>
      <c r="AN48" s="126">
        <f t="shared" si="8"/>
        <v>-4.9527141489818609</v>
      </c>
      <c r="AO48" s="126">
        <f t="shared" si="8"/>
        <v>130.50799337774328</v>
      </c>
      <c r="AP48" s="126">
        <f t="shared" si="8"/>
        <v>94.936978220135813</v>
      </c>
      <c r="AQ48" s="126">
        <f t="shared" si="8"/>
        <v>51.50983450725272</v>
      </c>
      <c r="AR48" s="126">
        <f t="shared" si="8"/>
        <v>29.950485933646132</v>
      </c>
      <c r="AS48" s="126">
        <f t="shared" si="8"/>
        <v>443.03011098545164</v>
      </c>
      <c r="AT48" s="126">
        <f t="shared" si="8"/>
        <v>22.387795106827259</v>
      </c>
      <c r="AU48" s="126">
        <f t="shared" si="8"/>
        <v>547.04135847222176</v>
      </c>
      <c r="AV48" s="126">
        <f t="shared" si="8"/>
        <v>144.17795049433454</v>
      </c>
      <c r="AW48" s="126">
        <f t="shared" si="8"/>
        <v>131.75057296956308</v>
      </c>
      <c r="AX48" s="126" t="e">
        <f t="shared" si="8"/>
        <v>#VALUE!</v>
      </c>
      <c r="AY48" s="126">
        <f t="shared" si="8"/>
        <v>816.8762363939162</v>
      </c>
      <c r="AZ48" s="126">
        <f t="shared" si="8"/>
        <v>6916.5378566982281</v>
      </c>
      <c r="BA48" s="126">
        <f t="shared" si="8"/>
        <v>2.5759454289452726</v>
      </c>
      <c r="BB48" s="126">
        <f t="shared" si="8"/>
        <v>46.519482090091977</v>
      </c>
      <c r="BC48" s="126">
        <f t="shared" si="8"/>
        <v>90.266585232993847</v>
      </c>
      <c r="BD48" s="126">
        <f t="shared" si="8"/>
        <v>46.733654216991503</v>
      </c>
      <c r="BE48" s="126">
        <f t="shared" si="8"/>
        <v>226.66418446596853</v>
      </c>
      <c r="BF48" s="126">
        <f t="shared" si="8"/>
        <v>46.168737444634793</v>
      </c>
      <c r="BG48" s="126">
        <f t="shared" si="8"/>
        <v>168.0988270148062</v>
      </c>
      <c r="BH48" s="126">
        <f t="shared" si="8"/>
        <v>76.530080315544396</v>
      </c>
    </row>
    <row r="49" spans="1:2" x14ac:dyDescent="0.25">
      <c r="A49" s="123" t="s">
        <v>517</v>
      </c>
      <c r="B49" s="110"/>
    </row>
    <row r="50" spans="1:2" x14ac:dyDescent="0.25">
      <c r="B50" s="110"/>
    </row>
  </sheetData>
  <mergeCells count="1">
    <mergeCell ref="A8:D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zoomScaleNormal="100" workbookViewId="0">
      <selection activeCell="BE40" sqref="BE4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5" spans="1:60" x14ac:dyDescent="0.25">
      <c r="B5" s="156"/>
    </row>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t="str">
        <f>'4.1 Comptes 2021 natures'!BG2</f>
        <v>ct</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
      <c r="BG30" s="4"/>
      <c r="BH30" s="4"/>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12" activePane="bottomRight" state="frozen"/>
      <selection pane="topRight" activeCell="E1" sqref="E1"/>
      <selection pane="bottomLeft" activeCell="A12" sqref="A12"/>
      <selection pane="bottomRight" activeCell="D26" sqref="D26"/>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
      <c r="BG31" s="4"/>
      <c r="BH31" s="4"/>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9"/>
  <sheetViews>
    <sheetView workbookViewId="0">
      <pane xSplit="4" ySplit="11" topLeftCell="E34" activePane="bottomRight" state="frozen"/>
      <selection pane="topRight" activeCell="E1" sqref="E1"/>
      <selection pane="bottomLeft" activeCell="A12" sqref="A12"/>
      <selection pane="bottomRight" activeCell="C48" sqref="C48"/>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thickBot="1" x14ac:dyDescent="0.3">
      <c r="B16" s="121"/>
      <c r="D16" s="4"/>
      <c r="BF16" s="4"/>
      <c r="BG16" s="4"/>
      <c r="BH16" s="4"/>
    </row>
    <row r="17" spans="1:60" ht="15.75"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0" ht="15.75" thickBot="1" x14ac:dyDescent="0.3">
      <c r="A18" s="123"/>
      <c r="B18" s="121"/>
      <c r="D18" s="4"/>
      <c r="BF18" s="4"/>
      <c r="BG18" s="4"/>
      <c r="BH18" s="4"/>
    </row>
    <row r="19" spans="1:60" ht="15.75"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0" x14ac:dyDescent="0.25">
      <c r="A20" s="123" t="s">
        <v>545</v>
      </c>
      <c r="B20" s="121"/>
      <c r="D20" s="4"/>
      <c r="BF20" s="4"/>
      <c r="BG20" s="4"/>
      <c r="BH20" s="4"/>
    </row>
    <row r="21" spans="1:60" x14ac:dyDescent="0.25">
      <c r="A21" s="123"/>
      <c r="B21" s="121"/>
      <c r="D21" s="4"/>
      <c r="BF21" s="4"/>
      <c r="BG21" s="4"/>
      <c r="BH21" s="4"/>
    </row>
    <row r="22" spans="1:60" x14ac:dyDescent="0.25">
      <c r="A22" s="7" t="s">
        <v>546</v>
      </c>
      <c r="B22" s="110"/>
      <c r="C22" s="65" t="s">
        <v>496</v>
      </c>
      <c r="D22" s="128" t="s">
        <v>497</v>
      </c>
      <c r="BF22" s="4"/>
      <c r="BG22" s="4"/>
      <c r="BH22" s="4"/>
    </row>
    <row r="23" spans="1:60" ht="15.75" thickBot="1" x14ac:dyDescent="0.3">
      <c r="B23" s="110"/>
      <c r="D23" s="4"/>
      <c r="BF23" s="4"/>
      <c r="BG23" s="4"/>
      <c r="BH23" s="4"/>
    </row>
    <row r="24" spans="1:60" ht="15.75" thickBot="1" x14ac:dyDescent="0.3">
      <c r="A24" s="7" t="s">
        <v>547</v>
      </c>
      <c r="D24" s="120">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A25" s="7"/>
      <c r="D25" s="4"/>
      <c r="BF25" s="4"/>
      <c r="BG25" s="4"/>
      <c r="BH25" s="4"/>
    </row>
    <row r="26" spans="1:60" ht="15.75"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row>
    <row r="27" spans="1:60" ht="15.75" thickBot="1" x14ac:dyDescent="0.3">
      <c r="A27" s="7"/>
      <c r="D27" s="4"/>
      <c r="BF27" s="4"/>
      <c r="BG27" s="4"/>
      <c r="BH27" s="4"/>
    </row>
    <row r="28" spans="1:60" ht="15.75" thickBot="1" x14ac:dyDescent="0.3">
      <c r="A28" s="7" t="s">
        <v>548</v>
      </c>
      <c r="D28" s="120">
        <f>IF(D26&lt;&gt;0,D24/D26,"")*100</f>
        <v>7.4116388127881354</v>
      </c>
      <c r="E28" s="144">
        <f>IF(E26&lt;&gt;0,E24/E26,"")*100</f>
        <v>3.8116824937548004</v>
      </c>
      <c r="F28" s="129">
        <f t="shared" ref="F28:BH28" si="6">IF(F26&lt;&gt;0,F24/F26,"")*100</f>
        <v>4.7387482103117939</v>
      </c>
      <c r="G28" s="129">
        <f t="shared" si="6"/>
        <v>-2.3877662923057339</v>
      </c>
      <c r="H28" s="129">
        <f t="shared" si="6"/>
        <v>4.2849444960067586</v>
      </c>
      <c r="I28" s="129">
        <f t="shared" si="6"/>
        <v>9.768621569453769</v>
      </c>
      <c r="J28" s="129">
        <f t="shared" si="6"/>
        <v>10.281045420739494</v>
      </c>
      <c r="K28" s="129">
        <f t="shared" si="6"/>
        <v>5.9217098990906782</v>
      </c>
      <c r="L28" s="129">
        <f t="shared" si="6"/>
        <v>0.74670384242260235</v>
      </c>
      <c r="M28" s="129">
        <f t="shared" si="6"/>
        <v>7.5209109907606857</v>
      </c>
      <c r="N28" s="129">
        <f t="shared" si="6"/>
        <v>9.1101568857320778</v>
      </c>
      <c r="O28" s="129">
        <f t="shared" si="6"/>
        <v>9.7415339044175457</v>
      </c>
      <c r="P28" s="129">
        <f t="shared" si="6"/>
        <v>6.0037470706513512</v>
      </c>
      <c r="Q28" s="129">
        <f t="shared" si="6"/>
        <v>-3.21201139124316</v>
      </c>
      <c r="R28" s="129">
        <f t="shared" si="6"/>
        <v>13.334393747379576</v>
      </c>
      <c r="S28" s="129">
        <f t="shared" si="6"/>
        <v>2.8665771004792586</v>
      </c>
      <c r="T28" s="129">
        <f t="shared" si="6"/>
        <v>14.200202301133489</v>
      </c>
      <c r="U28" s="129">
        <f t="shared" si="6"/>
        <v>4.1846741672967651</v>
      </c>
      <c r="V28" s="129">
        <f t="shared" si="6"/>
        <v>-8.1936659869717907</v>
      </c>
      <c r="W28" s="129">
        <f t="shared" si="6"/>
        <v>14.286016885500469</v>
      </c>
      <c r="X28" s="129">
        <f t="shared" si="6"/>
        <v>29.439457257236946</v>
      </c>
      <c r="Y28" s="129">
        <f t="shared" si="6"/>
        <v>25.364288153637983</v>
      </c>
      <c r="Z28" s="129">
        <f t="shared" si="6"/>
        <v>12.622905279336694</v>
      </c>
      <c r="AA28" s="129">
        <f t="shared" si="6"/>
        <v>12.905247467381061</v>
      </c>
      <c r="AB28" s="129">
        <f t="shared" si="6"/>
        <v>-3.7541168246743655</v>
      </c>
      <c r="AC28" s="129">
        <f t="shared" si="6"/>
        <v>-21.580616265758756</v>
      </c>
      <c r="AD28" s="129">
        <f t="shared" si="6"/>
        <v>5.7647557502629283</v>
      </c>
      <c r="AE28" s="129">
        <f t="shared" si="6"/>
        <v>5.1151253908940639E-2</v>
      </c>
      <c r="AF28" s="129">
        <f t="shared" si="6"/>
        <v>-2.5528983148964572</v>
      </c>
      <c r="AG28" s="129">
        <f t="shared" si="6"/>
        <v>16.266854660724878</v>
      </c>
      <c r="AH28" s="129">
        <f t="shared" si="6"/>
        <v>11.472886701072632</v>
      </c>
      <c r="AI28" s="129">
        <f t="shared" si="6"/>
        <v>9.6292632550609785</v>
      </c>
      <c r="AJ28" s="129">
        <f t="shared" si="6"/>
        <v>6.7063654287098124</v>
      </c>
      <c r="AK28" s="129">
        <f t="shared" si="6"/>
        <v>27.408232616335006</v>
      </c>
      <c r="AL28" s="129">
        <f t="shared" si="6"/>
        <v>7.3257193652631001</v>
      </c>
      <c r="AM28" s="129">
        <f t="shared" si="6"/>
        <v>6.6133161765500423</v>
      </c>
      <c r="AN28" s="129">
        <f t="shared" si="6"/>
        <v>10.7330106483892</v>
      </c>
      <c r="AO28" s="129">
        <f t="shared" si="6"/>
        <v>16.828898617111705</v>
      </c>
      <c r="AP28" s="129">
        <f t="shared" si="6"/>
        <v>7.5884951525113262</v>
      </c>
      <c r="AQ28" s="129">
        <f t="shared" si="6"/>
        <v>15.367778098642512</v>
      </c>
      <c r="AR28" s="129">
        <f t="shared" si="6"/>
        <v>17.479264638012214</v>
      </c>
      <c r="AS28" s="129">
        <f t="shared" si="6"/>
        <v>30.939130751037474</v>
      </c>
      <c r="AT28" s="129">
        <f t="shared" si="6"/>
        <v>10.777379708567366</v>
      </c>
      <c r="AU28" s="129">
        <f t="shared" si="6"/>
        <v>132.69461144558551</v>
      </c>
      <c r="AV28" s="129">
        <f t="shared" si="6"/>
        <v>9.9042838265167443</v>
      </c>
      <c r="AW28" s="129">
        <f t="shared" si="6"/>
        <v>13.580218609021802</v>
      </c>
      <c r="AX28" s="129">
        <f t="shared" si="6"/>
        <v>-2.7138907536952348</v>
      </c>
      <c r="AY28" s="129">
        <f t="shared" si="6"/>
        <v>9.7898082541743712</v>
      </c>
      <c r="AZ28" s="129">
        <f t="shared" si="6"/>
        <v>16.674639073004894</v>
      </c>
      <c r="BA28" s="129">
        <f t="shared" si="6"/>
        <v>0.83508331655675128</v>
      </c>
      <c r="BB28" s="129">
        <f t="shared" si="6"/>
        <v>14.4671149592699</v>
      </c>
      <c r="BC28" s="129">
        <f t="shared" si="6"/>
        <v>8.7003066659065205</v>
      </c>
      <c r="BD28" s="129">
        <f t="shared" si="6"/>
        <v>4.8008594684639228</v>
      </c>
      <c r="BE28" s="129">
        <f t="shared" si="6"/>
        <v>9.4295697870005064</v>
      </c>
      <c r="BF28" s="129">
        <f t="shared" si="6"/>
        <v>4.9648785255982215</v>
      </c>
      <c r="BG28" s="129">
        <f t="shared" si="6"/>
        <v>12.245326085019567</v>
      </c>
      <c r="BH28" s="129">
        <f t="shared" si="6"/>
        <v>9.6282680844755095</v>
      </c>
    </row>
    <row r="29" spans="1:60" x14ac:dyDescent="0.25">
      <c r="A29" s="123" t="s">
        <v>549</v>
      </c>
      <c r="D29" s="126"/>
      <c r="BF29" s="4"/>
      <c r="BG29" s="4"/>
      <c r="BH29" s="4"/>
    </row>
    <row r="30" spans="1:60" x14ac:dyDescent="0.25">
      <c r="D30" s="4"/>
      <c r="BF30" s="4"/>
      <c r="BG30" s="4"/>
      <c r="BH30" s="4"/>
    </row>
    <row r="31" spans="1:60" x14ac:dyDescent="0.25">
      <c r="A31" s="7" t="s">
        <v>550</v>
      </c>
      <c r="C31" s="65" t="s">
        <v>496</v>
      </c>
      <c r="D31" s="128" t="s">
        <v>497</v>
      </c>
      <c r="BF31" s="4"/>
      <c r="BG31" s="4"/>
      <c r="BH31" s="4"/>
    </row>
    <row r="32" spans="1:60" x14ac:dyDescent="0.25">
      <c r="D32" s="4"/>
      <c r="BF32" s="4"/>
      <c r="BG32" s="4"/>
      <c r="BH32" s="4"/>
    </row>
    <row r="33" spans="1:60"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thickBot="1" x14ac:dyDescent="0.3">
      <c r="A39" s="117"/>
      <c r="B39" s="118"/>
      <c r="C39" s="117"/>
      <c r="D39" s="119"/>
      <c r="BF39" s="4"/>
      <c r="BG39" s="4"/>
      <c r="BH39" s="4"/>
    </row>
    <row r="40" spans="1:60" ht="15.75"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x14ac:dyDescent="0.25">
      <c r="A41" s="7"/>
      <c r="B41" s="64"/>
      <c r="C41" s="7"/>
      <c r="D41" s="129"/>
      <c r="BF41" s="4"/>
      <c r="BG41" s="4"/>
      <c r="BH41" s="4"/>
    </row>
    <row r="42" spans="1:60"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thickBot="1" x14ac:dyDescent="0.3">
      <c r="A45" s="7"/>
      <c r="B45" s="64"/>
      <c r="C45" s="7"/>
      <c r="D45" s="129"/>
      <c r="BF45" s="4"/>
      <c r="BG45" s="4"/>
      <c r="BH45" s="4"/>
    </row>
    <row r="46" spans="1:60" ht="15.75"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thickBot="1" x14ac:dyDescent="0.3">
      <c r="B47" s="121"/>
      <c r="D47" s="4"/>
      <c r="BF47" s="4"/>
      <c r="BG47" s="4"/>
      <c r="BH47" s="4"/>
    </row>
    <row r="48" spans="1:60" ht="15.75"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x14ac:dyDescent="0.25">
      <c r="A49" s="123" t="s">
        <v>560</v>
      </c>
      <c r="B49" s="121"/>
      <c r="D49" s="4"/>
    </row>
  </sheetData>
  <mergeCells count="1">
    <mergeCell ref="A8:D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pane="topRight" activeCell="E1" sqref="E1"/>
      <selection pane="bottomLeft" activeCell="A12" sqref="A12"/>
      <selection pane="bottomRight" activeCell="AL12" sqref="AL12"/>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d''auto.'!D22</f>
        <v>208536320.98000005</v>
      </c>
      <c r="E16" s="4">
        <f>'Endett. net + degré d''auto.'!E22</f>
        <v>2189303.0499999998</v>
      </c>
      <c r="F16" s="4">
        <f>'Endett. net + degré d''auto.'!F22</f>
        <v>610136.36</v>
      </c>
      <c r="G16" s="4">
        <f>'Endett. net + degré d''auto.'!G22</f>
        <v>1040314.23</v>
      </c>
      <c r="H16" s="4">
        <f>'Endett. net + degré d''auto.'!H22</f>
        <v>1029374.9800000001</v>
      </c>
      <c r="I16" s="4">
        <f>'Endett. net + degré d''auto.'!I22</f>
        <v>9291327</v>
      </c>
      <c r="J16" s="4">
        <f>'Endett. net + degré d''auto.'!J22</f>
        <v>8165639.3100000005</v>
      </c>
      <c r="K16" s="4">
        <f>'Endett. net + degré d''auto.'!K22</f>
        <v>6395226.0199999996</v>
      </c>
      <c r="L16" s="4">
        <f>'Endett. net + degré d''auto.'!L22</f>
        <v>36068022.380000003</v>
      </c>
      <c r="M16" s="4">
        <f>'Endett. net + degré d''auto.'!M22</f>
        <v>3247663.14</v>
      </c>
      <c r="N16" s="4">
        <f>'Endett. net + degré d''auto.'!N22</f>
        <v>298310.25</v>
      </c>
      <c r="O16" s="4">
        <f>'Endett. net + degré d''auto.'!O22</f>
        <v>17762847.550000001</v>
      </c>
      <c r="P16" s="4">
        <f>'Endett. net + degré d''auto.'!P22</f>
        <v>1254894.6000000001</v>
      </c>
      <c r="Q16" s="4">
        <f>'Endett. net + degré d''auto.'!Q22</f>
        <v>246461.07</v>
      </c>
      <c r="R16" s="4">
        <f>'Endett. net + degré d''auto.'!R22</f>
        <v>1100218.17</v>
      </c>
      <c r="S16" s="4">
        <f>'Endett. net + degré d''auto.'!S22</f>
        <v>905850.08000000007</v>
      </c>
      <c r="T16" s="4">
        <f>'Endett. net + degré d''auto.'!T22</f>
        <v>1865532.07</v>
      </c>
      <c r="U16" s="4">
        <f>'Endett. net + degré d''auto.'!U22</f>
        <v>581570.65</v>
      </c>
      <c r="V16" s="4">
        <f>'Endett. net + degré d''auto.'!V22</f>
        <v>1056354.0999999999</v>
      </c>
      <c r="W16" s="4">
        <f>'Endett. net + degré d''auto.'!W22</f>
        <v>8591757</v>
      </c>
      <c r="X16" s="4">
        <f>'Endett. net + degré d''auto.'!X22</f>
        <v>740985.22</v>
      </c>
      <c r="Y16" s="4">
        <f>'Endett. net + degré d''auto.'!Y22</f>
        <v>5198106.78</v>
      </c>
      <c r="Z16" s="4">
        <f>'Endett. net + degré d''auto.'!Z22</f>
        <v>4168240.76</v>
      </c>
      <c r="AA16" s="4">
        <f>'Endett. net + degré d''auto.'!AA22</f>
        <v>293067.2</v>
      </c>
      <c r="AB16" s="4">
        <f>'Endett. net + degré d''auto.'!AB22</f>
        <v>341401.15</v>
      </c>
      <c r="AC16" s="4">
        <f>'Endett. net + degré d''auto.'!AC22</f>
        <v>1244121.76</v>
      </c>
      <c r="AD16" s="4">
        <f>'Endett. net + degré d''auto.'!AD22</f>
        <v>1790769.06</v>
      </c>
      <c r="AE16" s="4">
        <f>'Endett. net + degré d''auto.'!AE22</f>
        <v>1325986.49</v>
      </c>
      <c r="AF16" s="4">
        <f>'Endett. net + degré d''auto.'!AF22</f>
        <v>1242880.27</v>
      </c>
      <c r="AG16" s="4">
        <f>'Endett. net + degré d''auto.'!AG22</f>
        <v>5983844.1299999999</v>
      </c>
      <c r="AH16" s="4">
        <f>'Endett. net + degré d''auto.'!AH22</f>
        <v>7226944.0300000003</v>
      </c>
      <c r="AI16" s="4">
        <f>'Endett. net + degré d''auto.'!AI22</f>
        <v>589642.55000000005</v>
      </c>
      <c r="AJ16" s="4">
        <f>'Endett. net + degré d''auto.'!AJ22</f>
        <v>302295.84999999998</v>
      </c>
      <c r="AK16" s="4">
        <f>'Endett. net + degré d''auto.'!AK22</f>
        <v>5452789.1000000006</v>
      </c>
      <c r="AL16" s="4">
        <f>'Endett. net + degré d''auto.'!AL22</f>
        <v>2145311</v>
      </c>
      <c r="AM16" s="4">
        <f>'Endett. net + degré d''auto.'!AM22</f>
        <v>3295917.04</v>
      </c>
      <c r="AN16" s="4">
        <f>'Endett. net + degré d''auto.'!AN22</f>
        <v>341618.96</v>
      </c>
      <c r="AO16" s="4">
        <f>'Endett. net + degré d''auto.'!AO22</f>
        <v>6983350.1500000004</v>
      </c>
      <c r="AP16" s="4">
        <f>'Endett. net + degré d''auto.'!AP22</f>
        <v>1649131.02</v>
      </c>
      <c r="AQ16" s="4">
        <f>'Endett. net + degré d''auto.'!AQ22</f>
        <v>1531960</v>
      </c>
      <c r="AR16" s="4">
        <f>'Endett. net + degré d''auto.'!AR22</f>
        <v>3220725.05</v>
      </c>
      <c r="AS16" s="4">
        <f>'Endett. net + degré d''auto.'!AS22</f>
        <v>2203666.16</v>
      </c>
      <c r="AT16" s="4">
        <f>'Endett. net + degré d''auto.'!AT22</f>
        <v>2504899</v>
      </c>
      <c r="AU16" s="4">
        <f>'Endett. net + degré d''auto.'!AU22</f>
        <v>145690.48000000001</v>
      </c>
      <c r="AV16" s="4">
        <f>'Endett. net + degré d''auto.'!AV22</f>
        <v>5895265.6999999993</v>
      </c>
      <c r="AW16" s="4">
        <f>'Endett. net + degré d''auto.'!AW22</f>
        <v>2191442.75</v>
      </c>
      <c r="AX16" s="4">
        <f>'Endett. net + degré d''auto.'!AX22</f>
        <v>380880.77</v>
      </c>
      <c r="AY16" s="4">
        <f>'Endett. net + degré d''auto.'!AY22</f>
        <v>869565.15</v>
      </c>
      <c r="AZ16" s="4">
        <f>'Endett. net + degré d''auto.'!AZ22</f>
        <v>5025160.41</v>
      </c>
      <c r="BA16" s="4">
        <f>'Endett. net + degré d''auto.'!BA22</f>
        <v>795196.5</v>
      </c>
      <c r="BB16" s="4">
        <f>'Endett. net + degré d''auto.'!BB22</f>
        <v>2972819.77</v>
      </c>
      <c r="BC16" s="4">
        <f>'Endett. net + degré d''auto.'!BC22</f>
        <v>483934.76</v>
      </c>
      <c r="BD16" s="4">
        <f>'Endett. net + degré d''auto.'!BD22</f>
        <v>18951080.050000001</v>
      </c>
      <c r="BE16" s="4">
        <f>'Endett. net + degré d''auto.'!BE22</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48.368462681219789</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E11" activePane="bottomRight" state="frozen"/>
      <selection pane="topRight" activeCell="E1" sqref="E1"/>
      <selection pane="bottomLeft" activeCell="A11" sqref="A11"/>
      <selection pane="bottomRight" activeCell="E15" sqref="E15:E43"/>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5" t="s">
        <v>494</v>
      </c>
      <c r="B8" s="225"/>
      <c r="C8" s="225"/>
      <c r="D8" s="225"/>
    </row>
    <row r="9" spans="1:60" ht="15.75" thickBot="1" x14ac:dyDescent="0.3"/>
    <row r="10" spans="1:60" ht="15.75" thickBot="1" x14ac:dyDescent="0.3">
      <c r="A10" s="226" t="s">
        <v>566</v>
      </c>
      <c r="B10" s="227"/>
      <c r="C10" s="227"/>
      <c r="D10" s="228"/>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t="str">
        <f>'4.1 Comptes 2021 natures'!BG2</f>
        <v>ct</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d''auto.'!D15</f>
        <v>286149057.75</v>
      </c>
      <c r="E17" s="4">
        <f>'Endett. net + degré d''auto.'!E15</f>
        <v>4381758.7100000009</v>
      </c>
      <c r="F17" s="4">
        <f>'Endett. net + degré d''auto.'!F15</f>
        <v>1334174.0200000003</v>
      </c>
      <c r="G17" s="4">
        <f>'Endett. net + degré d''auto.'!G15</f>
        <v>2494295.2999999998</v>
      </c>
      <c r="H17" s="4">
        <f>'Endett. net + degré d''auto.'!H15</f>
        <v>153665.83999999985</v>
      </c>
      <c r="I17" s="4">
        <f>'Endett. net + degré d''auto.'!I15</f>
        <v>9596524</v>
      </c>
      <c r="J17" s="4">
        <f>'Endett. net + degré d''auto.'!J15</f>
        <v>16136631.519999998</v>
      </c>
      <c r="K17" s="4">
        <f>'Endett. net + degré d''auto.'!K15</f>
        <v>613443.49000000022</v>
      </c>
      <c r="L17" s="4">
        <f>'Endett. net + degré d''auto.'!L15</f>
        <v>95429893.099999994</v>
      </c>
      <c r="M17" s="4">
        <f>'Endett. net + degré d''auto.'!M15</f>
        <v>3276821.49</v>
      </c>
      <c r="N17" s="4">
        <f>'Endett. net + degré d''auto.'!N15</f>
        <v>657021.74</v>
      </c>
      <c r="O17" s="4">
        <f>'Endett. net + degré d''auto.'!O15</f>
        <v>27130950.969999999</v>
      </c>
      <c r="P17" s="4">
        <f>'Endett. net + degré d''auto.'!P15</f>
        <v>1159598.6800000002</v>
      </c>
      <c r="Q17" s="4">
        <f>'Endett. net + degré d''auto.'!Q15</f>
        <v>41207.310000000056</v>
      </c>
      <c r="R17" s="4">
        <f>'Endett. net + degré d''auto.'!R15</f>
        <v>1753942.15</v>
      </c>
      <c r="S17" s="4">
        <f>'Endett. net + degré d''auto.'!S15</f>
        <v>1749151.46</v>
      </c>
      <c r="T17" s="4">
        <f>'Endett. net + degré d''auto.'!T15</f>
        <v>-208385.77000000048</v>
      </c>
      <c r="U17" s="4">
        <f>'Endett. net + degré d''auto.'!U15</f>
        <v>295523.72000000009</v>
      </c>
      <c r="V17" s="4">
        <f>'Endett. net + degré d''auto.'!V15</f>
        <v>1952635.5100000002</v>
      </c>
      <c r="W17" s="4">
        <f>'Endett. net + degré d''auto.'!W15</f>
        <v>10826918.77</v>
      </c>
      <c r="X17" s="4">
        <f>'Endett. net + degré d''auto.'!X15</f>
        <v>-1258764</v>
      </c>
      <c r="Y17" s="4">
        <f>'Endett. net + degré d''auto.'!Y15</f>
        <v>6440242.959999999</v>
      </c>
      <c r="Z17" s="4">
        <f>'Endett. net + degré d''auto.'!Z15</f>
        <v>-10380295.780000001</v>
      </c>
      <c r="AA17" s="4">
        <f>'Endett. net + degré d''auto.'!AA15</f>
        <v>74018.900000000023</v>
      </c>
      <c r="AB17" s="4">
        <f>'Endett. net + degré d''auto.'!AB15</f>
        <v>-323523.37000000011</v>
      </c>
      <c r="AC17" s="4">
        <f>'Endett. net + degré d''auto.'!AC15</f>
        <v>1349453.5100000002</v>
      </c>
      <c r="AD17" s="4">
        <f>'Endett. net + degré d''auto.'!AD15</f>
        <v>4615930.29</v>
      </c>
      <c r="AE17" s="4">
        <f>'Endett. net + degré d''auto.'!AE15</f>
        <v>1426544.4700000002</v>
      </c>
      <c r="AF17" s="4">
        <f>'Endett. net + degré d''auto.'!AF15</f>
        <v>-2814009.3600000003</v>
      </c>
      <c r="AG17" s="4">
        <f>'Endett. net + degré d''auto.'!AG15</f>
        <v>-1433431.5899999999</v>
      </c>
      <c r="AH17" s="4">
        <f>'Endett. net + degré d''auto.'!AH15</f>
        <v>8313209.2299999986</v>
      </c>
      <c r="AI17" s="4">
        <f>'Endett. net + degré d''auto.'!AI15</f>
        <v>-88268.130000000121</v>
      </c>
      <c r="AJ17" s="4">
        <f>'Endett. net + degré d''auto.'!AJ15</f>
        <v>-1005628.1900000002</v>
      </c>
      <c r="AK17" s="4">
        <f>'Endett. net + degré d''auto.'!AK15</f>
        <v>12776514.859999999</v>
      </c>
      <c r="AL17" s="4">
        <f>'Endett. net + degré d''auto.'!AL15</f>
        <v>4295688.82</v>
      </c>
      <c r="AM17" s="4">
        <f>'Endett. net + degré d''auto.'!AM15</f>
        <v>6419097.7300000004</v>
      </c>
      <c r="AN17" s="4">
        <f>'Endett. net + degré d''auto.'!AN15</f>
        <v>-68973.139999999898</v>
      </c>
      <c r="AO17" s="4">
        <f>'Endett. net + degré d''auto.'!AO15</f>
        <v>-4253300.6400000006</v>
      </c>
      <c r="AP17" s="4">
        <f>'Endett. net + degré d''auto.'!AP15</f>
        <v>1394899.9900000002</v>
      </c>
      <c r="AQ17" s="4">
        <f>'Endett. net + degré d''auto.'!AQ15</f>
        <v>1260355</v>
      </c>
      <c r="AR17" s="4">
        <f>'Endett. net + degré d''auto.'!AR15</f>
        <v>-309867.81000000052</v>
      </c>
      <c r="AS17" s="4">
        <f>'Endett. net + degré d''auto.'!AS15</f>
        <v>3086864.3400000003</v>
      </c>
      <c r="AT17" s="4">
        <f>'Endett. net + degré d''auto.'!AT15</f>
        <v>5096750.43</v>
      </c>
      <c r="AU17" s="4">
        <f>'Endett. net + degré d''auto.'!AU15</f>
        <v>-1089984.3500000001</v>
      </c>
      <c r="AV17" s="4">
        <f>'Endett. net + degré d''auto.'!AV15</f>
        <v>7718740.75</v>
      </c>
      <c r="AW17" s="4">
        <f>'Endett. net + degré d''auto.'!AW15</f>
        <v>2805265.74</v>
      </c>
      <c r="AX17" s="4">
        <f>'Endett. net + degré d''auto.'!AX15</f>
        <v>178999</v>
      </c>
      <c r="AY17" s="4">
        <f>'Endett. net + degré d''auto.'!AY15</f>
        <v>-637335.58999999985</v>
      </c>
      <c r="AZ17" s="4">
        <f>'Endett. net + degré d''auto.'!AZ15</f>
        <v>15312974.43</v>
      </c>
      <c r="BA17" s="4">
        <f>'Endett. net + degré d''auto.'!BA15</f>
        <v>-884214.48</v>
      </c>
      <c r="BB17" s="4">
        <f>'Endett. net + degré d''auto.'!BB15</f>
        <v>5827342.29</v>
      </c>
      <c r="BC17" s="4">
        <f>'Endett. net + degré d''auto.'!BC15</f>
        <v>-576260.3899999999</v>
      </c>
      <c r="BD17" s="4">
        <f>'Endett. net + degré d''auto.'!BD15</f>
        <v>42123403.110000007</v>
      </c>
      <c r="BE17" s="4">
        <f>'Endett. net + degré d''auto.'!BE15</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d''auto.'!D24</f>
        <v>137.21785078266703</v>
      </c>
      <c r="E19" s="4">
        <f>'Endett. net + degré d''auto.'!E24</f>
        <v>200.14400062156773</v>
      </c>
      <c r="F19" s="4">
        <f>'Endett. net + degré d''auto.'!F24</f>
        <v>218.66817116095169</v>
      </c>
      <c r="G19" s="4">
        <f>'Endett. net + degré d''auto.'!G24</f>
        <v>239.76364333687908</v>
      </c>
      <c r="H19" s="4">
        <f>'Endett. net + degré d''auto.'!H24</f>
        <v>14.928072178323184</v>
      </c>
      <c r="I19" s="4">
        <f>'Endett. net + degré d''auto.'!I24</f>
        <v>103.28475146768594</v>
      </c>
      <c r="J19" s="4">
        <f>'Endett. net + degré d''auto.'!J24</f>
        <v>197.61626625166227</v>
      </c>
      <c r="K19" s="4">
        <f>'Endett. net + degré d''auto.'!K24</f>
        <v>9.5922096901901241</v>
      </c>
      <c r="L19" s="4">
        <f>'Endett. net + degré d''auto.'!L24</f>
        <v>264.58310382139672</v>
      </c>
      <c r="M19" s="4">
        <f>'Endett. net + degré d''auto.'!M24</f>
        <v>100.8978255669706</v>
      </c>
      <c r="N19" s="4">
        <f>'Endett. net + degré d''auto.'!N24</f>
        <v>220.24779235711813</v>
      </c>
      <c r="O19" s="4">
        <f>'Endett. net + degré d''auto.'!O24</f>
        <v>152.73987401867893</v>
      </c>
      <c r="P19" s="4">
        <f>'Endett. net + degré d''auto.'!P24</f>
        <v>92.40606183180644</v>
      </c>
      <c r="Q19" s="4">
        <f>'Endett. net + degré d''auto.'!Q24</f>
        <v>16.719602004486976</v>
      </c>
      <c r="R19" s="4">
        <f>'Endett. net + degré d''auto.'!R24</f>
        <v>159.41766804305732</v>
      </c>
      <c r="S19" s="4">
        <f>'Endett. net + degré d''auto.'!S24</f>
        <v>193.09502738024815</v>
      </c>
      <c r="T19" s="4">
        <f>'Endett. net + degré d''auto.'!T24</f>
        <v>-11.170312928471954</v>
      </c>
      <c r="U19" s="4">
        <f>'Endett. net + degré d''auto.'!U24</f>
        <v>50.814758275714233</v>
      </c>
      <c r="V19" s="4">
        <f>'Endett. net + degré d''auto.'!V24</f>
        <v>184.84668256600702</v>
      </c>
      <c r="W19" s="4">
        <f>'Endett. net + degré d''auto.'!W24</f>
        <v>126.01518839510939</v>
      </c>
      <c r="X19" s="4">
        <f>'Endett. net + degré d''auto.'!X24</f>
        <v>-169.87707258182559</v>
      </c>
      <c r="Y19" s="4">
        <f>'Endett. net + degré d''auto.'!Y24</f>
        <v>123.89593428090369</v>
      </c>
      <c r="Z19" s="4">
        <f>'Endett. net + degré d''auto.'!Z24</f>
        <v>-249.03301842861882</v>
      </c>
      <c r="AA19" s="4">
        <f>'Endett. net + degré d''auto.'!AA24</f>
        <v>25.256630561181879</v>
      </c>
      <c r="AB19" s="4">
        <f>'Endett. net + degré d''auto.'!AB24</f>
        <v>-94.763409555005921</v>
      </c>
      <c r="AC19" s="4">
        <f>'Endett. net + degré d''auto.'!AC24</f>
        <v>108.46635380768521</v>
      </c>
      <c r="AD19" s="4">
        <f>'Endett. net + degré d''auto.'!AD24</f>
        <v>257.76245486394544</v>
      </c>
      <c r="AE19" s="4">
        <f>'Endett. net + degré d''auto.'!AE24</f>
        <v>107.58363533553049</v>
      </c>
      <c r="AF19" s="4">
        <f>'Endett. net + degré d''auto.'!AF24</f>
        <v>-226.41033315300757</v>
      </c>
      <c r="AG19" s="4">
        <f>'Endett. net + degré d''auto.'!AG24</f>
        <v>-23.955028888762179</v>
      </c>
      <c r="AH19" s="4">
        <f>'Endett. net + degré d''auto.'!AH24</f>
        <v>115.03076812952706</v>
      </c>
      <c r="AI19" s="4">
        <f>'Endett. net + degré d''auto.'!AI24</f>
        <v>-14.969769396730292</v>
      </c>
      <c r="AJ19" s="4">
        <f>'Endett. net + degré d''auto.'!AJ24</f>
        <v>-332.66357775007504</v>
      </c>
      <c r="AK19" s="4">
        <f>'Endett. net + degré d''auto.'!AK24</f>
        <v>234.31155369643761</v>
      </c>
      <c r="AL19" s="4">
        <f>'Endett. net + degré d''auto.'!AL24</f>
        <v>200.23618114110263</v>
      </c>
      <c r="AM19" s="4">
        <f>'Endett. net + degré d''auto.'!AM24</f>
        <v>194.7590807686106</v>
      </c>
      <c r="AN19" s="4">
        <f>'Endett. net + degré d''auto.'!AN24</f>
        <v>-20.190079613848098</v>
      </c>
      <c r="AO19" s="4">
        <f>'Endett. net + degré d''auto.'!AO24</f>
        <v>-60.906306409395782</v>
      </c>
      <c r="AP19" s="4">
        <f>'Endett. net + degré d''auto.'!AP24</f>
        <v>84.583939849727656</v>
      </c>
      <c r="AQ19" s="4">
        <f>'Endett. net + degré d''auto.'!AQ24</f>
        <v>82.270751194548168</v>
      </c>
      <c r="AR19" s="4">
        <f>'Endett. net + degré d''auto.'!AR24</f>
        <v>-9.621057531750516</v>
      </c>
      <c r="AS19" s="4">
        <f>'Endett. net + degré d''auto.'!AS24</f>
        <v>140.0785834093854</v>
      </c>
      <c r="AT19" s="4">
        <f>'Endett. net + degré d''auto.'!AT24</f>
        <v>203.47129485061072</v>
      </c>
      <c r="AU19" s="4">
        <f>'Endett. net + degré d''auto.'!AU24</f>
        <v>-748.15070277755967</v>
      </c>
      <c r="AV19" s="4">
        <f>'Endett. net + degré d''auto.'!AV24</f>
        <v>130.93117668979707</v>
      </c>
      <c r="AW19" s="4">
        <f>'Endett. net + degré d''auto.'!AW24</f>
        <v>128.00999432907844</v>
      </c>
      <c r="AX19" s="4">
        <f>'Endett. net + degré d''auto.'!AX24</f>
        <v>46.996071762824883</v>
      </c>
      <c r="AY19" s="4">
        <f>'Endett. net + degré d''auto.'!AY24</f>
        <v>-73.293598530253874</v>
      </c>
      <c r="AZ19" s="4">
        <f>'Endett. net + degré d''auto.'!AZ24</f>
        <v>304.72608196799831</v>
      </c>
      <c r="BA19" s="4">
        <f>'Endett. net + degré d''auto.'!BA24</f>
        <v>-111.19446325530859</v>
      </c>
      <c r="BB19" s="4">
        <f>'Endett. net + degré d''auto.'!BB24</f>
        <v>196.020705621182</v>
      </c>
      <c r="BC19" s="4">
        <f>'Endett. net + degré d''auto.'!BC24</f>
        <v>-119.07811499219439</v>
      </c>
      <c r="BD19" s="4">
        <f>'Endett. net + degré d''auto.'!BD24</f>
        <v>222.27441918277373</v>
      </c>
      <c r="BE19" s="4">
        <f>'Endett. net + degré d''auto.'!BE24</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D25" s="132"/>
      <c r="BF25" s="4"/>
      <c r="BG25" s="4"/>
      <c r="BH25" s="4"/>
    </row>
    <row r="26" spans="1:60" ht="15.75" thickBot="1" x14ac:dyDescent="0.3">
      <c r="A26" t="s">
        <v>568</v>
      </c>
      <c r="D26" s="131">
        <f>'Endett. net + degré d''auto.'!D48</f>
        <v>68.628128369443161</v>
      </c>
      <c r="E26" s="4">
        <f>'Endett. net + degré d''auto.'!E48</f>
        <v>6.3245173878849563</v>
      </c>
      <c r="F26" s="4">
        <f>'Endett. net + degré d''auto.'!F48</f>
        <v>33.122256606531082</v>
      </c>
      <c r="G26" s="4">
        <f>'Endett. net + degré d''auto.'!G48</f>
        <v>-61.478611754991462</v>
      </c>
      <c r="H26" s="4">
        <f>'Endett. net + degré d''auto.'!H48</f>
        <v>67.958314660769943</v>
      </c>
      <c r="I26" s="4">
        <f>'Endett. net + degré d''auto.'!I48</f>
        <v>354.13259872492779</v>
      </c>
      <c r="J26" s="4">
        <f>'Endett. net + degré d''auto.'!J48</f>
        <v>255.005257778063</v>
      </c>
      <c r="K26" s="4">
        <f>'Endett. net + degré d''auto.'!K48</f>
        <v>99.490863177749674</v>
      </c>
      <c r="L26" s="4">
        <f>'Endett. net + degré d''auto.'!L48</f>
        <v>6.0195344027433659</v>
      </c>
      <c r="M26" s="4">
        <f>'Endett. net + degré d''auto.'!M48</f>
        <v>72.505194249985777</v>
      </c>
      <c r="N26" s="4">
        <f>'Endett. net + degré d''auto.'!N48</f>
        <v>114.31272603909832</v>
      </c>
      <c r="O26" s="4">
        <f>'Endett. net + degré d''auto.'!O48</f>
        <v>92.118045468451669</v>
      </c>
      <c r="P26" s="4">
        <f>'Endett. net + degré d''auto.'!P48</f>
        <v>91.130702369823368</v>
      </c>
      <c r="Q26" s="4">
        <f>'Endett. net + degré d''auto.'!Q48</f>
        <v>-632.52503509592896</v>
      </c>
      <c r="R26" s="4">
        <f>'Endett. net + degré d''auto.'!R48</f>
        <v>360.76329251540159</v>
      </c>
      <c r="S26" s="4">
        <f>'Endett. net + degré d''auto.'!S48</f>
        <v>-33.62513039999606</v>
      </c>
      <c r="T26" s="4">
        <f>'Endett. net + degré d''auto.'!T48</f>
        <v>173.60155932876353</v>
      </c>
      <c r="U26" s="4">
        <f>'Endett. net + degré d''auto.'!U48</f>
        <v>57.321140818622332</v>
      </c>
      <c r="V26" s="4">
        <f>'Endett. net + degré d''auto.'!V48</f>
        <v>186.11054952509824</v>
      </c>
      <c r="W26" s="4">
        <f>'Endett. net + degré d''auto.'!W48</f>
        <v>82.093375281409536</v>
      </c>
      <c r="X26" s="4">
        <f>'Endett. net + degré d''auto.'!X48</f>
        <v>400.56166799577773</v>
      </c>
      <c r="Y26" s="4">
        <f>'Endett. net + degré d''auto.'!Y48</f>
        <v>515.86463506191228</v>
      </c>
      <c r="Z26" s="4">
        <f>'Endett. net + degré d''auto.'!Z48</f>
        <v>309.42976425094497</v>
      </c>
      <c r="AA26" s="4">
        <f>'Endett. net + degré d''auto.'!AA48</f>
        <v>34.366939519257265</v>
      </c>
      <c r="AB26" s="4">
        <f>'Endett. net + degré d''auto.'!AB48</f>
        <v>-5.941894261150563</v>
      </c>
      <c r="AC26" s="4">
        <f>'Endett. net + degré d''auto.'!AC48</f>
        <v>-38.845803625202599</v>
      </c>
      <c r="AD26" s="4">
        <f>'Endett. net + degré d''auto.'!AD48</f>
        <v>-127.17553921326687</v>
      </c>
      <c r="AE26" s="4">
        <f>'Endett. net + degré d''auto.'!AE48</f>
        <v>2.8141531029598084</v>
      </c>
      <c r="AF26" s="4">
        <f>'Endett. net + degré d''auto.'!AF48</f>
        <v>-18.309560107709661</v>
      </c>
      <c r="AG26" s="4">
        <f>'Endett. net + degré d''auto.'!AG48</f>
        <v>156.59078328998251</v>
      </c>
      <c r="AH26" s="4">
        <f>'Endett. net + degré d''auto.'!AH48</f>
        <v>329.34156294730781</v>
      </c>
      <c r="AI26" s="4">
        <f>'Endett. net + degré d''auto.'!AI48</f>
        <v>93.40364938793509</v>
      </c>
      <c r="AJ26" s="4">
        <f>'Endett. net + degré d''auto.'!AJ48</f>
        <v>204.21119314304673</v>
      </c>
      <c r="AK26" s="4">
        <f>'Endett. net + degré d''auto.'!AK48</f>
        <v>102.56423368398551</v>
      </c>
      <c r="AL26" s="4">
        <f>'Endett. net + degré d''auto.'!AL48</f>
        <v>127.34279426367546</v>
      </c>
      <c r="AM26" s="4">
        <f>'Endett. net + degré d''auto.'!AM48</f>
        <v>162.79002228108334</v>
      </c>
      <c r="AN26" s="4">
        <f>'Endett. net + degré d''auto.'!AN48</f>
        <v>-4.9527141489818609</v>
      </c>
      <c r="AO26" s="4">
        <f>'Endett. net + degré d''auto.'!AO48</f>
        <v>130.50799337774328</v>
      </c>
      <c r="AP26" s="4">
        <f>'Endett. net + degré d''auto.'!AP48</f>
        <v>94.936978220135813</v>
      </c>
      <c r="AQ26" s="4">
        <f>'Endett. net + degré d''auto.'!AQ48</f>
        <v>51.50983450725272</v>
      </c>
      <c r="AR26" s="4">
        <f>'Endett. net + degré d''auto.'!AR48</f>
        <v>29.950485933646132</v>
      </c>
      <c r="AS26" s="4">
        <f>'Endett. net + degré d''auto.'!AS48</f>
        <v>443.03011098545164</v>
      </c>
      <c r="AT26" s="4">
        <f>'Endett. net + degré d''auto.'!AT48</f>
        <v>22.387795106827259</v>
      </c>
      <c r="AU26" s="4">
        <f>'Endett. net + degré d''auto.'!AU48</f>
        <v>547.04135847222176</v>
      </c>
      <c r="AV26" s="4">
        <f>'Endett. net + degré d''auto.'!AV48</f>
        <v>144.17795049433454</v>
      </c>
      <c r="AW26" s="4">
        <f>'Endett. net + degré d''auto.'!AW48</f>
        <v>131.75057296956308</v>
      </c>
      <c r="AX26" s="4" t="e">
        <f>'Endett. net + degré d''auto.'!AX48</f>
        <v>#VALUE!</v>
      </c>
      <c r="AY26" s="4">
        <f>'Endett. net + degré d''auto.'!AY48</f>
        <v>816.8762363939162</v>
      </c>
      <c r="AZ26" s="4">
        <f>'Endett. net + degré d''auto.'!AZ48</f>
        <v>6916.5378566982281</v>
      </c>
      <c r="BA26" s="4">
        <f>'Endett. net + degré d''auto.'!BA48</f>
        <v>2.5759454289452726</v>
      </c>
      <c r="BB26" s="4">
        <f>'Endett. net + degré d''auto.'!BB48</f>
        <v>46.519482090091977</v>
      </c>
      <c r="BC26" s="4">
        <f>'Endett. net + degré d''auto.'!BC48</f>
        <v>90.266585232993847</v>
      </c>
      <c r="BD26" s="4">
        <f>'Endett. net + degré d''auto.'!BD48</f>
        <v>46.733654216991503</v>
      </c>
      <c r="BE26" s="4">
        <f>'Endett. net + degré d''auto.'!BE48</f>
        <v>226.66418446596853</v>
      </c>
      <c r="BF26" s="4">
        <f t="shared" si="0"/>
        <v>1324.3811510844082</v>
      </c>
      <c r="BG26" s="4">
        <f t="shared" si="1"/>
        <v>1856.3115514917947</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7.4116388127881354</v>
      </c>
      <c r="E39" s="4">
        <f>'Quotité d''autofinancement'!E28</f>
        <v>3.8116824937548004</v>
      </c>
      <c r="F39" s="4">
        <f>'Quotité d''autofinancement'!F28</f>
        <v>4.7387482103117939</v>
      </c>
      <c r="G39" s="4">
        <f>'Quotité d''autofinancement'!G28</f>
        <v>-2.3877662923057339</v>
      </c>
      <c r="H39" s="4">
        <f>'Quotité d''autofinancement'!H28</f>
        <v>4.2849444960067586</v>
      </c>
      <c r="I39" s="4">
        <f>'Quotité d''autofinancement'!I28</f>
        <v>9.768621569453769</v>
      </c>
      <c r="J39" s="4">
        <f>'Quotité d''autofinancement'!J28</f>
        <v>10.281045420739494</v>
      </c>
      <c r="K39" s="4">
        <f>'Quotité d''autofinancement'!K28</f>
        <v>5.9217098990906782</v>
      </c>
      <c r="L39" s="4">
        <f>'Quotité d''autofinancement'!L28</f>
        <v>0.74670384242260235</v>
      </c>
      <c r="M39" s="4">
        <f>'Quotité d''autofinancement'!M28</f>
        <v>7.5209109907606857</v>
      </c>
      <c r="N39" s="4">
        <f>'Quotité d''autofinancement'!N28</f>
        <v>9.1101568857320778</v>
      </c>
      <c r="O39" s="4">
        <f>'Quotité d''autofinancement'!O28</f>
        <v>9.7415339044175457</v>
      </c>
      <c r="P39" s="4">
        <f>'Quotité d''autofinancement'!P28</f>
        <v>6.0037470706513512</v>
      </c>
      <c r="Q39" s="4">
        <f>'Quotité d''autofinancement'!Q28</f>
        <v>-3.21201139124316</v>
      </c>
      <c r="R39" s="4">
        <f>'Quotité d''autofinancement'!R28</f>
        <v>13.334393747379576</v>
      </c>
      <c r="S39" s="4">
        <f>'Quotité d''autofinancement'!S28</f>
        <v>2.8665771004792586</v>
      </c>
      <c r="T39" s="4">
        <f>'Quotité d''autofinancement'!T28</f>
        <v>14.200202301133489</v>
      </c>
      <c r="U39" s="4">
        <f>'Quotité d''autofinancement'!U28</f>
        <v>4.1846741672967651</v>
      </c>
      <c r="V39" s="4">
        <f>'Quotité d''autofinancement'!V28</f>
        <v>-8.1936659869717907</v>
      </c>
      <c r="W39" s="4">
        <f>'Quotité d''autofinancement'!W28</f>
        <v>14.286016885500469</v>
      </c>
      <c r="X39" s="4">
        <f>'Quotité d''autofinancement'!X28</f>
        <v>29.439457257236946</v>
      </c>
      <c r="Y39" s="4">
        <f>'Quotité d''autofinancement'!Y28</f>
        <v>25.364288153637983</v>
      </c>
      <c r="Z39" s="4">
        <f>'Quotité d''autofinancement'!Z28</f>
        <v>12.622905279336694</v>
      </c>
      <c r="AA39" s="4">
        <f>'Quotité d''autofinancement'!AA28</f>
        <v>12.905247467381061</v>
      </c>
      <c r="AB39" s="4">
        <f>'Quotité d''autofinancement'!AB28</f>
        <v>-3.7541168246743655</v>
      </c>
      <c r="AC39" s="4">
        <f>'Quotité d''autofinancement'!AC28</f>
        <v>-21.580616265758756</v>
      </c>
      <c r="AD39" s="4">
        <f>'Quotité d''autofinancement'!AD28</f>
        <v>5.7647557502629283</v>
      </c>
      <c r="AE39" s="4">
        <f>'Quotité d''autofinancement'!AE28</f>
        <v>5.1151253908940639E-2</v>
      </c>
      <c r="AF39" s="4">
        <f>'Quotité d''autofinancement'!AF28</f>
        <v>-2.5528983148964572</v>
      </c>
      <c r="AG39" s="4">
        <f>'Quotité d''autofinancement'!AG28</f>
        <v>16.266854660724878</v>
      </c>
      <c r="AH39" s="4">
        <f>'Quotité d''autofinancement'!AH28</f>
        <v>11.472886701072632</v>
      </c>
      <c r="AI39" s="4">
        <f>'Quotité d''autofinancement'!AI28</f>
        <v>9.6292632550609785</v>
      </c>
      <c r="AJ39" s="4">
        <f>'Quotité d''autofinancement'!AJ28</f>
        <v>6.7063654287098124</v>
      </c>
      <c r="AK39" s="4">
        <f>'Quotité d''autofinancement'!AK28</f>
        <v>27.408232616335006</v>
      </c>
      <c r="AL39" s="4">
        <f>'Quotité d''autofinancement'!AL28</f>
        <v>7.3257193652631001</v>
      </c>
      <c r="AM39" s="4">
        <f>'Quotité d''autofinancement'!AM28</f>
        <v>6.6133161765500423</v>
      </c>
      <c r="AN39" s="4">
        <f>'Quotité d''autofinancement'!AN28</f>
        <v>10.7330106483892</v>
      </c>
      <c r="AO39" s="4">
        <f>'Quotité d''autofinancement'!AO28</f>
        <v>16.828898617111705</v>
      </c>
      <c r="AP39" s="4">
        <f>'Quotité d''autofinancement'!AP28</f>
        <v>7.5884951525113262</v>
      </c>
      <c r="AQ39" s="4">
        <f>'Quotité d''autofinancement'!AQ28</f>
        <v>15.367778098642512</v>
      </c>
      <c r="AR39" s="4">
        <f>'Quotité d''autofinancement'!AR28</f>
        <v>17.479264638012214</v>
      </c>
      <c r="AS39" s="4">
        <f>'Quotité d''autofinancement'!AS28</f>
        <v>30.939130751037474</v>
      </c>
      <c r="AT39" s="4">
        <f>'Quotité d''autofinancement'!AT28</f>
        <v>10.777379708567366</v>
      </c>
      <c r="AU39" s="4">
        <f>'Quotité d''autofinancement'!AU28</f>
        <v>132.69461144558551</v>
      </c>
      <c r="AV39" s="4">
        <f>'Quotité d''autofinancement'!AV28</f>
        <v>9.9042838265167443</v>
      </c>
      <c r="AW39" s="4">
        <f>'Quotité d''autofinancement'!AW28</f>
        <v>13.580218609021802</v>
      </c>
      <c r="AX39" s="4">
        <f>'Quotité d''autofinancement'!AX28</f>
        <v>-2.7138907536952348</v>
      </c>
      <c r="AY39" s="4">
        <f>'Quotité d''autofinancement'!AY28</f>
        <v>9.7898082541743712</v>
      </c>
      <c r="AZ39" s="4">
        <f>'Quotité d''autofinancement'!AZ28</f>
        <v>16.674639073004894</v>
      </c>
      <c r="BA39" s="4">
        <f>'Quotité d''autofinancement'!BA28</f>
        <v>0.83508331655675128</v>
      </c>
      <c r="BB39" s="4">
        <f>'Quotité d''autofinancement'!BB28</f>
        <v>14.4671149592699</v>
      </c>
      <c r="BC39" s="4">
        <f>'Quotité d''autofinancement'!BC28</f>
        <v>8.7003066659065205</v>
      </c>
      <c r="BD39" s="4">
        <f>'Quotité d''autofinancement'!BD28</f>
        <v>4.8008594684639228</v>
      </c>
      <c r="BE39" s="4">
        <f>'Quotité d''autofinancement'!BE28</f>
        <v>9.4295697870005064</v>
      </c>
      <c r="BF39" s="4">
        <f t="shared" si="0"/>
        <v>107.00822531461043</v>
      </c>
      <c r="BG39" s="4">
        <f t="shared" si="1"/>
        <v>102.33554380200327</v>
      </c>
      <c r="BH39" s="4">
        <f t="shared" si="2"/>
        <v>369.22383042422558</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48.368462681219789</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C9" sqref="C9"/>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5"/>
      <c r="B1" s="225"/>
      <c r="C1" s="225"/>
      <c r="D1" s="225"/>
    </row>
    <row r="2" spans="1:8" ht="18.75" x14ac:dyDescent="0.3">
      <c r="A2" s="232" t="s">
        <v>855</v>
      </c>
      <c r="B2" s="232"/>
      <c r="C2" s="232"/>
      <c r="D2" s="232"/>
      <c r="E2" s="225"/>
      <c r="F2" s="225"/>
      <c r="G2" s="225"/>
      <c r="H2" s="225"/>
    </row>
    <row r="3" spans="1:8" ht="18.75" x14ac:dyDescent="0.3">
      <c r="A3" s="155"/>
      <c r="B3" s="155"/>
      <c r="C3" s="155"/>
      <c r="D3" s="155"/>
      <c r="E3" s="155"/>
      <c r="F3" s="155"/>
      <c r="G3" s="155"/>
      <c r="H3" s="155"/>
    </row>
    <row r="4" spans="1:8" ht="15.75" thickBot="1" x14ac:dyDescent="0.3">
      <c r="B4" s="233" t="s">
        <v>797</v>
      </c>
      <c r="C4" s="233"/>
      <c r="D4" s="233"/>
    </row>
    <row r="5" spans="1:8" ht="15.75" thickBot="1" x14ac:dyDescent="0.3">
      <c r="A5" s="156" t="s">
        <v>573</v>
      </c>
      <c r="B5" s="219" t="s">
        <v>71</v>
      </c>
      <c r="C5" s="220"/>
      <c r="D5" s="221"/>
      <c r="F5" s="110"/>
    </row>
    <row r="6" spans="1:8" ht="15.75" thickBot="1" x14ac:dyDescent="0.3">
      <c r="E6" s="7"/>
      <c r="H6" s="117"/>
    </row>
    <row r="7" spans="1:8" ht="15.75" thickBot="1" x14ac:dyDescent="0.3">
      <c r="A7" s="229" t="s">
        <v>566</v>
      </c>
      <c r="B7" s="230"/>
      <c r="C7" s="230"/>
      <c r="D7" s="231"/>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835119.4</v>
      </c>
      <c r="E12" s="7"/>
      <c r="H12" s="132"/>
    </row>
    <row r="13" spans="1:8" ht="15.75" thickBot="1" x14ac:dyDescent="0.3">
      <c r="A13" t="s">
        <v>449</v>
      </c>
      <c r="D13" s="131">
        <f>D12/HLOOKUP(B5,Récapitulatif!E10:BE11,2,0)</f>
        <v>8699.1604166666675</v>
      </c>
      <c r="E13" s="7"/>
      <c r="H13" s="132"/>
    </row>
    <row r="14" spans="1:8" ht="15.75" thickBot="1" x14ac:dyDescent="0.3">
      <c r="D14" s="4"/>
      <c r="H14" s="132"/>
    </row>
    <row r="15" spans="1:8" ht="15.75" thickBot="1" x14ac:dyDescent="0.3">
      <c r="A15" s="159" t="s">
        <v>585</v>
      </c>
      <c r="D15" s="131">
        <f>HLOOKUP($B$5,Récapitulatif!E10:BE43,8,0)</f>
        <v>74018.900000000023</v>
      </c>
      <c r="H15" s="132"/>
    </row>
    <row r="16" spans="1:8" ht="15.75" thickBot="1" x14ac:dyDescent="0.3">
      <c r="A16" t="s">
        <v>449</v>
      </c>
      <c r="D16" s="131">
        <f>D15/HLOOKUP(B5,Récapitulatif!E10:BE11,2,0)</f>
        <v>771.03020833333358</v>
      </c>
      <c r="H16" s="132"/>
    </row>
    <row r="17" spans="1:8" ht="15.75" thickBot="1" x14ac:dyDescent="0.3">
      <c r="D17" s="4"/>
      <c r="H17" s="132"/>
    </row>
    <row r="18" spans="1:8" ht="15.75" thickBot="1" x14ac:dyDescent="0.3">
      <c r="A18" t="s">
        <v>504</v>
      </c>
      <c r="D18" s="131">
        <f>HLOOKUP($B$5,Récapitulatif!E10:BE43,10,0)</f>
        <v>25.256630561181879</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62173.11</v>
      </c>
      <c r="E22" s="7"/>
      <c r="H22" s="133"/>
    </row>
    <row r="23" spans="1:8" ht="15.75" thickBot="1" x14ac:dyDescent="0.3">
      <c r="D23" s="4"/>
      <c r="H23" s="132"/>
    </row>
    <row r="24" spans="1:8" ht="15.75" thickBot="1" x14ac:dyDescent="0.3">
      <c r="A24" t="s">
        <v>568</v>
      </c>
      <c r="D24" s="131">
        <f>HLOOKUP($B$5,Récapitulatif!E10:BE43,17,0)</f>
        <v>34.366939519257265</v>
      </c>
      <c r="H24" s="132"/>
    </row>
    <row r="25" spans="1:8" ht="15.75" thickBot="1" x14ac:dyDescent="0.3">
      <c r="D25" s="4"/>
    </row>
    <row r="26" spans="1:8" ht="15.75" thickBot="1" x14ac:dyDescent="0.3">
      <c r="A26" s="7" t="s">
        <v>569</v>
      </c>
      <c r="D26" s="131">
        <f>HLOOKUP($B$5,Récapitulatif!E10:BE43,20,0)</f>
        <v>0.41805970083574989</v>
      </c>
    </row>
    <row r="27" spans="1:8" ht="15.75" thickBot="1" x14ac:dyDescent="0.3">
      <c r="D27" s="4"/>
    </row>
    <row r="28" spans="1:8" ht="15.75" thickBot="1" x14ac:dyDescent="0.3">
      <c r="A28" s="7" t="s">
        <v>570</v>
      </c>
      <c r="D28" s="131">
        <f>HLOOKUP($B$5,Récapitulatif!E10:BE43,22,0)</f>
        <v>173.34539838542403</v>
      </c>
    </row>
    <row r="29" spans="1:8" ht="15.75" thickBot="1" x14ac:dyDescent="0.3">
      <c r="D29" s="4"/>
    </row>
    <row r="30" spans="1:8" ht="15.75" thickBot="1" x14ac:dyDescent="0.3">
      <c r="A30" s="7" t="s">
        <v>528</v>
      </c>
      <c r="D30" s="131">
        <f>HLOOKUP($B$5,Récapitulatif!E10:BE43,24,0)</f>
        <v>31.08916386240233</v>
      </c>
    </row>
    <row r="31" spans="1:8" ht="15.75" thickBot="1" x14ac:dyDescent="0.3">
      <c r="B31" s="110"/>
      <c r="D31" s="119"/>
    </row>
    <row r="32" spans="1:8" ht="15.75" thickBot="1" x14ac:dyDescent="0.3">
      <c r="A32" s="7" t="s">
        <v>571</v>
      </c>
      <c r="D32" s="131">
        <f>HLOOKUP($B$5,Récapitulatif!E10:BE43,26,0)</f>
        <v>10.505942177918199</v>
      </c>
    </row>
    <row r="33" spans="1:4" ht="15.75" thickBot="1" x14ac:dyDescent="0.3">
      <c r="D33" s="4"/>
    </row>
    <row r="34" spans="1:4" ht="15.75" thickBot="1" x14ac:dyDescent="0.3">
      <c r="A34" s="7" t="s">
        <v>542</v>
      </c>
      <c r="D34" s="131">
        <f>HLOOKUP($B$5,Récapitulatif!E10:BE43,28,0)</f>
        <v>771.03020833333358</v>
      </c>
    </row>
    <row r="35" spans="1:4" ht="15.75" thickBot="1" x14ac:dyDescent="0.3">
      <c r="D35" s="132"/>
    </row>
    <row r="36" spans="1:4" ht="15.75" thickBot="1" x14ac:dyDescent="0.3">
      <c r="A36" s="7" t="s">
        <v>546</v>
      </c>
      <c r="D36" s="131">
        <f>HLOOKUP($B$5,Récapitulatif!E10:BE43,30,0)</f>
        <v>12.905247467381061</v>
      </c>
    </row>
    <row r="37" spans="1:4" ht="15.75" thickBot="1" x14ac:dyDescent="0.3">
      <c r="D37" s="132"/>
    </row>
    <row r="38" spans="1:4" ht="15.75" thickBot="1" x14ac:dyDescent="0.3">
      <c r="A38" s="7" t="s">
        <v>550</v>
      </c>
      <c r="D38" s="131">
        <f>HLOOKUP($B$5,Récapitulatif!E10:BE43,32,0)</f>
        <v>-4.9188489540738018</v>
      </c>
    </row>
    <row r="39" spans="1:4" ht="15.75" thickBot="1" x14ac:dyDescent="0.3">
      <c r="D39" s="4"/>
    </row>
    <row r="40" spans="1:4" ht="15.75" thickBot="1" x14ac:dyDescent="0.3">
      <c r="A40" s="7" t="s">
        <v>572</v>
      </c>
      <c r="D40" s="131">
        <f>HLOOKUP($B$5,Récapitulatif!E10:BE43,34,0)</f>
        <v>122.67753948582441</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M136" activePane="bottomRight" state="frozen"/>
      <selection pane="topRight" activeCell="E1" sqref="E1"/>
      <selection pane="bottomLeft" activeCell="A4" sqref="A4"/>
      <selection pane="bottomRight" activeCell="M155" sqref="M155"/>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12237.75</v>
      </c>
      <c r="N4" s="93">
        <f t="shared" si="0"/>
        <v>28273.79</v>
      </c>
      <c r="O4" s="93">
        <f t="shared" si="0"/>
        <v>156496.59000000003</v>
      </c>
      <c r="P4" s="93">
        <f t="shared" si="0"/>
        <v>200007.37</v>
      </c>
      <c r="Q4" s="93">
        <f t="shared" si="0"/>
        <v>410782.54000000004</v>
      </c>
      <c r="R4" s="93">
        <f t="shared" si="0"/>
        <v>4086583.4499999997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2263.3000000000002</v>
      </c>
      <c r="N5" s="95">
        <f t="shared" si="1"/>
        <v>6371.6</v>
      </c>
      <c r="O5" s="95">
        <f t="shared" si="1"/>
        <v>27172.7</v>
      </c>
      <c r="P5" s="95">
        <f t="shared" si="1"/>
        <v>9887.7000000000007</v>
      </c>
      <c r="Q5" s="95">
        <f t="shared" si="1"/>
        <v>50808.95</v>
      </c>
      <c r="R5" s="95">
        <f t="shared" si="1"/>
        <v>797853.55000000016</v>
      </c>
      <c r="S5">
        <v>3</v>
      </c>
    </row>
    <row r="6" spans="1:19" x14ac:dyDescent="0.25">
      <c r="C6">
        <v>300</v>
      </c>
      <c r="D6" t="s">
        <v>80</v>
      </c>
      <c r="E6" s="4">
        <v>27583.8</v>
      </c>
      <c r="F6" s="4">
        <v>10898.15</v>
      </c>
      <c r="G6" s="4">
        <v>5691</v>
      </c>
      <c r="H6" s="4">
        <v>3015</v>
      </c>
      <c r="I6" s="4">
        <v>13880</v>
      </c>
      <c r="J6" s="4">
        <v>54744.65</v>
      </c>
      <c r="K6" s="4">
        <v>3362</v>
      </c>
      <c r="L6" s="4">
        <v>15172.65</v>
      </c>
      <c r="M6" s="4">
        <v>450</v>
      </c>
      <c r="N6" s="4">
        <v>1192.5</v>
      </c>
      <c r="O6" s="4">
        <v>22734.75</v>
      </c>
      <c r="P6" s="4">
        <v>1920</v>
      </c>
      <c r="Q6" s="4">
        <v>9595.9500000000007</v>
      </c>
      <c r="R6" s="4">
        <f t="shared" ref="R6:R13" si="2">SUM(E6:Q6)</f>
        <v>170240.45</v>
      </c>
      <c r="S6">
        <v>4</v>
      </c>
    </row>
    <row r="7" spans="1:19" x14ac:dyDescent="0.25">
      <c r="C7">
        <v>301</v>
      </c>
      <c r="D7" t="s">
        <v>81</v>
      </c>
      <c r="E7" s="4">
        <v>145332.95000000001</v>
      </c>
      <c r="F7" s="4">
        <v>0</v>
      </c>
      <c r="G7" s="4">
        <v>6568.4</v>
      </c>
      <c r="H7" s="4">
        <v>6200</v>
      </c>
      <c r="I7" s="4">
        <v>19957</v>
      </c>
      <c r="J7" s="4">
        <v>225542.7</v>
      </c>
      <c r="K7" s="4">
        <v>7750</v>
      </c>
      <c r="L7" s="4">
        <v>16377.6</v>
      </c>
      <c r="M7" s="4">
        <v>1490.7</v>
      </c>
      <c r="N7" s="4">
        <v>4940</v>
      </c>
      <c r="O7" s="4">
        <v>613.4</v>
      </c>
      <c r="P7" s="4">
        <v>7517.5</v>
      </c>
      <c r="Q7" s="4">
        <v>31863.200000000001</v>
      </c>
      <c r="R7" s="4">
        <f t="shared" si="2"/>
        <v>474153.45000000007</v>
      </c>
      <c r="S7">
        <v>5</v>
      </c>
    </row>
    <row r="8" spans="1:19" x14ac:dyDescent="0.25">
      <c r="C8">
        <v>302</v>
      </c>
      <c r="D8" t="s">
        <v>82</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v>0</v>
      </c>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v>0</v>
      </c>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v>322.60000000000002</v>
      </c>
      <c r="N11" s="4">
        <v>239.1</v>
      </c>
      <c r="O11" s="4">
        <v>3003.55</v>
      </c>
      <c r="P11" s="4">
        <v>111.6</v>
      </c>
      <c r="Q11" s="4">
        <v>8949.7999999999993</v>
      </c>
      <c r="R11" s="4">
        <f t="shared" si="2"/>
        <v>113654.15000000002</v>
      </c>
      <c r="S11">
        <v>9</v>
      </c>
    </row>
    <row r="12" spans="1:19" x14ac:dyDescent="0.25">
      <c r="C12">
        <v>306</v>
      </c>
      <c r="D12" t="s">
        <v>85</v>
      </c>
      <c r="E12" s="4">
        <v>0</v>
      </c>
      <c r="F12" s="4">
        <v>0</v>
      </c>
      <c r="G12" s="4">
        <v>0</v>
      </c>
      <c r="H12" s="4">
        <v>0</v>
      </c>
      <c r="I12" s="4">
        <v>0</v>
      </c>
      <c r="J12" s="4">
        <v>0</v>
      </c>
      <c r="K12" s="4">
        <v>0</v>
      </c>
      <c r="L12" s="4">
        <v>0</v>
      </c>
      <c r="M12" s="4">
        <v>0</v>
      </c>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v>0</v>
      </c>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7152.1999999999989</v>
      </c>
      <c r="N15" s="95">
        <f t="shared" si="3"/>
        <v>14547.24</v>
      </c>
      <c r="O15" s="95">
        <f t="shared" si="3"/>
        <v>88734.5</v>
      </c>
      <c r="P15" s="95">
        <f t="shared" si="3"/>
        <v>73019.639999999985</v>
      </c>
      <c r="Q15" s="95">
        <f t="shared" si="3"/>
        <v>157809.04</v>
      </c>
      <c r="R15" s="95">
        <f t="shared" si="3"/>
        <v>1468819.78</v>
      </c>
      <c r="S15">
        <v>13</v>
      </c>
    </row>
    <row r="16" spans="1:19" x14ac:dyDescent="0.25">
      <c r="C16">
        <v>310</v>
      </c>
      <c r="D16" t="s">
        <v>88</v>
      </c>
      <c r="E16" s="4">
        <v>37014.35</v>
      </c>
      <c r="F16" s="4">
        <v>11383.75</v>
      </c>
      <c r="G16" s="4">
        <v>1976.1</v>
      </c>
      <c r="H16" s="4">
        <v>1375.14</v>
      </c>
      <c r="I16" s="4">
        <v>6433.25</v>
      </c>
      <c r="J16" s="4">
        <v>7535.05</v>
      </c>
      <c r="K16" s="4">
        <v>5349.8</v>
      </c>
      <c r="L16" s="4">
        <v>8397.4</v>
      </c>
      <c r="M16" s="4">
        <v>53.95</v>
      </c>
      <c r="N16" s="4">
        <v>2854.2</v>
      </c>
      <c r="O16" s="4">
        <v>722.3</v>
      </c>
      <c r="P16" s="4">
        <v>8803.65</v>
      </c>
      <c r="Q16" s="4">
        <v>1094.1500000000001</v>
      </c>
      <c r="R16" s="4">
        <f t="shared" ref="R16:R25" si="4">SUM(E16:Q16)</f>
        <v>92993.089999999982</v>
      </c>
      <c r="S16">
        <v>14</v>
      </c>
    </row>
    <row r="17" spans="2:19" x14ac:dyDescent="0.25">
      <c r="C17">
        <v>311</v>
      </c>
      <c r="D17" t="s">
        <v>452</v>
      </c>
      <c r="E17" s="4">
        <v>3423</v>
      </c>
      <c r="F17" s="4">
        <v>0</v>
      </c>
      <c r="G17" s="4">
        <v>288.89999999999998</v>
      </c>
      <c r="H17" s="4">
        <v>0</v>
      </c>
      <c r="I17" s="4">
        <v>370</v>
      </c>
      <c r="J17" s="4">
        <v>17109.400000000001</v>
      </c>
      <c r="K17" s="4">
        <v>700</v>
      </c>
      <c r="L17" s="4">
        <v>1702.3</v>
      </c>
      <c r="M17" s="4">
        <v>0</v>
      </c>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v>1259.45</v>
      </c>
      <c r="N18" s="4">
        <v>692.7</v>
      </c>
      <c r="O18" s="4">
        <v>37151.300000000003</v>
      </c>
      <c r="P18" s="4">
        <v>0</v>
      </c>
      <c r="Q18" s="4">
        <v>10364.799999999999</v>
      </c>
      <c r="R18" s="4">
        <f t="shared" si="4"/>
        <v>203865.95</v>
      </c>
      <c r="S18">
        <v>16</v>
      </c>
    </row>
    <row r="19" spans="2:19" x14ac:dyDescent="0.25">
      <c r="C19">
        <v>313</v>
      </c>
      <c r="D19" t="s">
        <v>91</v>
      </c>
      <c r="E19" s="4">
        <v>195902.24</v>
      </c>
      <c r="F19" s="4">
        <v>38019.85</v>
      </c>
      <c r="G19" s="4">
        <v>45204.01</v>
      </c>
      <c r="H19" s="4">
        <v>18259</v>
      </c>
      <c r="I19" s="4">
        <v>89864.87</v>
      </c>
      <c r="J19" s="4">
        <v>174482.3</v>
      </c>
      <c r="K19" s="4">
        <v>36336</v>
      </c>
      <c r="L19" s="4">
        <v>62064.51</v>
      </c>
      <c r="M19" s="4">
        <v>4932.6499999999996</v>
      </c>
      <c r="N19" s="4">
        <v>10108.94</v>
      </c>
      <c r="O19" s="4">
        <v>29626.25</v>
      </c>
      <c r="P19" s="4">
        <v>58044.89</v>
      </c>
      <c r="Q19" s="4">
        <v>92115.89</v>
      </c>
      <c r="R19" s="4">
        <f t="shared" si="4"/>
        <v>854961.4</v>
      </c>
      <c r="S19">
        <v>17</v>
      </c>
    </row>
    <row r="20" spans="2:19" x14ac:dyDescent="0.25">
      <c r="C20">
        <v>314</v>
      </c>
      <c r="D20" t="s">
        <v>92</v>
      </c>
      <c r="E20" s="4">
        <v>4252</v>
      </c>
      <c r="F20" s="4">
        <v>4565</v>
      </c>
      <c r="G20" s="4">
        <v>3761.75</v>
      </c>
      <c r="H20" s="4">
        <v>6289.1</v>
      </c>
      <c r="I20" s="4">
        <v>5579.05</v>
      </c>
      <c r="J20" s="4">
        <v>151932.04999999999</v>
      </c>
      <c r="K20" s="4">
        <v>1187.8499999999999</v>
      </c>
      <c r="L20" s="4">
        <v>0</v>
      </c>
      <c r="M20" s="4">
        <v>0</v>
      </c>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v>270.2</v>
      </c>
      <c r="N21" s="4">
        <v>0</v>
      </c>
      <c r="O21" s="4">
        <v>0</v>
      </c>
      <c r="P21" s="4">
        <v>590</v>
      </c>
      <c r="Q21" s="4">
        <v>323.10000000000002</v>
      </c>
      <c r="R21" s="4">
        <f t="shared" si="4"/>
        <v>19385.8</v>
      </c>
      <c r="S21">
        <v>19</v>
      </c>
    </row>
    <row r="22" spans="2:19" x14ac:dyDescent="0.25">
      <c r="C22">
        <v>316</v>
      </c>
      <c r="D22" t="s">
        <v>94</v>
      </c>
      <c r="E22" s="4">
        <v>2023.45</v>
      </c>
      <c r="F22" s="4">
        <v>0</v>
      </c>
      <c r="G22" s="4">
        <v>950</v>
      </c>
      <c r="H22" s="4">
        <v>0</v>
      </c>
      <c r="I22" s="4">
        <v>0</v>
      </c>
      <c r="J22" s="4">
        <v>0</v>
      </c>
      <c r="K22" s="4">
        <v>0</v>
      </c>
      <c r="L22" s="4">
        <v>0</v>
      </c>
      <c r="M22" s="4">
        <v>0</v>
      </c>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v>635.95000000000005</v>
      </c>
      <c r="N23" s="4">
        <v>352.9</v>
      </c>
      <c r="O23" s="4">
        <v>158.9</v>
      </c>
      <c r="P23" s="4">
        <v>0</v>
      </c>
      <c r="Q23" s="4">
        <v>565</v>
      </c>
      <c r="R23" s="4">
        <f t="shared" si="4"/>
        <v>10189.1</v>
      </c>
      <c r="S23">
        <v>21</v>
      </c>
    </row>
    <row r="24" spans="2:19" x14ac:dyDescent="0.25">
      <c r="C24">
        <v>318</v>
      </c>
      <c r="D24" t="s">
        <v>96</v>
      </c>
      <c r="E24" s="4">
        <v>240</v>
      </c>
      <c r="F24" s="4">
        <v>0</v>
      </c>
      <c r="G24" s="4">
        <v>0</v>
      </c>
      <c r="H24" s="4">
        <v>0</v>
      </c>
      <c r="I24" s="4">
        <v>0</v>
      </c>
      <c r="J24" s="4">
        <v>0</v>
      </c>
      <c r="K24" s="4">
        <v>0</v>
      </c>
      <c r="L24" s="4">
        <v>0</v>
      </c>
      <c r="M24" s="4">
        <v>0</v>
      </c>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v>0</v>
      </c>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1332.5</v>
      </c>
      <c r="N27" s="95">
        <f t="shared" si="5"/>
        <v>0</v>
      </c>
      <c r="O27" s="95">
        <f t="shared" si="5"/>
        <v>22000</v>
      </c>
      <c r="P27" s="95">
        <f t="shared" si="5"/>
        <v>32530</v>
      </c>
      <c r="Q27" s="95">
        <f t="shared" si="5"/>
        <v>0</v>
      </c>
      <c r="R27" s="95">
        <f t="shared" si="5"/>
        <v>208630.15</v>
      </c>
      <c r="S27">
        <v>25</v>
      </c>
    </row>
    <row r="28" spans="2:19" x14ac:dyDescent="0.25">
      <c r="C28">
        <v>330</v>
      </c>
      <c r="D28" t="s">
        <v>100</v>
      </c>
      <c r="E28" s="4">
        <v>65732.7</v>
      </c>
      <c r="F28" s="4">
        <v>11268</v>
      </c>
      <c r="G28" s="4">
        <v>3218.95</v>
      </c>
      <c r="H28" s="4">
        <v>0</v>
      </c>
      <c r="I28" s="4">
        <v>31218</v>
      </c>
      <c r="J28" s="4">
        <v>41330</v>
      </c>
      <c r="K28" s="4">
        <v>0</v>
      </c>
      <c r="L28" s="4">
        <v>0</v>
      </c>
      <c r="M28" s="4">
        <v>1332.5</v>
      </c>
      <c r="N28" s="4">
        <v>0</v>
      </c>
      <c r="O28" s="4">
        <v>22000</v>
      </c>
      <c r="P28" s="4">
        <v>32530</v>
      </c>
      <c r="Q28" s="4">
        <v>0</v>
      </c>
      <c r="R28" s="4">
        <f>SUM(E28:Q28)</f>
        <v>208630.15</v>
      </c>
      <c r="S28">
        <v>26</v>
      </c>
    </row>
    <row r="29" spans="2:19" x14ac:dyDescent="0.25">
      <c r="C29">
        <v>332</v>
      </c>
      <c r="D29" t="s">
        <v>99</v>
      </c>
      <c r="E29" s="4">
        <v>0</v>
      </c>
      <c r="F29" s="4">
        <v>0</v>
      </c>
      <c r="G29" s="4">
        <v>0</v>
      </c>
      <c r="H29" s="4">
        <v>0</v>
      </c>
      <c r="I29" s="4">
        <v>0</v>
      </c>
      <c r="J29" s="4">
        <v>0</v>
      </c>
      <c r="K29" s="4">
        <v>0</v>
      </c>
      <c r="L29" s="4">
        <v>0</v>
      </c>
      <c r="M29" s="4">
        <v>0</v>
      </c>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v>0</v>
      </c>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v>0</v>
      </c>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v>0</v>
      </c>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v>0</v>
      </c>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v>0</v>
      </c>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v>0</v>
      </c>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v>0</v>
      </c>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1489.75</v>
      </c>
      <c r="N43" s="95">
        <f t="shared" si="10"/>
        <v>7354.95</v>
      </c>
      <c r="O43" s="95">
        <f t="shared" si="10"/>
        <v>10383.75</v>
      </c>
      <c r="P43" s="95">
        <f t="shared" si="10"/>
        <v>44191.4</v>
      </c>
      <c r="Q43" s="95">
        <f t="shared" si="10"/>
        <v>26250</v>
      </c>
      <c r="R43" s="95">
        <f t="shared" si="10"/>
        <v>310815</v>
      </c>
      <c r="S43">
        <v>41</v>
      </c>
    </row>
    <row r="44" spans="2:19" x14ac:dyDescent="0.25">
      <c r="C44">
        <v>360</v>
      </c>
      <c r="D44" t="s">
        <v>111</v>
      </c>
      <c r="E44" s="4">
        <v>4177.1000000000004</v>
      </c>
      <c r="F44" s="4">
        <v>0</v>
      </c>
      <c r="G44" s="4">
        <v>0</v>
      </c>
      <c r="H44" s="4">
        <v>0</v>
      </c>
      <c r="I44" s="4">
        <v>0</v>
      </c>
      <c r="J44" s="4">
        <v>2000</v>
      </c>
      <c r="K44" s="4">
        <v>0</v>
      </c>
      <c r="L44" s="4">
        <v>0</v>
      </c>
      <c r="M44" s="4">
        <v>0</v>
      </c>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v>0</v>
      </c>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v>0</v>
      </c>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v>1489.75</v>
      </c>
      <c r="N47" s="4">
        <v>0</v>
      </c>
      <c r="O47" s="4">
        <v>10383.75</v>
      </c>
      <c r="P47" s="4">
        <v>43482.75</v>
      </c>
      <c r="Q47" s="4">
        <v>1250</v>
      </c>
      <c r="R47" s="4">
        <f t="shared" si="11"/>
        <v>263765.75</v>
      </c>
      <c r="S47">
        <v>45</v>
      </c>
    </row>
    <row r="48" spans="2:19" x14ac:dyDescent="0.25">
      <c r="C48">
        <v>364</v>
      </c>
      <c r="D48" t="s">
        <v>115</v>
      </c>
      <c r="E48" s="4">
        <v>0</v>
      </c>
      <c r="F48" s="4">
        <v>0</v>
      </c>
      <c r="G48" s="4">
        <v>0</v>
      </c>
      <c r="H48" s="4">
        <v>0</v>
      </c>
      <c r="I48" s="4">
        <v>0</v>
      </c>
      <c r="J48" s="4">
        <v>0</v>
      </c>
      <c r="K48" s="4">
        <v>0</v>
      </c>
      <c r="L48" s="4">
        <v>0</v>
      </c>
      <c r="M48" s="4">
        <v>0</v>
      </c>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v>0</v>
      </c>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v>0</v>
      </c>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v>0</v>
      </c>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v>0</v>
      </c>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v>0</v>
      </c>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v>0</v>
      </c>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v>0</v>
      </c>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v>0</v>
      </c>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v>0</v>
      </c>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v>0</v>
      </c>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v>0</v>
      </c>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v>0</v>
      </c>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v>0</v>
      </c>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v>0</v>
      </c>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v>0</v>
      </c>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v>0</v>
      </c>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v>0</v>
      </c>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v>0</v>
      </c>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5745.8399999999992</v>
      </c>
      <c r="N75" s="97">
        <f t="shared" si="17"/>
        <v>29286.699999999997</v>
      </c>
      <c r="O75" s="97">
        <f t="shared" si="17"/>
        <v>159401</v>
      </c>
      <c r="P75" s="97">
        <f t="shared" si="17"/>
        <v>205852.6</v>
      </c>
      <c r="Q75" s="97">
        <f t="shared" si="17"/>
        <v>402356</v>
      </c>
      <c r="R75" s="97">
        <f t="shared" si="17"/>
        <v>4242100.74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v>0</v>
      </c>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v>0</v>
      </c>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v>0</v>
      </c>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v>0</v>
      </c>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v>0</v>
      </c>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v>0</v>
      </c>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v>0</v>
      </c>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v>0</v>
      </c>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1495</v>
      </c>
      <c r="N88" s="91">
        <f t="shared" si="20"/>
        <v>7960.05</v>
      </c>
      <c r="O88" s="91">
        <f t="shared" si="20"/>
        <v>24710.75</v>
      </c>
      <c r="P88" s="91">
        <f t="shared" si="20"/>
        <v>105104.95000000001</v>
      </c>
      <c r="Q88" s="91">
        <f t="shared" si="20"/>
        <v>136140.04999999999</v>
      </c>
      <c r="R88" s="91">
        <f t="shared" si="20"/>
        <v>1269375.97</v>
      </c>
      <c r="S88">
        <v>86</v>
      </c>
    </row>
    <row r="89" spans="2:19" x14ac:dyDescent="0.25">
      <c r="C89">
        <v>420</v>
      </c>
      <c r="D89" t="s">
        <v>148</v>
      </c>
      <c r="E89" s="4">
        <v>0</v>
      </c>
      <c r="F89" s="4">
        <v>0</v>
      </c>
      <c r="G89" s="4">
        <v>0</v>
      </c>
      <c r="H89" s="4">
        <v>0</v>
      </c>
      <c r="I89" s="4">
        <v>0</v>
      </c>
      <c r="J89" s="4">
        <v>0</v>
      </c>
      <c r="K89" s="4">
        <v>0</v>
      </c>
      <c r="L89" s="4">
        <v>0</v>
      </c>
      <c r="M89" s="4">
        <v>0</v>
      </c>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v>0</v>
      </c>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v>0</v>
      </c>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v>0</v>
      </c>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v>0</v>
      </c>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v>1495</v>
      </c>
      <c r="N94" s="4">
        <v>327.8</v>
      </c>
      <c r="O94" s="4">
        <v>24710.75</v>
      </c>
      <c r="P94" s="4">
        <v>72200.600000000006</v>
      </c>
      <c r="Q94" s="4">
        <v>80770.899999999994</v>
      </c>
      <c r="R94" s="4">
        <f t="shared" si="21"/>
        <v>998799.94</v>
      </c>
      <c r="S94">
        <v>92</v>
      </c>
    </row>
    <row r="95" spans="2:19" x14ac:dyDescent="0.25">
      <c r="C95">
        <v>426</v>
      </c>
      <c r="D95" t="s">
        <v>154</v>
      </c>
      <c r="E95" s="4">
        <v>450</v>
      </c>
      <c r="F95" s="4">
        <v>891.55</v>
      </c>
      <c r="G95" s="4">
        <v>3000</v>
      </c>
      <c r="H95" s="4">
        <v>1543.6</v>
      </c>
      <c r="I95" s="4">
        <v>10389.1</v>
      </c>
      <c r="J95" s="4">
        <v>58310.9</v>
      </c>
      <c r="K95" s="4">
        <v>1317.55</v>
      </c>
      <c r="L95" s="4">
        <v>10561.83</v>
      </c>
      <c r="M95" s="4">
        <v>0</v>
      </c>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v>0</v>
      </c>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v>0</v>
      </c>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v>0</v>
      </c>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v>0</v>
      </c>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v>0</v>
      </c>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3625.72</v>
      </c>
      <c r="N105" s="91">
        <f t="shared" si="23"/>
        <v>4367.3</v>
      </c>
      <c r="O105" s="91">
        <f t="shared" si="23"/>
        <v>116940.45</v>
      </c>
      <c r="P105" s="91">
        <f t="shared" si="23"/>
        <v>99670.8</v>
      </c>
      <c r="Q105" s="91">
        <f t="shared" si="23"/>
        <v>37231.550000000003</v>
      </c>
      <c r="R105" s="91">
        <f t="shared" si="23"/>
        <v>1961053.9500000002</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v>79.89</v>
      </c>
      <c r="N106" s="4">
        <v>3.3</v>
      </c>
      <c r="O106" s="4">
        <v>363.45</v>
      </c>
      <c r="P106" s="4">
        <v>3.25</v>
      </c>
      <c r="Q106" s="4">
        <v>2155</v>
      </c>
      <c r="R106" s="4">
        <f t="shared" ref="R106:R115" si="24">SUM(E106:Q106)</f>
        <v>49142.789999999994</v>
      </c>
      <c r="S106">
        <v>104</v>
      </c>
    </row>
    <row r="107" spans="2:19" x14ac:dyDescent="0.25">
      <c r="C107">
        <v>441</v>
      </c>
      <c r="D107" t="s">
        <v>164</v>
      </c>
      <c r="E107" s="4">
        <v>0</v>
      </c>
      <c r="F107" s="4">
        <v>0</v>
      </c>
      <c r="G107" s="4">
        <v>0</v>
      </c>
      <c r="H107" s="4">
        <v>0</v>
      </c>
      <c r="I107" s="4">
        <v>0</v>
      </c>
      <c r="J107" s="4">
        <v>9352.2800000000007</v>
      </c>
      <c r="K107" s="4">
        <v>0</v>
      </c>
      <c r="L107" s="4">
        <v>0</v>
      </c>
      <c r="M107" s="4">
        <v>0</v>
      </c>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v>0</v>
      </c>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v>0</v>
      </c>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v>0</v>
      </c>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v>3569</v>
      </c>
      <c r="N113" s="4">
        <v>4364</v>
      </c>
      <c r="O113" s="4">
        <v>81777</v>
      </c>
      <c r="P113" s="4">
        <v>66904.850000000006</v>
      </c>
      <c r="Q113" s="4">
        <v>32876.550000000003</v>
      </c>
      <c r="R113" s="4">
        <f t="shared" si="24"/>
        <v>798597.85000000009</v>
      </c>
      <c r="S113">
        <v>111</v>
      </c>
    </row>
    <row r="114" spans="2:19"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v>-23.17</v>
      </c>
      <c r="N115" s="4">
        <v>0</v>
      </c>
      <c r="O115" s="4">
        <v>0</v>
      </c>
      <c r="P115" s="4">
        <v>0</v>
      </c>
      <c r="Q115" s="4">
        <v>0</v>
      </c>
      <c r="R115" s="4">
        <f t="shared" si="24"/>
        <v>-23.17</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23.17</v>
      </c>
      <c r="N117" s="91">
        <f t="shared" si="25"/>
        <v>0</v>
      </c>
      <c r="O117" s="91">
        <f t="shared" si="25"/>
        <v>5456</v>
      </c>
      <c r="P117" s="91">
        <f t="shared" si="25"/>
        <v>39</v>
      </c>
      <c r="Q117" s="91">
        <f t="shared" si="25"/>
        <v>3900</v>
      </c>
      <c r="R117" s="91">
        <f t="shared" si="25"/>
        <v>201048.74000000002</v>
      </c>
      <c r="S117">
        <v>115</v>
      </c>
    </row>
    <row r="118" spans="2:19" x14ac:dyDescent="0.25">
      <c r="C118">
        <v>450</v>
      </c>
      <c r="D118" t="s">
        <v>172</v>
      </c>
      <c r="E118" s="4">
        <v>0</v>
      </c>
      <c r="F118" s="4">
        <v>0</v>
      </c>
      <c r="G118" s="4">
        <v>0</v>
      </c>
      <c r="H118" s="4">
        <v>0</v>
      </c>
      <c r="I118" s="4">
        <v>0</v>
      </c>
      <c r="J118" s="4">
        <v>0</v>
      </c>
      <c r="K118" s="4">
        <v>0</v>
      </c>
      <c r="L118" s="4">
        <v>2200</v>
      </c>
      <c r="M118" s="4">
        <v>23.17</v>
      </c>
      <c r="N118" s="4">
        <v>0</v>
      </c>
      <c r="O118" s="4">
        <v>0</v>
      </c>
      <c r="P118" s="4">
        <v>39</v>
      </c>
      <c r="Q118" s="4">
        <v>0</v>
      </c>
      <c r="R118" s="4">
        <f>SUM(E118:Q118)</f>
        <v>2262.17</v>
      </c>
      <c r="S118">
        <v>116</v>
      </c>
    </row>
    <row r="119" spans="2:19" x14ac:dyDescent="0.25">
      <c r="C119">
        <v>451</v>
      </c>
      <c r="D119" t="s">
        <v>173</v>
      </c>
      <c r="E119" s="4">
        <v>0</v>
      </c>
      <c r="F119" s="4">
        <v>0</v>
      </c>
      <c r="G119" s="4">
        <v>5087.25</v>
      </c>
      <c r="H119" s="4">
        <v>0</v>
      </c>
      <c r="I119" s="4">
        <v>10043.32</v>
      </c>
      <c r="J119" s="4">
        <v>174300</v>
      </c>
      <c r="K119" s="4">
        <v>0</v>
      </c>
      <c r="L119" s="4">
        <v>0</v>
      </c>
      <c r="M119" s="4">
        <v>0</v>
      </c>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601.95000000000005</v>
      </c>
      <c r="N121" s="91">
        <f t="shared" si="26"/>
        <v>16959.349999999999</v>
      </c>
      <c r="O121" s="91">
        <f t="shared" si="26"/>
        <v>12293.8</v>
      </c>
      <c r="P121" s="91">
        <f t="shared" si="26"/>
        <v>1037.8499999999999</v>
      </c>
      <c r="Q121" s="91">
        <f t="shared" si="26"/>
        <v>225084.4</v>
      </c>
      <c r="R121" s="91">
        <f t="shared" si="26"/>
        <v>545859.54999999993</v>
      </c>
      <c r="S121">
        <v>119</v>
      </c>
    </row>
    <row r="122" spans="2:19"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v>0</v>
      </c>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v>500</v>
      </c>
      <c r="N125" s="4">
        <v>16730.3</v>
      </c>
      <c r="O125" s="4">
        <v>11832.5</v>
      </c>
      <c r="P125" s="4">
        <v>0</v>
      </c>
      <c r="Q125" s="4">
        <v>224733.3</v>
      </c>
      <c r="R125" s="4">
        <f>SUM(E125:Q125)</f>
        <v>536100.39999999991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v>101.95</v>
      </c>
      <c r="N126" s="4">
        <v>229.05</v>
      </c>
      <c r="O126" s="4">
        <v>461.3</v>
      </c>
      <c r="P126" s="4">
        <v>1037.8499999999999</v>
      </c>
      <c r="Q126" s="4">
        <v>351.1</v>
      </c>
      <c r="R126" s="4">
        <f>SUM(E126:Q126)</f>
        <v>9059.15</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v>0</v>
      </c>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v>0</v>
      </c>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v>0</v>
      </c>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v>0</v>
      </c>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v>0</v>
      </c>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v>0</v>
      </c>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-6491.91</v>
      </c>
      <c r="N153" s="108">
        <f t="shared" si="32"/>
        <v>1012.91</v>
      </c>
      <c r="O153" s="108">
        <f t="shared" si="32"/>
        <v>2904.41</v>
      </c>
      <c r="P153" s="108">
        <f t="shared" si="32"/>
        <v>5845.23</v>
      </c>
      <c r="Q153" s="108">
        <f t="shared" si="32"/>
        <v>-8426.5400000000009</v>
      </c>
      <c r="R153" s="108">
        <f t="shared" si="32"/>
        <v>155517.29</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v>-6491.91</v>
      </c>
      <c r="N154" s="4">
        <v>1012.91</v>
      </c>
      <c r="O154" s="4">
        <v>2904.41</v>
      </c>
      <c r="P154" s="4">
        <v>5845.23</v>
      </c>
      <c r="Q154" s="4">
        <v>-8426.5400000000009</v>
      </c>
      <c r="R154" s="4">
        <f>SUM(E154:Q154)</f>
        <v>155517.29</v>
      </c>
      <c r="S154">
        <v>152</v>
      </c>
    </row>
    <row r="155" spans="1:19" x14ac:dyDescent="0.25">
      <c r="C155">
        <v>901</v>
      </c>
      <c r="D155" t="s">
        <v>197</v>
      </c>
      <c r="E155" s="4">
        <v>0</v>
      </c>
      <c r="F155" s="4">
        <v>0</v>
      </c>
      <c r="G155" s="4">
        <v>0</v>
      </c>
      <c r="H155" s="4">
        <v>0</v>
      </c>
      <c r="I155" s="4">
        <v>0</v>
      </c>
      <c r="J155" s="4">
        <v>0</v>
      </c>
      <c r="K155" s="4">
        <v>0</v>
      </c>
      <c r="L155" s="4">
        <v>0</v>
      </c>
      <c r="M155" s="4">
        <v>0</v>
      </c>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-6491.91</v>
      </c>
      <c r="N157" s="41">
        <f t="shared" si="33"/>
        <v>1012.91</v>
      </c>
      <c r="O157" s="41">
        <f t="shared" si="33"/>
        <v>2904.41</v>
      </c>
      <c r="P157" s="41">
        <f t="shared" si="33"/>
        <v>5845.23</v>
      </c>
      <c r="Q157" s="41">
        <f t="shared" si="33"/>
        <v>-8426.5400000000009</v>
      </c>
      <c r="R157" s="41">
        <f t="shared" si="33"/>
        <v>155517.29</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-6491.9100000000008</v>
      </c>
      <c r="N159" s="41">
        <f t="shared" si="34"/>
        <v>1012.9099999999962</v>
      </c>
      <c r="O159" s="41">
        <f t="shared" si="34"/>
        <v>2904.4099999999744</v>
      </c>
      <c r="P159" s="41">
        <f t="shared" si="34"/>
        <v>5845.2300000000105</v>
      </c>
      <c r="Q159" s="41">
        <f t="shared" si="34"/>
        <v>-8426.5400000000373</v>
      </c>
      <c r="R159" s="41">
        <f t="shared" si="34"/>
        <v>155517.2900000005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-4.9476511776447296E-10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12237.75</v>
      </c>
      <c r="N164" s="4">
        <f t="shared" si="37"/>
        <v>28273.79</v>
      </c>
      <c r="O164" s="4">
        <f t="shared" si="37"/>
        <v>148481.49000000002</v>
      </c>
      <c r="P164" s="4">
        <f t="shared" si="37"/>
        <v>154254.49</v>
      </c>
      <c r="Q164" s="4">
        <f t="shared" si="37"/>
        <v>383378.39</v>
      </c>
      <c r="R164" s="4">
        <f t="shared" si="37"/>
        <v>3286495.6599999997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2120.12</v>
      </c>
      <c r="N165" s="4">
        <f t="shared" si="38"/>
        <v>24919.399999999998</v>
      </c>
      <c r="O165" s="4">
        <f t="shared" si="38"/>
        <v>42460.55</v>
      </c>
      <c r="P165" s="4">
        <f t="shared" si="38"/>
        <v>106181.80000000002</v>
      </c>
      <c r="Q165" s="4">
        <f t="shared" si="38"/>
        <v>365124.44999999995</v>
      </c>
      <c r="R165" s="4">
        <f t="shared" si="38"/>
        <v>2038340.7599999998</v>
      </c>
      <c r="S165">
        <v>163</v>
      </c>
    </row>
    <row r="167" spans="4:19" x14ac:dyDescent="0.25">
      <c r="L167" s="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E3" sqref="E3"/>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c r="D4" s="60" t="s">
        <v>758</v>
      </c>
    </row>
    <row r="5" spans="1:5" ht="15.75" thickBot="1" x14ac:dyDescent="0.3">
      <c r="A5" t="s">
        <v>749</v>
      </c>
      <c r="D5" s="174" t="s">
        <v>752</v>
      </c>
    </row>
    <row r="7" spans="1:5" x14ac:dyDescent="0.25">
      <c r="E7" s="65" t="s">
        <v>202</v>
      </c>
    </row>
    <row r="8" spans="1:5" ht="21" x14ac:dyDescent="0.35">
      <c r="A8" s="92">
        <v>3</v>
      </c>
      <c r="B8" s="92"/>
      <c r="C8" s="92"/>
      <c r="D8" s="92" t="s">
        <v>60</v>
      </c>
      <c r="E8" s="171">
        <f>HLOOKUP($D$5,'8.1 Bourgeoisies Comptes 2021'!$E$3:$R$165,2,0)</f>
        <v>12237.75</v>
      </c>
    </row>
    <row r="9" spans="1:5" x14ac:dyDescent="0.25">
      <c r="A9" s="94"/>
      <c r="B9" s="94">
        <v>30</v>
      </c>
      <c r="C9" s="94"/>
      <c r="D9" s="94" t="s">
        <v>61</v>
      </c>
      <c r="E9" s="95">
        <f>HLOOKUP($D$5,'8.1 Bourgeoisies Comptes 2021'!$E$3:$R$165,3,0)</f>
        <v>2263.3000000000002</v>
      </c>
    </row>
    <row r="10" spans="1:5" x14ac:dyDescent="0.25">
      <c r="C10">
        <v>300</v>
      </c>
      <c r="D10" t="s">
        <v>80</v>
      </c>
      <c r="E10" s="89">
        <f>HLOOKUP($D$5,'8.1 Bourgeoisies Comptes 2021'!$E$3:$R$165,4,0)</f>
        <v>450</v>
      </c>
    </row>
    <row r="11" spans="1:5" x14ac:dyDescent="0.25">
      <c r="C11">
        <v>301</v>
      </c>
      <c r="D11" t="s">
        <v>81</v>
      </c>
      <c r="E11" s="89">
        <f>HLOOKUP($D$5,'8.1 Bourgeoisies Comptes 2021'!$E$3:$R$165,5,0)</f>
        <v>1490.7</v>
      </c>
    </row>
    <row r="12" spans="1:5" x14ac:dyDescent="0.25">
      <c r="C12">
        <v>302</v>
      </c>
      <c r="D12" t="s">
        <v>82</v>
      </c>
      <c r="E12" s="89">
        <f>HLOOKUP($D$5,'8.1 Bourgeoisies Comptes 2021'!$E$3:$R$165,6,0)</f>
        <v>0</v>
      </c>
    </row>
    <row r="13" spans="1:5" x14ac:dyDescent="0.25">
      <c r="C13">
        <v>303</v>
      </c>
      <c r="D13" t="s">
        <v>83</v>
      </c>
      <c r="E13" s="89">
        <f>HLOOKUP($D$5,'8.1 Bourgeoisies Comptes 2021'!$E$3:$R$165,7,0)</f>
        <v>0</v>
      </c>
    </row>
    <row r="14" spans="1:5" x14ac:dyDescent="0.25">
      <c r="C14">
        <v>304</v>
      </c>
      <c r="D14" t="s">
        <v>583</v>
      </c>
      <c r="E14" s="89">
        <f>HLOOKUP($D$5,'8.1 Bourgeoisies Comptes 2021'!$E$3:$R$165,8,0)</f>
        <v>0</v>
      </c>
    </row>
    <row r="15" spans="1:5" x14ac:dyDescent="0.25">
      <c r="C15">
        <v>305</v>
      </c>
      <c r="D15" t="s">
        <v>84</v>
      </c>
      <c r="E15" s="89">
        <f>HLOOKUP($D$5,'8.1 Bourgeoisies Comptes 2021'!$E$3:$R$165,9,0)</f>
        <v>322.60000000000002</v>
      </c>
    </row>
    <row r="16" spans="1:5" x14ac:dyDescent="0.25">
      <c r="C16">
        <v>306</v>
      </c>
      <c r="D16" t="s">
        <v>85</v>
      </c>
      <c r="E16" s="89">
        <f>HLOOKUP($D$5,'8.1 Bourgeoisies Comptes 2021'!$E$3:$R$165,10,0)</f>
        <v>0</v>
      </c>
    </row>
    <row r="17" spans="2:5" x14ac:dyDescent="0.25">
      <c r="C17">
        <v>309</v>
      </c>
      <c r="D17" t="s">
        <v>86</v>
      </c>
      <c r="E17" s="89">
        <f>HLOOKUP($D$5,'8.1 Bourgeoisies Comptes 2021'!$E$3:$R$165,11,0)</f>
        <v>0</v>
      </c>
    </row>
    <row r="18" spans="2:5" x14ac:dyDescent="0.25">
      <c r="E18" s="4"/>
    </row>
    <row r="19" spans="2:5" x14ac:dyDescent="0.25">
      <c r="B19" s="94">
        <v>31</v>
      </c>
      <c r="C19" s="94"/>
      <c r="D19" s="94" t="s">
        <v>87</v>
      </c>
      <c r="E19" s="95">
        <f>SUM(E20:E29)</f>
        <v>7152.1999999999989</v>
      </c>
    </row>
    <row r="20" spans="2:5" x14ac:dyDescent="0.25">
      <c r="C20">
        <v>310</v>
      </c>
      <c r="D20" t="s">
        <v>88</v>
      </c>
      <c r="E20" s="89">
        <f>HLOOKUP($D$5,'8.1 Bourgeoisies Comptes 2021'!$E$3:$R$165,14,0)</f>
        <v>53.95</v>
      </c>
    </row>
    <row r="21" spans="2:5" x14ac:dyDescent="0.25">
      <c r="C21">
        <v>311</v>
      </c>
      <c r="D21" t="s">
        <v>452</v>
      </c>
      <c r="E21" s="89">
        <f>HLOOKUP($D$5,'8.1 Bourgeoisies Comptes 2021'!$E$3:$R$165,15,0)</f>
        <v>0</v>
      </c>
    </row>
    <row r="22" spans="2:5" x14ac:dyDescent="0.25">
      <c r="C22">
        <v>312</v>
      </c>
      <c r="D22" t="s">
        <v>90</v>
      </c>
      <c r="E22" s="89">
        <f>HLOOKUP($D$5,'8.1 Bourgeoisies Comptes 2021'!$E$3:$R$165,16,0)</f>
        <v>1259.45</v>
      </c>
    </row>
    <row r="23" spans="2:5" x14ac:dyDescent="0.25">
      <c r="C23">
        <v>313</v>
      </c>
      <c r="D23" t="s">
        <v>91</v>
      </c>
      <c r="E23" s="89">
        <f>HLOOKUP($D$5,'8.1 Bourgeoisies Comptes 2021'!$E$3:$R$165,17,0)</f>
        <v>4932.6499999999996</v>
      </c>
    </row>
    <row r="24" spans="2:5" x14ac:dyDescent="0.25">
      <c r="C24">
        <v>314</v>
      </c>
      <c r="D24" t="s">
        <v>92</v>
      </c>
      <c r="E24" s="89">
        <f>HLOOKUP($D$5,'8.1 Bourgeoisies Comptes 2021'!$E$3:$R$165,18,0)</f>
        <v>0</v>
      </c>
    </row>
    <row r="25" spans="2:5" x14ac:dyDescent="0.25">
      <c r="C25">
        <v>315</v>
      </c>
      <c r="D25" t="s">
        <v>93</v>
      </c>
      <c r="E25" s="89">
        <f>HLOOKUP($D$5,'8.1 Bourgeoisies Comptes 2021'!$E$3:$R$165,19,0)</f>
        <v>270.2</v>
      </c>
    </row>
    <row r="26" spans="2:5" x14ac:dyDescent="0.25">
      <c r="C26">
        <v>316</v>
      </c>
      <c r="D26" t="s">
        <v>94</v>
      </c>
      <c r="E26" s="89">
        <f>HLOOKUP($D$5,'8.1 Bourgeoisies Comptes 2021'!$E$3:$R$165,20,0)</f>
        <v>0</v>
      </c>
    </row>
    <row r="27" spans="2:5" x14ac:dyDescent="0.25">
      <c r="C27">
        <v>317</v>
      </c>
      <c r="D27" t="s">
        <v>95</v>
      </c>
      <c r="E27" s="89">
        <f>HLOOKUP($D$5,'8.1 Bourgeoisies Comptes 2021'!$E$3:$R$165,21,0)</f>
        <v>635.95000000000005</v>
      </c>
    </row>
    <row r="28" spans="2:5" x14ac:dyDescent="0.25">
      <c r="C28">
        <v>318</v>
      </c>
      <c r="D28" t="s">
        <v>96</v>
      </c>
      <c r="E28" s="89">
        <f>HLOOKUP($D$5,'8.1 Bourgeoisies Comptes 2021'!$E$3:$R$165,22,0)</f>
        <v>0</v>
      </c>
    </row>
    <row r="29" spans="2:5" x14ac:dyDescent="0.25">
      <c r="C29">
        <v>319</v>
      </c>
      <c r="D29" t="s">
        <v>97</v>
      </c>
      <c r="E29" s="89">
        <f>HLOOKUP($D$5,'8.1 Bourgeoisies Comptes 2021'!$E$3:$R$165,23,0)</f>
        <v>0</v>
      </c>
    </row>
    <row r="30" spans="2:5" x14ac:dyDescent="0.25">
      <c r="E30" s="4"/>
    </row>
    <row r="31" spans="2:5" x14ac:dyDescent="0.25">
      <c r="B31" s="94">
        <v>33</v>
      </c>
      <c r="C31" s="94"/>
      <c r="D31" s="94" t="s">
        <v>98</v>
      </c>
      <c r="E31" s="95">
        <f>SUM(E32:E33)</f>
        <v>1332.5</v>
      </c>
    </row>
    <row r="32" spans="2:5" x14ac:dyDescent="0.25">
      <c r="C32">
        <v>330</v>
      </c>
      <c r="D32" t="s">
        <v>100</v>
      </c>
      <c r="E32" s="89">
        <f>HLOOKUP($D$5,'8.1 Bourgeoisies Comptes 2021'!$E$3:$R$165,26,0)</f>
        <v>1332.5</v>
      </c>
    </row>
    <row r="33" spans="2:5" x14ac:dyDescent="0.25">
      <c r="C33">
        <v>332</v>
      </c>
      <c r="D33" t="s">
        <v>99</v>
      </c>
      <c r="E33" s="89">
        <f>HLOOKUP($D$5,'8.1 Bourgeoisies Comptes 2021'!$E$3:$R$165,27,0)</f>
        <v>0</v>
      </c>
    </row>
    <row r="34" spans="2:5" x14ac:dyDescent="0.25">
      <c r="E34" s="4"/>
    </row>
    <row r="35" spans="2:5" x14ac:dyDescent="0.25">
      <c r="B35" s="94">
        <v>34</v>
      </c>
      <c r="C35" s="94"/>
      <c r="D35" s="94" t="s">
        <v>101</v>
      </c>
      <c r="E35" s="95">
        <f>SUM(E36:E41)</f>
        <v>0</v>
      </c>
    </row>
    <row r="36" spans="2:5" x14ac:dyDescent="0.25">
      <c r="C36">
        <v>340</v>
      </c>
      <c r="D36" t="s">
        <v>102</v>
      </c>
      <c r="E36" s="89">
        <f>HLOOKUP($D$5,'8.1 Bourgeoisies Comptes 2021'!$E$3:$R$165,30,0)</f>
        <v>0</v>
      </c>
    </row>
    <row r="37" spans="2:5" x14ac:dyDescent="0.25">
      <c r="C37">
        <v>341</v>
      </c>
      <c r="D37" t="s">
        <v>103</v>
      </c>
      <c r="E37" s="89">
        <f>HLOOKUP($D$5,'8.1 Bourgeoisies Comptes 2021'!$E$3:$R$165,31,0)</f>
        <v>0</v>
      </c>
    </row>
    <row r="38" spans="2:5" x14ac:dyDescent="0.25">
      <c r="C38">
        <v>342</v>
      </c>
      <c r="D38" t="s">
        <v>104</v>
      </c>
      <c r="E38" s="89">
        <f>HLOOKUP($D$5,'8.1 Bourgeoisies Comptes 2021'!$E$3:$R$165,32,0)</f>
        <v>0</v>
      </c>
    </row>
    <row r="39" spans="2:5" x14ac:dyDescent="0.25">
      <c r="C39">
        <v>343</v>
      </c>
      <c r="D39" t="s">
        <v>105</v>
      </c>
      <c r="E39" s="89">
        <f>HLOOKUP($D$5,'8.1 Bourgeoisies Comptes 2021'!$E$3:$R$165,33,0)</f>
        <v>0</v>
      </c>
    </row>
    <row r="40" spans="2:5" x14ac:dyDescent="0.25">
      <c r="C40">
        <v>344</v>
      </c>
      <c r="D40" t="s">
        <v>106</v>
      </c>
      <c r="E40" s="89">
        <f>HLOOKUP($D$5,'8.1 Bourgeoisies Comptes 2021'!$E$3:$R$165,34,0)</f>
        <v>0</v>
      </c>
    </row>
    <row r="41" spans="2:5" x14ac:dyDescent="0.25">
      <c r="C41">
        <v>349</v>
      </c>
      <c r="D41" t="s">
        <v>107</v>
      </c>
      <c r="E41" s="89">
        <f>HLOOKUP($D$5,'8.1 Bourgeoisies Comptes 2021'!$E$3:$R$165,35,0)</f>
        <v>0</v>
      </c>
    </row>
    <row r="42" spans="2:5" x14ac:dyDescent="0.25">
      <c r="E42" s="4"/>
    </row>
    <row r="43" spans="2:5" x14ac:dyDescent="0.25">
      <c r="B43" s="94">
        <v>35</v>
      </c>
      <c r="C43" s="94"/>
      <c r="D43" s="94" t="s">
        <v>109</v>
      </c>
      <c r="E43" s="95">
        <f>SUM(E44:E45)</f>
        <v>0</v>
      </c>
    </row>
    <row r="44" spans="2:5" x14ac:dyDescent="0.25">
      <c r="C44">
        <v>350</v>
      </c>
      <c r="D44" t="s">
        <v>109</v>
      </c>
      <c r="E44" s="89">
        <f>HLOOKUP($D$5,'8.1 Bourgeoisies Comptes 2021'!$E$3:$R$165,38,0)</f>
        <v>0</v>
      </c>
    </row>
    <row r="45" spans="2:5" x14ac:dyDescent="0.25">
      <c r="C45">
        <v>351</v>
      </c>
      <c r="D45" t="s">
        <v>108</v>
      </c>
      <c r="E45" s="89">
        <f>HLOOKUP($D$5,'8.1 Bourgeoisies Comptes 2021'!$E$3:$R$165,39,0)</f>
        <v>0</v>
      </c>
    </row>
    <row r="46" spans="2:5" x14ac:dyDescent="0.25">
      <c r="E46" s="4"/>
    </row>
    <row r="47" spans="2:5" x14ac:dyDescent="0.25">
      <c r="B47" s="94">
        <v>36</v>
      </c>
      <c r="C47" s="94"/>
      <c r="D47" s="94" t="s">
        <v>110</v>
      </c>
      <c r="E47" s="95">
        <f>SUM(E48:E55)</f>
        <v>1489.75</v>
      </c>
    </row>
    <row r="48" spans="2:5" x14ac:dyDescent="0.25">
      <c r="C48">
        <v>360</v>
      </c>
      <c r="D48" t="s">
        <v>111</v>
      </c>
      <c r="E48" s="89">
        <f>HLOOKUP($D$5,'8.1 Bourgeoisies Comptes 2021'!$E$3:$R$165,42,0)</f>
        <v>0</v>
      </c>
    </row>
    <row r="49" spans="2:5" x14ac:dyDescent="0.25">
      <c r="C49">
        <v>361</v>
      </c>
      <c r="D49" t="s">
        <v>112</v>
      </c>
      <c r="E49" s="89">
        <f>HLOOKUP($D$5,'8.1 Bourgeoisies Comptes 2021'!$E$3:$R$165,43,0)</f>
        <v>0</v>
      </c>
    </row>
    <row r="50" spans="2:5" x14ac:dyDescent="0.25">
      <c r="C50">
        <v>362</v>
      </c>
      <c r="D50" t="s">
        <v>113</v>
      </c>
      <c r="E50" s="89">
        <f>HLOOKUP($D$5,'8.1 Bourgeoisies Comptes 2021'!$E$3:$R$165,44,0)</f>
        <v>0</v>
      </c>
    </row>
    <row r="51" spans="2:5" x14ac:dyDescent="0.25">
      <c r="C51">
        <v>363</v>
      </c>
      <c r="D51" t="s">
        <v>114</v>
      </c>
      <c r="E51" s="89">
        <f>HLOOKUP($D$5,'8.1 Bourgeoisies Comptes 2021'!$E$3:$R$165,45,0)</f>
        <v>1489.75</v>
      </c>
    </row>
    <row r="52" spans="2:5" x14ac:dyDescent="0.25">
      <c r="C52">
        <v>364</v>
      </c>
      <c r="D52" t="s">
        <v>115</v>
      </c>
      <c r="E52" s="89">
        <f>HLOOKUP($D$5,'8.1 Bourgeoisies Comptes 2021'!$E$3:$R$165,46,0)</f>
        <v>0</v>
      </c>
    </row>
    <row r="53" spans="2:5" x14ac:dyDescent="0.25">
      <c r="C53">
        <v>365</v>
      </c>
      <c r="D53" t="s">
        <v>116</v>
      </c>
      <c r="E53" s="89">
        <f>HLOOKUP($D$5,'8.1 Bourgeoisies Comptes 2021'!$E$3:$R$165,47,0)</f>
        <v>0</v>
      </c>
    </row>
    <row r="54" spans="2:5" x14ac:dyDescent="0.25">
      <c r="C54">
        <v>366</v>
      </c>
      <c r="D54" t="s">
        <v>117</v>
      </c>
      <c r="E54" s="89">
        <f>HLOOKUP($D$5,'8.1 Bourgeoisies Comptes 2021'!$E$3:$R$165,48,0)</f>
        <v>0</v>
      </c>
    </row>
    <row r="55" spans="2:5" x14ac:dyDescent="0.25">
      <c r="C55">
        <v>369</v>
      </c>
      <c r="D55" t="s">
        <v>118</v>
      </c>
      <c r="E55" s="89">
        <f>HLOOKUP($D$5,'8.1 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HLOOKUP($D$5,'8.1 Bourgeoisies Comptes 2021'!$E$3:$R$165,52,0)</f>
        <v>0</v>
      </c>
    </row>
    <row r="59" spans="2:5" x14ac:dyDescent="0.25">
      <c r="E59" s="4"/>
    </row>
    <row r="60" spans="2:5" x14ac:dyDescent="0.25">
      <c r="B60" s="94">
        <v>38</v>
      </c>
      <c r="C60" s="94"/>
      <c r="D60" s="94" t="s">
        <v>121</v>
      </c>
      <c r="E60" s="95">
        <f>SUM(E61:E66)</f>
        <v>0</v>
      </c>
    </row>
    <row r="61" spans="2:5" x14ac:dyDescent="0.25">
      <c r="C61">
        <v>380</v>
      </c>
      <c r="D61" t="s">
        <v>122</v>
      </c>
      <c r="E61" s="89">
        <f>HLOOKUP($D$5,'8.1 Bourgeoisies Comptes 2021'!$E$3:$R$165,55,0)</f>
        <v>0</v>
      </c>
    </row>
    <row r="62" spans="2:5" x14ac:dyDescent="0.25">
      <c r="C62">
        <v>381</v>
      </c>
      <c r="D62" t="s">
        <v>123</v>
      </c>
      <c r="E62" s="89">
        <f>HLOOKUP($D$5,'8.1 Bourgeoisies Comptes 2021'!$E$3:$R$165,56,0)</f>
        <v>0</v>
      </c>
    </row>
    <row r="63" spans="2:5" x14ac:dyDescent="0.25">
      <c r="C63">
        <v>384</v>
      </c>
      <c r="D63" t="s">
        <v>124</v>
      </c>
      <c r="E63" s="89">
        <f>HLOOKUP($D$5,'8.1 Bourgeoisies Comptes 2021'!$E$3:$R$165,57,0)</f>
        <v>0</v>
      </c>
    </row>
    <row r="64" spans="2:5" x14ac:dyDescent="0.25">
      <c r="C64">
        <v>385</v>
      </c>
      <c r="D64" t="s">
        <v>125</v>
      </c>
      <c r="E64" s="89">
        <f>HLOOKUP($D$5,'8.1 Bourgeoisies Comptes 2021'!$E$3:$R$165,58,0)</f>
        <v>0</v>
      </c>
    </row>
    <row r="65" spans="1:5" x14ac:dyDescent="0.25">
      <c r="C65">
        <v>386</v>
      </c>
      <c r="D65" t="s">
        <v>126</v>
      </c>
      <c r="E65" s="89">
        <f>HLOOKUP($D$5,'8.1 Bourgeoisies Comptes 2021'!$E$3:$R$165,59,0)</f>
        <v>0</v>
      </c>
    </row>
    <row r="66" spans="1:5" x14ac:dyDescent="0.25">
      <c r="C66">
        <v>389</v>
      </c>
      <c r="D66" t="s">
        <v>290</v>
      </c>
      <c r="E66" s="89">
        <f>HLOOKUP($D$5,'8.1 Bourgeoisies Comptes 2021'!$E$3:$R$165,60,0)</f>
        <v>0</v>
      </c>
    </row>
    <row r="67" spans="1:5" x14ac:dyDescent="0.25">
      <c r="E67" s="4"/>
    </row>
    <row r="68" spans="1:5" x14ac:dyDescent="0.25">
      <c r="B68" s="94">
        <v>39</v>
      </c>
      <c r="C68" s="94"/>
      <c r="D68" s="94" t="s">
        <v>128</v>
      </c>
      <c r="E68" s="95">
        <f>SUM(E69:E76)</f>
        <v>0</v>
      </c>
    </row>
    <row r="69" spans="1:5" x14ac:dyDescent="0.25">
      <c r="C69">
        <v>390</v>
      </c>
      <c r="D69" t="s">
        <v>129</v>
      </c>
      <c r="E69" s="89">
        <f>HLOOKUP($D$5,'8.1 Bourgeoisies Comptes 2021'!$E$3:$R$165,63,0)</f>
        <v>0</v>
      </c>
    </row>
    <row r="70" spans="1:5" x14ac:dyDescent="0.25">
      <c r="C70">
        <v>391</v>
      </c>
      <c r="D70" t="s">
        <v>130</v>
      </c>
      <c r="E70" s="89">
        <f>HLOOKUP($D$5,'8.1 Bourgeoisies Comptes 2021'!$E$3:$R$165,64,0)</f>
        <v>0</v>
      </c>
    </row>
    <row r="71" spans="1:5" x14ac:dyDescent="0.25">
      <c r="C71">
        <v>392</v>
      </c>
      <c r="D71" t="s">
        <v>131</v>
      </c>
      <c r="E71" s="89">
        <f>HLOOKUP($D$5,'8.1 Bourgeoisies Comptes 2021'!$E$3:$R$165,65,0)</f>
        <v>0</v>
      </c>
    </row>
    <row r="72" spans="1:5" x14ac:dyDescent="0.25">
      <c r="C72">
        <v>393</v>
      </c>
      <c r="D72" t="s">
        <v>132</v>
      </c>
      <c r="E72" s="89">
        <f>HLOOKUP($D$5,'8.1 Bourgeoisies Comptes 2021'!$E$3:$R$165,66,0)</f>
        <v>0</v>
      </c>
    </row>
    <row r="73" spans="1:5" x14ac:dyDescent="0.25">
      <c r="C73">
        <v>394</v>
      </c>
      <c r="D73" t="s">
        <v>133</v>
      </c>
      <c r="E73" s="89">
        <f>HLOOKUP($D$5,'8.1 Bourgeoisies Comptes 2021'!$E$3:$R$165,67,0)</f>
        <v>0</v>
      </c>
    </row>
    <row r="74" spans="1:5" x14ac:dyDescent="0.25">
      <c r="C74">
        <v>395</v>
      </c>
      <c r="D74" t="s">
        <v>134</v>
      </c>
      <c r="E74" s="89">
        <f>HLOOKUP($D$5,'8.1 Bourgeoisies Comptes 2021'!$E$3:$R$165,68,0)</f>
        <v>0</v>
      </c>
    </row>
    <row r="75" spans="1:5" x14ac:dyDescent="0.25">
      <c r="C75">
        <v>398</v>
      </c>
      <c r="D75" t="s">
        <v>135</v>
      </c>
      <c r="E75" s="89">
        <f>HLOOKUP($D$5,'8.1 Bourgeoisies Comptes 2021'!$E$3:$R$165,69,0)</f>
        <v>0</v>
      </c>
    </row>
    <row r="76" spans="1:5" x14ac:dyDescent="0.25">
      <c r="C76">
        <v>399</v>
      </c>
      <c r="D76" t="s">
        <v>136</v>
      </c>
      <c r="E76" s="89">
        <f>HLOOKUP($D$5,'8.1 Bourgeoisies Comptes 2021'!$E$3:$R$165,70,0)</f>
        <v>0</v>
      </c>
    </row>
    <row r="77" spans="1:5" x14ac:dyDescent="0.25">
      <c r="E77" s="4"/>
    </row>
    <row r="78" spans="1:5" x14ac:dyDescent="0.25">
      <c r="E78" s="4"/>
    </row>
    <row r="79" spans="1:5" ht="21" x14ac:dyDescent="0.35">
      <c r="A79" s="98">
        <v>4</v>
      </c>
      <c r="B79" s="98"/>
      <c r="C79" s="98"/>
      <c r="D79" s="98" t="s">
        <v>137</v>
      </c>
      <c r="E79" s="172">
        <f>HLOOKUP($D$5,'8.1 Bourgeoisies Comptes 2021'!$E$3:$R$165,73,0)</f>
        <v>5745.8399999999992</v>
      </c>
    </row>
    <row r="80" spans="1:5" x14ac:dyDescent="0.25">
      <c r="A80" s="7"/>
      <c r="B80" s="96">
        <v>40</v>
      </c>
      <c r="C80" s="96"/>
      <c r="D80" s="96" t="s">
        <v>79</v>
      </c>
      <c r="E80" s="91">
        <f>SUM(E81:E84)</f>
        <v>0</v>
      </c>
    </row>
    <row r="81" spans="2:5" x14ac:dyDescent="0.25">
      <c r="C81">
        <v>400</v>
      </c>
      <c r="D81" t="s">
        <v>138</v>
      </c>
      <c r="E81" s="89">
        <f>HLOOKUP($D$5,'8.1 Bourgeoisies Comptes 2021'!$E$3:$R$165,75,0)</f>
        <v>0</v>
      </c>
    </row>
    <row r="82" spans="2:5" x14ac:dyDescent="0.25">
      <c r="C82">
        <v>401</v>
      </c>
      <c r="D82" t="s">
        <v>139</v>
      </c>
      <c r="E82" s="89">
        <f>HLOOKUP($D$5,'8.1 Bourgeoisies Comptes 2021'!$E$3:$R$165,76,0)</f>
        <v>0</v>
      </c>
    </row>
    <row r="83" spans="2:5" x14ac:dyDescent="0.25">
      <c r="C83">
        <v>402</v>
      </c>
      <c r="D83" t="s">
        <v>140</v>
      </c>
      <c r="E83" s="89">
        <f>HLOOKUP($D$5,'8.1 Bourgeoisies Comptes 2021'!$E$3:$R$165,77,0)</f>
        <v>0</v>
      </c>
    </row>
    <row r="84" spans="2:5" x14ac:dyDescent="0.25">
      <c r="C84">
        <v>403</v>
      </c>
      <c r="D84" t="s">
        <v>141</v>
      </c>
      <c r="E84" s="89">
        <f>HLOOKUP($D$5,'8.1 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HLOOKUP($D$5,'8.1 Bourgeoisies Comptes 2021'!$E$3:$R$165,81,0)</f>
        <v>0</v>
      </c>
    </row>
    <row r="88" spans="2:5" x14ac:dyDescent="0.25">
      <c r="C88">
        <v>411</v>
      </c>
      <c r="D88" t="s">
        <v>144</v>
      </c>
      <c r="E88" s="89">
        <f>HLOOKUP($D$5,'8.1 Bourgeoisies Comptes 2021'!$E$3:$R$165,82,0)</f>
        <v>0</v>
      </c>
    </row>
    <row r="89" spans="2:5" x14ac:dyDescent="0.25">
      <c r="C89">
        <v>412</v>
      </c>
      <c r="D89" t="s">
        <v>145</v>
      </c>
      <c r="E89" s="89">
        <f>HLOOKUP($D$5,'8.1 Bourgeoisies Comptes 2021'!$E$3:$R$165,83,0)</f>
        <v>0</v>
      </c>
    </row>
    <row r="90" spans="2:5" x14ac:dyDescent="0.25">
      <c r="C90">
        <v>413</v>
      </c>
      <c r="D90" t="s">
        <v>146</v>
      </c>
      <c r="E90" s="89">
        <f>HLOOKUP($D$5,'8.1 Bourgeoisies Comptes 2021'!$E$3:$R$165,84,0)</f>
        <v>0</v>
      </c>
    </row>
    <row r="91" spans="2:5" x14ac:dyDescent="0.25">
      <c r="E91" s="4"/>
    </row>
    <row r="92" spans="2:5" x14ac:dyDescent="0.25">
      <c r="B92" s="96">
        <v>42</v>
      </c>
      <c r="C92" s="96"/>
      <c r="D92" s="96" t="s">
        <v>147</v>
      </c>
      <c r="E92" s="91">
        <f>SUM(E93:E101)</f>
        <v>1495</v>
      </c>
    </row>
    <row r="93" spans="2:5" x14ac:dyDescent="0.25">
      <c r="C93">
        <v>420</v>
      </c>
      <c r="D93" t="s">
        <v>148</v>
      </c>
      <c r="E93" s="89">
        <f>HLOOKUP($D$5,'8.1 Bourgeoisies Comptes 2021'!$E$3:$R$165,87,0)</f>
        <v>0</v>
      </c>
    </row>
    <row r="94" spans="2:5" x14ac:dyDescent="0.25">
      <c r="C94">
        <v>421</v>
      </c>
      <c r="D94" t="s">
        <v>149</v>
      </c>
      <c r="E94" s="89">
        <f>HLOOKUP($D$5,'8.1 Bourgeoisies Comptes 2021'!$E$3:$R$165,88,0)</f>
        <v>0</v>
      </c>
    </row>
    <row r="95" spans="2:5" x14ac:dyDescent="0.25">
      <c r="C95">
        <v>422</v>
      </c>
      <c r="D95" t="s">
        <v>150</v>
      </c>
      <c r="E95" s="89">
        <f>HLOOKUP($D$5,'8.1 Bourgeoisies Comptes 2021'!$E$3:$R$165,89,0)</f>
        <v>0</v>
      </c>
    </row>
    <row r="96" spans="2:5" x14ac:dyDescent="0.25">
      <c r="C96">
        <v>423</v>
      </c>
      <c r="D96" t="s">
        <v>151</v>
      </c>
      <c r="E96" s="89">
        <f>HLOOKUP($D$5,'8.1 Bourgeoisies Comptes 2021'!$E$3:$R$165,90,0)</f>
        <v>0</v>
      </c>
    </row>
    <row r="97" spans="2:5" x14ac:dyDescent="0.25">
      <c r="C97">
        <v>424</v>
      </c>
      <c r="D97" t="s">
        <v>152</v>
      </c>
      <c r="E97" s="89">
        <f>HLOOKUP($D$5,'8.1 Bourgeoisies Comptes 2021'!$E$3:$R$165,91,0)</f>
        <v>0</v>
      </c>
    </row>
    <row r="98" spans="2:5" x14ac:dyDescent="0.25">
      <c r="C98">
        <v>425</v>
      </c>
      <c r="D98" t="s">
        <v>153</v>
      </c>
      <c r="E98" s="89">
        <f>HLOOKUP($D$5,'8.1 Bourgeoisies Comptes 2021'!$E$3:$R$165,92,0)</f>
        <v>1495</v>
      </c>
    </row>
    <row r="99" spans="2:5" x14ac:dyDescent="0.25">
      <c r="C99">
        <v>426</v>
      </c>
      <c r="D99" t="s">
        <v>154</v>
      </c>
      <c r="E99" s="89">
        <f>HLOOKUP($D$5,'8.1 Bourgeoisies Comptes 2021'!$E$3:$R$165,93,0)</f>
        <v>0</v>
      </c>
    </row>
    <row r="100" spans="2:5" x14ac:dyDescent="0.25">
      <c r="C100">
        <v>427</v>
      </c>
      <c r="D100" t="s">
        <v>155</v>
      </c>
      <c r="E100" s="89">
        <f>HLOOKUP($D$5,'8.1 Bourgeoisies Comptes 2021'!$E$3:$R$165,94,0)</f>
        <v>0</v>
      </c>
    </row>
    <row r="101" spans="2:5" x14ac:dyDescent="0.25">
      <c r="C101">
        <v>429</v>
      </c>
      <c r="D101" t="s">
        <v>156</v>
      </c>
      <c r="E101" s="89">
        <f>HLOOKUP($D$5,'8.1 Bourgeoisies Comptes 2021'!$E$3:$R$165,95,0)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HLOOKUP($D$5,'8.1 Bourgeoisies Comptes 2021'!$E$3:$R$165,98,0)</f>
        <v>0</v>
      </c>
    </row>
    <row r="105" spans="2:5" x14ac:dyDescent="0.25">
      <c r="C105">
        <v>431</v>
      </c>
      <c r="D105" t="s">
        <v>159</v>
      </c>
      <c r="E105" s="89">
        <f>HLOOKUP($D$5,'8.1 Bourgeoisies Comptes 2021'!$E$3:$R$165,99,0)</f>
        <v>0</v>
      </c>
    </row>
    <row r="106" spans="2:5" x14ac:dyDescent="0.25">
      <c r="C106">
        <v>432</v>
      </c>
      <c r="D106" t="s">
        <v>160</v>
      </c>
      <c r="E106" s="89">
        <f>HLOOKUP($D$5,'8.1 Bourgeoisies Comptes 2021'!$E$3:$R$165,100,0)</f>
        <v>0</v>
      </c>
    </row>
    <row r="107" spans="2:5" x14ac:dyDescent="0.25">
      <c r="C107">
        <v>439</v>
      </c>
      <c r="D107" t="s">
        <v>161</v>
      </c>
      <c r="E107" s="89">
        <f>HLOOKUP($D$5,'8.1 Bourgeoisies Comptes 2021'!$E$3:$R$165,101,0)</f>
        <v>0</v>
      </c>
    </row>
    <row r="108" spans="2:5" x14ac:dyDescent="0.25">
      <c r="E108" s="4"/>
    </row>
    <row r="109" spans="2:5" x14ac:dyDescent="0.25">
      <c r="B109" s="96">
        <v>44</v>
      </c>
      <c r="C109" s="96"/>
      <c r="D109" s="96" t="s">
        <v>162</v>
      </c>
      <c r="E109" s="91">
        <f>SUM(E110:E119)</f>
        <v>3625.72</v>
      </c>
    </row>
    <row r="110" spans="2:5" x14ac:dyDescent="0.25">
      <c r="C110">
        <v>440</v>
      </c>
      <c r="D110" t="s">
        <v>163</v>
      </c>
      <c r="E110" s="89">
        <f>HLOOKUP($D$5,'8.1 Bourgeoisies Comptes 2021'!$E$3:$R$165,104,0)</f>
        <v>79.89</v>
      </c>
    </row>
    <row r="111" spans="2:5" x14ac:dyDescent="0.25">
      <c r="C111">
        <v>441</v>
      </c>
      <c r="D111" t="s">
        <v>164</v>
      </c>
      <c r="E111" s="89">
        <f>HLOOKUP($D$5,'8.1 Bourgeoisies Comptes 2021'!$E$3:$R$165,105,0)</f>
        <v>0</v>
      </c>
    </row>
    <row r="112" spans="2:5" x14ac:dyDescent="0.25">
      <c r="C112">
        <v>442</v>
      </c>
      <c r="D112" t="s">
        <v>165</v>
      </c>
      <c r="E112" s="89">
        <f>HLOOKUP($D$5,'8.1 Bourgeoisies Comptes 2021'!$E$3:$R$165,106,0)</f>
        <v>0</v>
      </c>
    </row>
    <row r="113" spans="2:5" x14ac:dyDescent="0.25">
      <c r="C113">
        <v>443</v>
      </c>
      <c r="D113" t="s">
        <v>166</v>
      </c>
      <c r="E113" s="89">
        <f>HLOOKUP($D$5,'8.1 Bourgeoisies Comptes 2021'!$E$3:$R$165,107,0)</f>
        <v>0</v>
      </c>
    </row>
    <row r="114" spans="2:5" x14ac:dyDescent="0.25">
      <c r="C114">
        <v>444</v>
      </c>
      <c r="D114" t="s">
        <v>106</v>
      </c>
      <c r="E114" s="89">
        <f>HLOOKUP($D$5,'8.1 Bourgeoisies Comptes 2021'!$E$3:$R$165,108,0)</f>
        <v>0</v>
      </c>
    </row>
    <row r="115" spans="2:5" x14ac:dyDescent="0.25">
      <c r="C115">
        <v>445</v>
      </c>
      <c r="D115" t="s">
        <v>167</v>
      </c>
      <c r="E115" s="89">
        <f>HLOOKUP($D$5,'8.1 Bourgeoisies Comptes 2021'!$E$3:$R$165,109,0)</f>
        <v>0</v>
      </c>
    </row>
    <row r="116" spans="2:5" x14ac:dyDescent="0.25">
      <c r="C116">
        <v>446</v>
      </c>
      <c r="D116" t="s">
        <v>168</v>
      </c>
      <c r="E116" s="89">
        <f>HLOOKUP($D$5,'8.1 Bourgeoisies Comptes 2021'!$E$3:$R$165,110,0)</f>
        <v>0</v>
      </c>
    </row>
    <row r="117" spans="2:5" x14ac:dyDescent="0.25">
      <c r="C117">
        <v>447</v>
      </c>
      <c r="D117" t="s">
        <v>169</v>
      </c>
      <c r="E117" s="89">
        <f>HLOOKUP($D$5,'8.1 Bourgeoisies Comptes 2021'!$E$3:$R$165,111,0)</f>
        <v>3569</v>
      </c>
    </row>
    <row r="118" spans="2:5" x14ac:dyDescent="0.25">
      <c r="C118">
        <v>448</v>
      </c>
      <c r="D118" t="s">
        <v>170</v>
      </c>
      <c r="E118" s="89">
        <f>HLOOKUP($D$5,'8.1 Bourgeoisies Comptes 2021'!$E$3:$R$165,112,0)</f>
        <v>0</v>
      </c>
    </row>
    <row r="119" spans="2:5" x14ac:dyDescent="0.25">
      <c r="C119">
        <v>449</v>
      </c>
      <c r="D119" t="s">
        <v>171</v>
      </c>
      <c r="E119" s="89">
        <f>HLOOKUP($D$5,'8.1 Bourgeoisies Comptes 2021'!$E$3:$R$165,113,0)</f>
        <v>-23.17</v>
      </c>
    </row>
    <row r="120" spans="2:5" x14ac:dyDescent="0.25">
      <c r="E120" s="4"/>
    </row>
    <row r="121" spans="2:5" x14ac:dyDescent="0.25">
      <c r="B121" s="96">
        <v>45</v>
      </c>
      <c r="C121" s="96"/>
      <c r="D121" s="96" t="s">
        <v>174</v>
      </c>
      <c r="E121" s="91">
        <f>SUM(E122:E123)</f>
        <v>23.17</v>
      </c>
    </row>
    <row r="122" spans="2:5" x14ac:dyDescent="0.25">
      <c r="C122">
        <v>450</v>
      </c>
      <c r="D122" t="s">
        <v>172</v>
      </c>
      <c r="E122" s="89">
        <f>HLOOKUP($D$5,'8.1 Bourgeoisies Comptes 2021'!$E$3:$R$165,116,0)</f>
        <v>23.17</v>
      </c>
    </row>
    <row r="123" spans="2:5" x14ac:dyDescent="0.25">
      <c r="C123">
        <v>451</v>
      </c>
      <c r="D123" t="s">
        <v>173</v>
      </c>
      <c r="E123" s="89">
        <f>HLOOKUP($D$5,'8.1 Bourgeoisies Comptes 2021'!$E$3:$R$165,117,0)</f>
        <v>0</v>
      </c>
    </row>
    <row r="124" spans="2:5" x14ac:dyDescent="0.25">
      <c r="E124" s="4"/>
    </row>
    <row r="125" spans="2:5" x14ac:dyDescent="0.25">
      <c r="B125" s="96">
        <v>46</v>
      </c>
      <c r="C125" s="96"/>
      <c r="D125" s="96" t="s">
        <v>175</v>
      </c>
      <c r="E125" s="91">
        <f>SUM(E126:E130)</f>
        <v>601.95000000000005</v>
      </c>
    </row>
    <row r="126" spans="2:5" x14ac:dyDescent="0.25">
      <c r="C126">
        <v>460</v>
      </c>
      <c r="D126" t="s">
        <v>176</v>
      </c>
      <c r="E126" s="89">
        <f>HLOOKUP($D$5,'8.1 Bourgeoisies Comptes 2021'!$E$3:$R$165,120,0)</f>
        <v>0</v>
      </c>
    </row>
    <row r="127" spans="2:5" x14ac:dyDescent="0.25">
      <c r="C127">
        <v>461</v>
      </c>
      <c r="D127" t="s">
        <v>177</v>
      </c>
      <c r="E127" s="89">
        <f>HLOOKUP($D$5,'8.1 Bourgeoisies Comptes 2021'!$E$3:$R$165,121,0)</f>
        <v>0</v>
      </c>
    </row>
    <row r="128" spans="2:5" x14ac:dyDescent="0.25">
      <c r="C128">
        <v>462</v>
      </c>
      <c r="D128" t="s">
        <v>113</v>
      </c>
      <c r="E128" s="89">
        <f>HLOOKUP($D$5,'8.1 Bourgeoisies Comptes 2021'!$E$3:$R$165,122,0)</f>
        <v>0</v>
      </c>
    </row>
    <row r="129" spans="2:5" x14ac:dyDescent="0.25">
      <c r="C129">
        <v>463</v>
      </c>
      <c r="D129" t="s">
        <v>178</v>
      </c>
      <c r="E129" s="89">
        <f>HLOOKUP($D$5,'8.1 Bourgeoisies Comptes 2021'!$E$3:$R$165,123,0)</f>
        <v>500</v>
      </c>
    </row>
    <row r="130" spans="2:5" x14ac:dyDescent="0.25">
      <c r="C130">
        <v>469</v>
      </c>
      <c r="D130" t="s">
        <v>179</v>
      </c>
      <c r="E130" s="89">
        <f>HLOOKUP($D$5,'8.1 Bourgeoisies Comptes 2021'!$E$3:$R$165,124,0)</f>
        <v>101.95</v>
      </c>
    </row>
    <row r="131" spans="2:5" x14ac:dyDescent="0.25">
      <c r="E131" s="4"/>
    </row>
    <row r="132" spans="2:5" x14ac:dyDescent="0.25">
      <c r="B132" s="96">
        <v>47</v>
      </c>
      <c r="C132" s="96"/>
      <c r="D132" s="96" t="s">
        <v>119</v>
      </c>
      <c r="E132" s="91">
        <f>SUM(E133)</f>
        <v>0</v>
      </c>
    </row>
    <row r="133" spans="2:5" x14ac:dyDescent="0.25">
      <c r="C133">
        <v>470</v>
      </c>
      <c r="D133" t="s">
        <v>180</v>
      </c>
      <c r="E133" s="89">
        <f>HLOOKUP($D$5,'8.1 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HLOOKUP($D$5,'8.1 Bourgeoisies Comptes 2021'!$E$3:$R$165,130,0)</f>
        <v>0</v>
      </c>
    </row>
    <row r="137" spans="2:5" x14ac:dyDescent="0.25">
      <c r="C137">
        <v>482</v>
      </c>
      <c r="D137" t="s">
        <v>183</v>
      </c>
      <c r="E137" s="89">
        <f>HLOOKUP($D$5,'8.1 Bourgeoisies Comptes 2021'!$E$3:$R$165,131,0)</f>
        <v>0</v>
      </c>
    </row>
    <row r="138" spans="2:5" x14ac:dyDescent="0.25">
      <c r="C138">
        <v>483</v>
      </c>
      <c r="D138" t="s">
        <v>184</v>
      </c>
      <c r="E138" s="89">
        <f>HLOOKUP($D$5,'8.1 Bourgeoisies Comptes 2021'!$E$3:$R$165,132,0)</f>
        <v>0</v>
      </c>
    </row>
    <row r="139" spans="2:5" x14ac:dyDescent="0.25">
      <c r="C139">
        <v>484</v>
      </c>
      <c r="D139" t="s">
        <v>185</v>
      </c>
      <c r="E139" s="89">
        <f>HLOOKUP($D$5,'8.1 Bourgeoisies Comptes 2021'!$E$3:$R$165,133,0)</f>
        <v>0</v>
      </c>
    </row>
    <row r="140" spans="2:5" x14ac:dyDescent="0.25">
      <c r="C140">
        <v>485</v>
      </c>
      <c r="D140" t="s">
        <v>186</v>
      </c>
      <c r="E140" s="89">
        <f>HLOOKUP($D$5,'8.1 Bourgeoisies Comptes 2021'!$E$3:$R$165,134,0)</f>
        <v>0</v>
      </c>
    </row>
    <row r="141" spans="2:5" x14ac:dyDescent="0.25">
      <c r="C141">
        <v>486</v>
      </c>
      <c r="D141" t="s">
        <v>187</v>
      </c>
      <c r="E141" s="89">
        <f>HLOOKUP($D$5,'8.1 Bourgeoisies Comptes 2021'!$E$3:$R$165,135,0)</f>
        <v>0</v>
      </c>
    </row>
    <row r="142" spans="2:5" x14ac:dyDescent="0.25">
      <c r="C142">
        <v>489</v>
      </c>
      <c r="D142" t="s">
        <v>188</v>
      </c>
      <c r="E142" s="89">
        <f>HLOOKUP($D$5,'8.1 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HLOOKUP($D$5,'8.1 Bourgeoisies Comptes 2021'!$E$3:$R$165,139,0)</f>
        <v>0</v>
      </c>
    </row>
    <row r="146" spans="1:5" x14ac:dyDescent="0.25">
      <c r="C146">
        <v>491</v>
      </c>
      <c r="D146" t="s">
        <v>130</v>
      </c>
      <c r="E146" s="89">
        <f>HLOOKUP($D$5,'8.1 Bourgeoisies Comptes 2021'!$E$3:$R$165,140,0)</f>
        <v>0</v>
      </c>
    </row>
    <row r="147" spans="1:5" x14ac:dyDescent="0.25">
      <c r="C147">
        <v>492</v>
      </c>
      <c r="D147" t="s">
        <v>189</v>
      </c>
      <c r="E147" s="89">
        <f>HLOOKUP($D$5,'8.1 Bourgeoisies Comptes 2021'!$E$3:$R$165,141,0)</f>
        <v>0</v>
      </c>
    </row>
    <row r="148" spans="1:5" x14ac:dyDescent="0.25">
      <c r="C148">
        <v>493</v>
      </c>
      <c r="D148" t="s">
        <v>190</v>
      </c>
      <c r="E148" s="89">
        <f>HLOOKUP($D$5,'8.1 Bourgeoisies Comptes 2021'!$E$3:$R$165,142,0)</f>
        <v>0</v>
      </c>
    </row>
    <row r="149" spans="1:5" x14ac:dyDescent="0.25">
      <c r="C149">
        <v>494</v>
      </c>
      <c r="D149" t="s">
        <v>133</v>
      </c>
      <c r="E149" s="89">
        <f>HLOOKUP($D$5,'8.1 Bourgeoisies Comptes 2021'!$E$3:$R$165,143,0)</f>
        <v>0</v>
      </c>
    </row>
    <row r="150" spans="1:5" x14ac:dyDescent="0.25">
      <c r="C150">
        <v>495</v>
      </c>
      <c r="D150" t="s">
        <v>191</v>
      </c>
      <c r="E150" s="89">
        <f>HLOOKUP($D$5,'8.1 Bourgeoisies Comptes 2021'!$E$3:$R$165,144,0)</f>
        <v>0</v>
      </c>
    </row>
    <row r="151" spans="1:5" x14ac:dyDescent="0.25">
      <c r="C151">
        <v>498</v>
      </c>
      <c r="D151" t="s">
        <v>192</v>
      </c>
      <c r="E151" s="89">
        <f>HLOOKUP($D$5,'8.1 Bourgeoisies Comptes 2021'!$E$3:$R$165,145,0)</f>
        <v>0</v>
      </c>
    </row>
    <row r="152" spans="1:5" x14ac:dyDescent="0.25">
      <c r="C152">
        <v>499</v>
      </c>
      <c r="D152" t="s">
        <v>136</v>
      </c>
      <c r="E152" s="89">
        <f>HLOOKUP($D$5,'8.1 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-6491.91</v>
      </c>
    </row>
    <row r="158" spans="1:5" x14ac:dyDescent="0.25">
      <c r="C158">
        <v>900</v>
      </c>
      <c r="D158" t="s">
        <v>196</v>
      </c>
      <c r="E158" s="89">
        <f>HLOOKUP($D$5,'8.1 Bourgeoisies Comptes 2021'!$E$3:$R$165,152,0)</f>
        <v>-6491.91</v>
      </c>
    </row>
    <row r="159" spans="1:5" x14ac:dyDescent="0.25">
      <c r="C159">
        <v>901</v>
      </c>
      <c r="D159" t="s">
        <v>197</v>
      </c>
      <c r="E159" s="89">
        <f>HLOOKUP($D$5,'8.1 Bourgeoisies Comptes 2021'!$E$3:$R$165,153,0)</f>
        <v>0</v>
      </c>
    </row>
    <row r="160" spans="1:5" x14ac:dyDescent="0.25">
      <c r="E160" s="4"/>
    </row>
    <row r="161" spans="4:5" x14ac:dyDescent="0.25">
      <c r="D161" s="7" t="s">
        <v>198</v>
      </c>
      <c r="E161" s="89">
        <f>HLOOKUP($D$5,'8.1 Bourgeoisies Comptes 2021'!$E$3:$R$165,155,0)</f>
        <v>-6491.91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AA136" activePane="bottomRight" state="frozen"/>
      <selection pane="topRight" activeCell="E1" sqref="E1"/>
      <selection pane="bottomLeft" activeCell="A4" sqref="A4"/>
      <selection pane="bottomRight" activeCell="AA160" sqref="AA160"/>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t="s">
        <v>863</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'8.1 Bourgeoisies Comptes 2021'!R153</f>
        <v>155517.29</v>
      </c>
    </row>
    <row r="7" spans="1:3" x14ac:dyDescent="0.25">
      <c r="A7" s="52">
        <v>900</v>
      </c>
      <c r="B7" s="53" t="s">
        <v>219</v>
      </c>
      <c r="C7" s="56">
        <f>'8.1 Bourgeoisies Comptes 2021'!R154</f>
        <v>155517.29</v>
      </c>
    </row>
    <row r="8" spans="1:3" x14ac:dyDescent="0.25">
      <c r="A8" s="52">
        <v>901</v>
      </c>
      <c r="B8" s="53" t="s">
        <v>220</v>
      </c>
      <c r="C8" s="56">
        <f>'8.1 Bourgeoisies Comptes 2021'!R155</f>
        <v>0</v>
      </c>
    </row>
    <row r="9" spans="1:3" x14ac:dyDescent="0.25">
      <c r="A9" s="52" t="s">
        <v>217</v>
      </c>
      <c r="B9" s="53" t="s">
        <v>221</v>
      </c>
      <c r="C9" s="56">
        <f>'8.13 Bourgeoisie investissement'!R182</f>
        <v>-65757</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B4" sqref="B4"/>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s="215" t="s">
        <v>758</v>
      </c>
    </row>
    <row r="5" spans="1:3" ht="15.75" thickBot="1" x14ac:dyDescent="0.3">
      <c r="B5" s="174" t="s">
        <v>752</v>
      </c>
    </row>
    <row r="8" spans="1:3" x14ac:dyDescent="0.25">
      <c r="A8" s="51" t="s">
        <v>216</v>
      </c>
      <c r="B8" s="51" t="s">
        <v>201</v>
      </c>
      <c r="C8" s="51" t="s">
        <v>840</v>
      </c>
    </row>
    <row r="9" spans="1:3" x14ac:dyDescent="0.25">
      <c r="A9" s="52">
        <v>90</v>
      </c>
      <c r="B9" s="53" t="s">
        <v>798</v>
      </c>
      <c r="C9" s="56">
        <f>HLOOKUP($B$5,'8.1 Bourgeoisies Comptes 2021'!$E$3:$R$165,151,0)</f>
        <v>-6491.91</v>
      </c>
    </row>
    <row r="10" spans="1:3" x14ac:dyDescent="0.25">
      <c r="A10" s="52">
        <v>900</v>
      </c>
      <c r="B10" s="53" t="s">
        <v>219</v>
      </c>
      <c r="C10" s="56">
        <f>HLOOKUP($B$5,'8.1 Bourgeoisies Comptes 2021'!$E$3:$R$165,152,0)</f>
        <v>-6491.91</v>
      </c>
    </row>
    <row r="11" spans="1:3" x14ac:dyDescent="0.25">
      <c r="A11" s="52">
        <v>901</v>
      </c>
      <c r="B11" s="53" t="s">
        <v>220</v>
      </c>
      <c r="C11" s="56">
        <f>HLOOKUP($B$5,'8.1 Bourgeoisies Comptes 2021'!$E$3:$R$165,153,0)</f>
        <v>0</v>
      </c>
    </row>
    <row r="12" spans="1:3" x14ac:dyDescent="0.25">
      <c r="A12" s="52" t="s">
        <v>217</v>
      </c>
      <c r="B12" s="53" t="s">
        <v>221</v>
      </c>
      <c r="C12" s="56">
        <f>HLOOKUP($B$5,'8.13 Bourgeoisie investissement'!$E$3:$R$184,180,0)</f>
        <v>0</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'8.1 Bourgeoisies Comptes 2021'!R5+'8.1 Bourgeoisies Comptes 2021'!R15+'8.1 Bourgeoisies Comptes 2021'!R27+'8.1 Bourgeoisies Comptes 2021'!R39+'8.1 Bourgeoisies Comptes 2021'!R43+'8.1 Bourgeoisies Comptes 2021'!R53</f>
        <v>3286495.6599999997</v>
      </c>
    </row>
    <row r="9" spans="1:3" x14ac:dyDescent="0.25">
      <c r="A9" s="52" t="s">
        <v>210</v>
      </c>
      <c r="B9" s="53" t="s">
        <v>204</v>
      </c>
      <c r="C9" s="56">
        <f>'8.1 Bourgeoisies Comptes 2021'!R76+'8.1 Bourgeoisies Comptes 2021'!R82+'8.1 Bourgeoisies Comptes 2021'!R88+'8.1 Bourgeoisies Comptes 2021'!R99+'8.1 Bourgeoisies Comptes 2021'!R117+'8.1 Bourgeoisies Comptes 2021'!R121+'8.1 Bourgeoisies Comptes 2021'!R128</f>
        <v>2038340.7599999998</v>
      </c>
    </row>
    <row r="10" spans="1:3" x14ac:dyDescent="0.25">
      <c r="A10" s="53"/>
      <c r="B10" s="55" t="s">
        <v>205</v>
      </c>
      <c r="C10" s="62">
        <f>C9-C8</f>
        <v>-1248154.8999999999</v>
      </c>
    </row>
    <row r="11" spans="1:3" x14ac:dyDescent="0.25">
      <c r="A11" s="53"/>
      <c r="B11" s="53"/>
      <c r="C11" s="53"/>
    </row>
    <row r="12" spans="1:3" x14ac:dyDescent="0.25">
      <c r="A12" s="53">
        <v>34</v>
      </c>
      <c r="B12" s="53" t="s">
        <v>101</v>
      </c>
      <c r="C12" s="56">
        <f>'8.1 Bourgeoisies Comptes 2021'!R31</f>
        <v>314117.31</v>
      </c>
    </row>
    <row r="13" spans="1:3" x14ac:dyDescent="0.25">
      <c r="A13" s="53">
        <v>44</v>
      </c>
      <c r="B13" s="53" t="s">
        <v>162</v>
      </c>
      <c r="C13" s="56">
        <f>'8.1 Bourgeoisies Comptes 2021'!R105</f>
        <v>1961053.9500000002</v>
      </c>
    </row>
    <row r="14" spans="1:3" x14ac:dyDescent="0.25">
      <c r="A14" s="53"/>
      <c r="B14" s="55" t="s">
        <v>238</v>
      </c>
      <c r="C14" s="62">
        <f>C13-C12</f>
        <v>1646936.6400000001</v>
      </c>
    </row>
    <row r="15" spans="1:3" x14ac:dyDescent="0.25">
      <c r="A15" s="53"/>
      <c r="B15" s="53"/>
      <c r="C15" s="53"/>
    </row>
    <row r="16" spans="1:3" x14ac:dyDescent="0.25">
      <c r="A16" s="53"/>
      <c r="B16" s="55" t="s">
        <v>206</v>
      </c>
      <c r="C16" s="62">
        <f>C10+C14</f>
        <v>398781.74000000022</v>
      </c>
    </row>
    <row r="17" spans="1:3" x14ac:dyDescent="0.25">
      <c r="A17" s="53"/>
      <c r="B17" s="53"/>
      <c r="C17" s="53"/>
    </row>
    <row r="18" spans="1:3" x14ac:dyDescent="0.25">
      <c r="A18" s="53">
        <v>38</v>
      </c>
      <c r="B18" s="53" t="s">
        <v>121</v>
      </c>
      <c r="C18" s="56">
        <f>'8.1 Bourgeoisies Comptes 2021'!R56</f>
        <v>352666.18</v>
      </c>
    </row>
    <row r="19" spans="1:3" x14ac:dyDescent="0.25">
      <c r="A19" s="53">
        <v>48</v>
      </c>
      <c r="B19" s="53" t="s">
        <v>181</v>
      </c>
      <c r="C19" s="56">
        <f>'8.1 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162007.54000000021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C3" sqref="C3"/>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758</v>
      </c>
    </row>
    <row r="5" spans="1:3" ht="15.75" thickBot="1" x14ac:dyDescent="0.3">
      <c r="B5" s="174" t="s">
        <v>752</v>
      </c>
    </row>
    <row r="7" spans="1:3" x14ac:dyDescent="0.25">
      <c r="A7" s="51" t="s">
        <v>200</v>
      </c>
      <c r="B7" s="51" t="s">
        <v>201</v>
      </c>
      <c r="C7" s="51" t="s">
        <v>202</v>
      </c>
    </row>
    <row r="8" spans="1:3" x14ac:dyDescent="0.25">
      <c r="A8" s="52" t="s">
        <v>209</v>
      </c>
      <c r="B8" s="53" t="s">
        <v>203</v>
      </c>
      <c r="C8" s="56">
        <f>HLOOKUP($B$5,'8.1 Bourgeoisies Comptes 2021'!$E$3:$R$168,162,0)</f>
        <v>12237.75</v>
      </c>
    </row>
    <row r="9" spans="1:3" x14ac:dyDescent="0.25">
      <c r="A9" s="52" t="s">
        <v>210</v>
      </c>
      <c r="B9" s="53" t="s">
        <v>204</v>
      </c>
      <c r="C9" s="56">
        <f>HLOOKUP($B$5,'8.1 Bourgeoisies Comptes 2021'!$E$3:$R$168,163,0)</f>
        <v>2120.12</v>
      </c>
    </row>
    <row r="10" spans="1:3" x14ac:dyDescent="0.25">
      <c r="A10" s="53"/>
      <c r="B10" s="55" t="s">
        <v>205</v>
      </c>
      <c r="C10" s="62">
        <f>C9-C8</f>
        <v>-10117.630000000001</v>
      </c>
    </row>
    <row r="11" spans="1:3" x14ac:dyDescent="0.25">
      <c r="A11" s="53"/>
      <c r="B11" s="53"/>
      <c r="C11" s="53"/>
    </row>
    <row r="12" spans="1:3" x14ac:dyDescent="0.25">
      <c r="A12" s="53">
        <v>34</v>
      </c>
      <c r="B12" s="53" t="s">
        <v>101</v>
      </c>
      <c r="C12" s="56">
        <f>HLOOKUP($B$5,'8.1 Bourgeoisies Comptes 2021'!$E$3:$R$168,29,0)</f>
        <v>0</v>
      </c>
    </row>
    <row r="13" spans="1:3" x14ac:dyDescent="0.25">
      <c r="A13" s="53">
        <v>44</v>
      </c>
      <c r="B13" s="53" t="s">
        <v>162</v>
      </c>
      <c r="C13" s="56">
        <f>HLOOKUP($B$5,'8.1 Bourgeoisies Comptes 2021'!$E$3:$R$168,103,0)</f>
        <v>3625.72</v>
      </c>
    </row>
    <row r="14" spans="1:3" x14ac:dyDescent="0.25">
      <c r="A14" s="53"/>
      <c r="B14" s="55" t="s">
        <v>238</v>
      </c>
      <c r="C14" s="62">
        <f>C13-C12</f>
        <v>3625.72</v>
      </c>
    </row>
    <row r="15" spans="1:3" x14ac:dyDescent="0.25">
      <c r="A15" s="53"/>
      <c r="B15" s="53"/>
      <c r="C15" s="53"/>
    </row>
    <row r="16" spans="1:3" x14ac:dyDescent="0.25">
      <c r="A16" s="53"/>
      <c r="B16" s="55" t="s">
        <v>206</v>
      </c>
      <c r="C16" s="62">
        <f>C10+C14</f>
        <v>-6491.9100000000017</v>
      </c>
    </row>
    <row r="17" spans="1:3" x14ac:dyDescent="0.25">
      <c r="A17" s="53"/>
      <c r="B17" s="53"/>
      <c r="C17" s="53"/>
    </row>
    <row r="18" spans="1:3" x14ac:dyDescent="0.25">
      <c r="A18" s="53">
        <v>38</v>
      </c>
      <c r="B18" s="53" t="s">
        <v>121</v>
      </c>
      <c r="C18" s="56">
        <f>HLOOKUP($B$5,'8.1 Bourgeoisies Comptes 2021'!$E$3:$R$168,54,0)</f>
        <v>0</v>
      </c>
    </row>
    <row r="19" spans="1:3" x14ac:dyDescent="0.25">
      <c r="A19" s="53">
        <v>48</v>
      </c>
      <c r="B19" s="53" t="s">
        <v>181</v>
      </c>
      <c r="C19" s="56">
        <f>HLOOKUP($B$5,'8.1 Bourgeoisies Comptes 2021'!$E$3:$R$168,129,0)</f>
        <v>0</v>
      </c>
    </row>
    <row r="20" spans="1:3" x14ac:dyDescent="0.25">
      <c r="A20" s="53"/>
      <c r="B20" s="55" t="s">
        <v>207</v>
      </c>
      <c r="C20" s="62">
        <f>C19-C18</f>
        <v>0</v>
      </c>
    </row>
    <row r="21" spans="1:3" x14ac:dyDescent="0.25">
      <c r="A21" s="53"/>
      <c r="B21" s="53"/>
      <c r="C21" s="53"/>
    </row>
    <row r="22" spans="1:3" x14ac:dyDescent="0.25">
      <c r="A22" s="53"/>
      <c r="B22" s="55" t="s">
        <v>208</v>
      </c>
      <c r="C22" s="62">
        <f>C16+C20</f>
        <v>-6491.9100000000017</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A6" sqref="A6"/>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'8.1 Bourgeoisies Comptes 2021'!R153</f>
        <v>155517.29</v>
      </c>
    </row>
    <row r="9" spans="1:4" x14ac:dyDescent="0.25">
      <c r="A9" s="53">
        <v>33</v>
      </c>
      <c r="B9" s="58" t="s">
        <v>225</v>
      </c>
      <c r="C9" s="53" t="s">
        <v>98</v>
      </c>
      <c r="D9" s="56">
        <f>'8.1 Bourgeoisies Comptes 2021'!R27</f>
        <v>208630.15</v>
      </c>
    </row>
    <row r="10" spans="1:4" x14ac:dyDescent="0.25">
      <c r="A10" s="53">
        <v>35</v>
      </c>
      <c r="B10" s="58" t="s">
        <v>225</v>
      </c>
      <c r="C10" s="53" t="s">
        <v>227</v>
      </c>
      <c r="D10" s="56">
        <f>'8.1 Bourgeoisies Comptes 2021'!R39</f>
        <v>268855.77999999997</v>
      </c>
    </row>
    <row r="11" spans="1:4" x14ac:dyDescent="0.25">
      <c r="A11" s="53">
        <v>45</v>
      </c>
      <c r="B11" s="58" t="s">
        <v>226</v>
      </c>
      <c r="C11" s="53" t="s">
        <v>174</v>
      </c>
      <c r="D11" s="56">
        <f>'8.1 Bourgeoisies Comptes 2021'!R117</f>
        <v>201048.74000000002</v>
      </c>
    </row>
    <row r="12" spans="1:4" x14ac:dyDescent="0.25">
      <c r="A12" s="53">
        <v>364</v>
      </c>
      <c r="B12" s="58" t="s">
        <v>225</v>
      </c>
      <c r="C12" s="53" t="s">
        <v>234</v>
      </c>
      <c r="D12" s="56">
        <f>'8.1 Bourgeoisies Comptes 2021'!R48</f>
        <v>0</v>
      </c>
    </row>
    <row r="13" spans="1:4" x14ac:dyDescent="0.25">
      <c r="A13" s="53">
        <v>365</v>
      </c>
      <c r="B13" s="58" t="s">
        <v>225</v>
      </c>
      <c r="C13" s="53" t="s">
        <v>235</v>
      </c>
      <c r="D13" s="56">
        <f>'8.1 Bourgeoisies Comptes 2021'!R49</f>
        <v>0</v>
      </c>
    </row>
    <row r="14" spans="1:4" x14ac:dyDescent="0.25">
      <c r="A14" s="53">
        <v>366</v>
      </c>
      <c r="B14" s="58" t="s">
        <v>225</v>
      </c>
      <c r="C14" s="53" t="s">
        <v>232</v>
      </c>
      <c r="D14" s="56">
        <f>'8.1 Bourgeoisies Comptes 2021'!R50</f>
        <v>0</v>
      </c>
    </row>
    <row r="15" spans="1:4" x14ac:dyDescent="0.25">
      <c r="A15" s="53">
        <v>389</v>
      </c>
      <c r="B15" s="58" t="s">
        <v>225</v>
      </c>
      <c r="C15" s="53" t="s">
        <v>228</v>
      </c>
      <c r="D15" s="56">
        <f>'8.1 Bourgeoisies Comptes 2021'!R62</f>
        <v>352666.18</v>
      </c>
    </row>
    <row r="16" spans="1:4" x14ac:dyDescent="0.25">
      <c r="A16" s="53">
        <v>4490</v>
      </c>
      <c r="B16" s="58" t="s">
        <v>226</v>
      </c>
      <c r="C16" s="53" t="s">
        <v>236</v>
      </c>
      <c r="D16" s="56">
        <f>'8.1 Bourgeoisies Comptes 2021'!R115</f>
        <v>-23.17</v>
      </c>
    </row>
    <row r="17" spans="1:4" x14ac:dyDescent="0.25">
      <c r="A17" s="53">
        <v>489</v>
      </c>
      <c r="B17" s="58" t="s">
        <v>226</v>
      </c>
      <c r="C17" s="53" t="s">
        <v>233</v>
      </c>
      <c r="D17" s="56">
        <f>'8.1 Bourgeoisies Comptes 2021'!R138</f>
        <v>1.98</v>
      </c>
    </row>
    <row r="18" spans="1:4" x14ac:dyDescent="0.25">
      <c r="A18" s="53"/>
      <c r="B18" s="58"/>
      <c r="C18" s="53"/>
      <c r="D18" s="56"/>
    </row>
    <row r="19" spans="1:4" x14ac:dyDescent="0.25">
      <c r="A19" s="54"/>
      <c r="B19" s="54"/>
      <c r="C19" s="55" t="s">
        <v>229</v>
      </c>
      <c r="D19" s="62">
        <f>D8+D9+D10-D11+D12+D13+D14+D15-D16-D17</f>
        <v>784641.85</v>
      </c>
    </row>
    <row r="20" spans="1:4" x14ac:dyDescent="0.25">
      <c r="A20" s="53"/>
      <c r="B20" s="53"/>
      <c r="C20" s="53"/>
      <c r="D20" s="56"/>
    </row>
    <row r="21" spans="1:4" x14ac:dyDescent="0.25">
      <c r="A21" s="53" t="s">
        <v>224</v>
      </c>
      <c r="B21" s="59" t="s">
        <v>226</v>
      </c>
      <c r="C21" s="53" t="s">
        <v>230</v>
      </c>
      <c r="D21" s="56">
        <f>'8.13 Bourgeoisie investissement'!R182</f>
        <v>-65757</v>
      </c>
    </row>
    <row r="22" spans="1:4" x14ac:dyDescent="0.25">
      <c r="A22" s="53"/>
      <c r="B22" s="53"/>
      <c r="C22" s="53"/>
      <c r="D22" s="56"/>
    </row>
    <row r="23" spans="1:4" x14ac:dyDescent="0.25">
      <c r="A23" s="54"/>
      <c r="B23" s="54"/>
      <c r="C23" s="55" t="s">
        <v>231</v>
      </c>
      <c r="D23" s="62">
        <f>D19-D21</f>
        <v>850398.85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tabSelected="1" workbookViewId="0">
      <selection activeCell="D26" sqref="D26"/>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s="234" t="s">
        <v>758</v>
      </c>
      <c r="C4" s="234"/>
      <c r="D4" s="234"/>
    </row>
    <row r="5" spans="1:5" ht="15.75" thickBot="1" x14ac:dyDescent="0.3">
      <c r="B5" s="219" t="s">
        <v>56</v>
      </c>
      <c r="C5" s="220"/>
      <c r="D5" s="221"/>
    </row>
    <row r="7" spans="1:5" x14ac:dyDescent="0.25">
      <c r="B7" s="51" t="s">
        <v>223</v>
      </c>
      <c r="C7" s="51"/>
      <c r="D7" s="51" t="s">
        <v>201</v>
      </c>
      <c r="E7" s="51" t="s">
        <v>202</v>
      </c>
    </row>
    <row r="8" spans="1:5" x14ac:dyDescent="0.25">
      <c r="B8" s="53">
        <v>90</v>
      </c>
      <c r="C8" s="58"/>
      <c r="D8" s="53" t="s">
        <v>799</v>
      </c>
      <c r="E8" s="56">
        <f>HLOOKUP($B$5,'8.1 Bourgeoisies Comptes 2021'!$E$3:$R$167,151,0)</f>
        <v>116423.55</v>
      </c>
    </row>
    <row r="9" spans="1:5" x14ac:dyDescent="0.25">
      <c r="B9" s="53">
        <v>33</v>
      </c>
      <c r="C9" s="58" t="s">
        <v>225</v>
      </c>
      <c r="D9" s="53" t="s">
        <v>98</v>
      </c>
      <c r="E9" s="56">
        <f>HLOOKUP($B$5,'8.1 Bourgeoisies Comptes 2021'!$E$3:$R$167,25,0)</f>
        <v>65732.7</v>
      </c>
    </row>
    <row r="10" spans="1:5" x14ac:dyDescent="0.25">
      <c r="B10" s="53">
        <v>35</v>
      </c>
      <c r="C10" s="58" t="s">
        <v>225</v>
      </c>
      <c r="D10" s="53" t="s">
        <v>227</v>
      </c>
      <c r="E10" s="56">
        <f>HLOOKUP($B$5,'8.1 Bourgeoisies Comptes 2021'!$E$3:$R$167,37,0)</f>
        <v>157</v>
      </c>
    </row>
    <row r="11" spans="1:5" x14ac:dyDescent="0.25">
      <c r="B11" s="53">
        <v>45</v>
      </c>
      <c r="C11" s="58" t="s">
        <v>226</v>
      </c>
      <c r="D11" s="53" t="s">
        <v>174</v>
      </c>
      <c r="E11" s="56">
        <f>HLOOKUP($B$5,'8.1 Bourgeoisies Comptes 2021'!$E$3:$R$167,115,0)</f>
        <v>0</v>
      </c>
    </row>
    <row r="12" spans="1:5" x14ac:dyDescent="0.25">
      <c r="B12" s="53">
        <v>364</v>
      </c>
      <c r="C12" s="58" t="s">
        <v>225</v>
      </c>
      <c r="D12" s="53" t="s">
        <v>234</v>
      </c>
      <c r="E12" s="56">
        <f>HLOOKUP($B$5,'8.1 Bourgeoisies Comptes 2021'!$E$3:$R$167,46,0)</f>
        <v>0</v>
      </c>
    </row>
    <row r="13" spans="1:5" x14ac:dyDescent="0.25">
      <c r="B13" s="53">
        <v>365</v>
      </c>
      <c r="C13" s="58" t="s">
        <v>225</v>
      </c>
      <c r="D13" s="53" t="s">
        <v>235</v>
      </c>
      <c r="E13" s="56">
        <f>HLOOKUP($B$5,'8.1 Bourgeoisies Comptes 2021'!$E$3:$R$167,47,0)</f>
        <v>0</v>
      </c>
    </row>
    <row r="14" spans="1:5" x14ac:dyDescent="0.25">
      <c r="B14" s="53">
        <v>366</v>
      </c>
      <c r="C14" s="58" t="s">
        <v>225</v>
      </c>
      <c r="D14" s="53" t="s">
        <v>232</v>
      </c>
      <c r="E14" s="56">
        <f>HLOOKUP($B$5,'8.1 Bourgeoisies Comptes 2021'!$E$3:$R$167,48,0)</f>
        <v>0</v>
      </c>
    </row>
    <row r="15" spans="1:5" x14ac:dyDescent="0.25">
      <c r="B15" s="53">
        <v>389</v>
      </c>
      <c r="C15" s="58" t="s">
        <v>225</v>
      </c>
      <c r="D15" s="53" t="s">
        <v>228</v>
      </c>
      <c r="E15" s="56">
        <f>HLOOKUP($B$5,'8.1 Bourgeoisies Comptes 2021'!$E$3:$R$167,60,0)</f>
        <v>0</v>
      </c>
    </row>
    <row r="16" spans="1:5" x14ac:dyDescent="0.25">
      <c r="B16" s="53">
        <v>4490</v>
      </c>
      <c r="C16" s="58" t="s">
        <v>226</v>
      </c>
      <c r="D16" s="53" t="s">
        <v>236</v>
      </c>
      <c r="E16" s="56">
        <f>HLOOKUP($B$5,'8.1 Bourgeoisies Comptes 2021'!$E$3:$R$167,113,0)</f>
        <v>0</v>
      </c>
    </row>
    <row r="17" spans="2:5" x14ac:dyDescent="0.25">
      <c r="B17" s="53">
        <v>489</v>
      </c>
      <c r="C17" s="58" t="s">
        <v>226</v>
      </c>
      <c r="D17" s="53" t="s">
        <v>233</v>
      </c>
      <c r="E17" s="56">
        <f>HLOOKUP($B$5,'8.1 Bourgeoisies Comptes 2021'!$E$3:$R$167,136,0)</f>
        <v>0</v>
      </c>
    </row>
    <row r="18" spans="2:5" x14ac:dyDescent="0.25">
      <c r="B18" s="53"/>
      <c r="C18" s="58"/>
      <c r="D18" s="53"/>
      <c r="E18" s="56"/>
    </row>
    <row r="19" spans="2:5" x14ac:dyDescent="0.25">
      <c r="B19" s="54"/>
      <c r="C19" s="54"/>
      <c r="D19" s="55" t="s">
        <v>229</v>
      </c>
      <c r="E19" s="62">
        <f>E8+E9+E10-E11+E12+E13+E14+E15-E16-E17</f>
        <v>182313.25</v>
      </c>
    </row>
    <row r="20" spans="2:5" x14ac:dyDescent="0.25">
      <c r="B20" s="53"/>
      <c r="C20" s="53"/>
      <c r="D20" s="53"/>
      <c r="E20" s="56"/>
    </row>
    <row r="21" spans="2:5" x14ac:dyDescent="0.25">
      <c r="B21" s="53" t="s">
        <v>224</v>
      </c>
      <c r="C21" s="59" t="s">
        <v>226</v>
      </c>
      <c r="D21" s="53" t="s">
        <v>230</v>
      </c>
      <c r="E21" s="56">
        <f>HLOOKUP($B$5,'8.13 Bourgeoisie investissement'!$E$3:$R$183,180,0)</f>
        <v>48107.85</v>
      </c>
    </row>
    <row r="22" spans="2:5" x14ac:dyDescent="0.25">
      <c r="B22" s="53"/>
      <c r="C22" s="53"/>
      <c r="D22" s="53"/>
      <c r="E22" s="56"/>
    </row>
    <row r="23" spans="2:5" x14ac:dyDescent="0.25">
      <c r="B23" s="54"/>
      <c r="C23" s="54"/>
      <c r="D23" s="55" t="s">
        <v>231</v>
      </c>
      <c r="E23" s="62">
        <f>E19-E21</f>
        <v>134205.4</v>
      </c>
    </row>
  </sheetData>
  <mergeCells count="2">
    <mergeCell ref="B5:D5"/>
    <mergeCell ref="B4:D4"/>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N193" activePane="bottomRight" state="frozen"/>
      <selection pane="topRight" activeCell="F1" sqref="F1"/>
      <selection pane="bottomLeft" activeCell="A4" sqref="A4"/>
      <selection pane="bottomRight" activeCell="N217" sqref="N217"/>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112951.42</v>
      </c>
      <c r="O4" s="87">
        <f t="shared" si="0"/>
        <v>584363.77</v>
      </c>
      <c r="P4" s="87">
        <f t="shared" si="0"/>
        <v>2641660.5499999998</v>
      </c>
      <c r="Q4" s="87">
        <f t="shared" si="0"/>
        <v>1948320.34</v>
      </c>
      <c r="R4" s="87">
        <f t="shared" si="0"/>
        <v>2482468.69</v>
      </c>
      <c r="S4" s="87">
        <f t="shared" ref="S4:S12" si="1">SUM(F4:R4)</f>
        <v>61251749.730000004</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92238.42</v>
      </c>
      <c r="O5" s="75">
        <f t="shared" si="2"/>
        <v>582363.77</v>
      </c>
      <c r="P5" s="75">
        <f t="shared" si="2"/>
        <v>1358276.4</v>
      </c>
      <c r="Q5" s="75">
        <f t="shared" si="2"/>
        <v>898560.29</v>
      </c>
      <c r="R5" s="75">
        <f t="shared" si="2"/>
        <v>951662.69</v>
      </c>
      <c r="S5" s="75">
        <f t="shared" si="1"/>
        <v>47690097.579999998</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92036.42</v>
      </c>
      <c r="O6" s="70">
        <f t="shared" si="3"/>
        <v>296901.77</v>
      </c>
      <c r="P6" s="70">
        <f t="shared" si="3"/>
        <v>745815.37</v>
      </c>
      <c r="Q6" s="70">
        <f t="shared" si="3"/>
        <v>3641.21</v>
      </c>
      <c r="R6" s="70">
        <f t="shared" si="3"/>
        <v>267305.56</v>
      </c>
      <c r="S6" s="70">
        <f t="shared" si="1"/>
        <v>5914669.3700000001</v>
      </c>
      <c r="T6">
        <v>4</v>
      </c>
    </row>
    <row r="7" spans="1:20" x14ac:dyDescent="0.25">
      <c r="D7">
        <v>1000</v>
      </c>
      <c r="E7" t="s">
        <v>313</v>
      </c>
      <c r="F7" s="4">
        <v>2396.9</v>
      </c>
      <c r="G7" s="4">
        <v>41.1</v>
      </c>
      <c r="H7" s="4">
        <v>653.16999999999996</v>
      </c>
      <c r="I7" s="4">
        <v>423.2</v>
      </c>
      <c r="J7" s="4">
        <v>988.7</v>
      </c>
      <c r="K7" s="4">
        <v>2949.1</v>
      </c>
      <c r="L7" s="4">
        <v>11.05</v>
      </c>
      <c r="M7" s="4">
        <v>380.95</v>
      </c>
      <c r="N7" s="4">
        <v>247</v>
      </c>
      <c r="O7" s="4">
        <v>1904.5</v>
      </c>
      <c r="P7" s="4">
        <v>521.6</v>
      </c>
      <c r="Q7" s="4">
        <v>1695.1</v>
      </c>
      <c r="R7" s="4">
        <v>0</v>
      </c>
      <c r="S7" s="80">
        <f t="shared" si="1"/>
        <v>12212.37</v>
      </c>
      <c r="T7">
        <v>5</v>
      </c>
    </row>
    <row r="8" spans="1:20" x14ac:dyDescent="0.25">
      <c r="D8">
        <v>1001</v>
      </c>
      <c r="E8" t="s">
        <v>314</v>
      </c>
      <c r="F8" s="4">
        <v>1304.71</v>
      </c>
      <c r="G8" s="4">
        <v>0</v>
      </c>
      <c r="H8" s="4">
        <v>24009.19</v>
      </c>
      <c r="I8" s="4">
        <v>0</v>
      </c>
      <c r="J8" s="4">
        <v>295617.25</v>
      </c>
      <c r="K8" s="4">
        <v>16250.99</v>
      </c>
      <c r="L8" s="4">
        <v>182617.36</v>
      </c>
      <c r="M8" s="4">
        <v>55067.59</v>
      </c>
      <c r="N8" s="4">
        <v>1946.72</v>
      </c>
      <c r="O8" s="4">
        <v>174314.5</v>
      </c>
      <c r="P8" s="4">
        <v>0</v>
      </c>
      <c r="Q8" s="4">
        <v>1898.23</v>
      </c>
      <c r="R8" s="4">
        <v>0</v>
      </c>
      <c r="S8" s="80">
        <f t="shared" si="1"/>
        <v>753026.53999999992</v>
      </c>
      <c r="T8">
        <v>6</v>
      </c>
    </row>
    <row r="9" spans="1:20" x14ac:dyDescent="0.25">
      <c r="D9">
        <v>1002</v>
      </c>
      <c r="E9" t="s">
        <v>322</v>
      </c>
      <c r="F9" s="4">
        <v>1344332.69</v>
      </c>
      <c r="G9" s="4">
        <v>59296.95</v>
      </c>
      <c r="H9" s="4">
        <v>101394.79</v>
      </c>
      <c r="I9" s="4">
        <v>278401.24</v>
      </c>
      <c r="J9" s="4">
        <v>446552.72</v>
      </c>
      <c r="K9" s="4">
        <v>1025860.45</v>
      </c>
      <c r="L9" s="4">
        <v>28808.15</v>
      </c>
      <c r="M9" s="4">
        <v>563364.11</v>
      </c>
      <c r="N9" s="4">
        <v>89842.7</v>
      </c>
      <c r="O9" s="4">
        <v>120682.77</v>
      </c>
      <c r="P9" s="4">
        <v>745293.77</v>
      </c>
      <c r="Q9" s="4">
        <v>47.88</v>
      </c>
      <c r="R9" s="4">
        <v>267305.56</v>
      </c>
      <c r="S9" s="80">
        <f t="shared" si="1"/>
        <v>5071183.7799999993</v>
      </c>
      <c r="T9">
        <v>7</v>
      </c>
    </row>
    <row r="10" spans="1:20" x14ac:dyDescent="0.25">
      <c r="D10">
        <v>1003</v>
      </c>
      <c r="E10" t="s">
        <v>315</v>
      </c>
      <c r="F10" s="4">
        <v>0</v>
      </c>
      <c r="G10" s="4">
        <v>0</v>
      </c>
      <c r="H10" s="4">
        <v>0</v>
      </c>
      <c r="I10" s="4">
        <v>0</v>
      </c>
      <c r="J10" s="4">
        <v>20271.099999999999</v>
      </c>
      <c r="K10" s="4">
        <v>0</v>
      </c>
      <c r="L10" s="4">
        <v>0</v>
      </c>
      <c r="M10" s="4">
        <v>40697.730000000003</v>
      </c>
      <c r="N10" s="4">
        <v>0</v>
      </c>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v>0</v>
      </c>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v>0</v>
      </c>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v>0</v>
      </c>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v>0</v>
      </c>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v>0</v>
      </c>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v>0</v>
      </c>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v>0</v>
      </c>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v>0</v>
      </c>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v>0</v>
      </c>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v>0</v>
      </c>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v>0</v>
      </c>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v>0</v>
      </c>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v>0</v>
      </c>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v>0</v>
      </c>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v>0</v>
      </c>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v>0</v>
      </c>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v>0</v>
      </c>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v>0</v>
      </c>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v>0</v>
      </c>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v>0</v>
      </c>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v>0</v>
      </c>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v>0</v>
      </c>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v>0</v>
      </c>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v>0</v>
      </c>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v>0</v>
      </c>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v>0</v>
      </c>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v>0</v>
      </c>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202</v>
      </c>
      <c r="O47" s="70">
        <f t="shared" si="11"/>
        <v>5002</v>
      </c>
      <c r="P47" s="70">
        <f t="shared" si="11"/>
        <v>452</v>
      </c>
      <c r="Q47" s="70">
        <f t="shared" si="11"/>
        <v>178759.03</v>
      </c>
      <c r="R47" s="70">
        <f t="shared" si="11"/>
        <v>562166.23</v>
      </c>
      <c r="S47" s="70">
        <f t="shared" ref="S47:S52" si="12">SUM(F47:R47)</f>
        <v>810873.15999999992</v>
      </c>
      <c r="T47">
        <v>45</v>
      </c>
    </row>
    <row r="48" spans="3:20" x14ac:dyDescent="0.25">
      <c r="D48">
        <v>1070</v>
      </c>
      <c r="E48" t="s">
        <v>342</v>
      </c>
      <c r="F48" s="4">
        <v>16617.900000000001</v>
      </c>
      <c r="G48" s="4">
        <v>2</v>
      </c>
      <c r="H48" s="4">
        <v>702</v>
      </c>
      <c r="I48" s="4">
        <v>6</v>
      </c>
      <c r="J48" s="4">
        <v>1200</v>
      </c>
      <c r="K48" s="4">
        <v>5200</v>
      </c>
      <c r="L48" s="4">
        <v>1503</v>
      </c>
      <c r="M48" s="4">
        <v>39061</v>
      </c>
      <c r="N48" s="4">
        <v>202</v>
      </c>
      <c r="O48" s="4">
        <v>5002</v>
      </c>
      <c r="P48" s="4">
        <v>452</v>
      </c>
      <c r="Q48" s="4">
        <v>8000</v>
      </c>
      <c r="R48" s="4">
        <v>185981.7</v>
      </c>
      <c r="S48" s="80">
        <f t="shared" si="12"/>
        <v>263929.59999999998</v>
      </c>
      <c r="T48">
        <v>46</v>
      </c>
    </row>
    <row r="49" spans="3:20" x14ac:dyDescent="0.25">
      <c r="D49">
        <v>1071</v>
      </c>
      <c r="E49" t="s">
        <v>343</v>
      </c>
      <c r="F49" s="4">
        <v>0</v>
      </c>
      <c r="G49" s="4">
        <v>0</v>
      </c>
      <c r="H49" s="4">
        <v>0</v>
      </c>
      <c r="I49" s="4">
        <v>0</v>
      </c>
      <c r="J49" s="4">
        <v>0</v>
      </c>
      <c r="K49" s="4">
        <v>0</v>
      </c>
      <c r="L49" s="4">
        <v>0</v>
      </c>
      <c r="M49" s="4">
        <v>0</v>
      </c>
      <c r="N49" s="4">
        <v>0</v>
      </c>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v>0</v>
      </c>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v>0</v>
      </c>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v>0</v>
      </c>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v>0</v>
      </c>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v>0</v>
      </c>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v>0</v>
      </c>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v>0</v>
      </c>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v>0</v>
      </c>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v>0</v>
      </c>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v>0</v>
      </c>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v>0</v>
      </c>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v>0</v>
      </c>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20713</v>
      </c>
      <c r="O67" s="77">
        <f t="shared" si="17"/>
        <v>2000</v>
      </c>
      <c r="P67" s="77">
        <f t="shared" si="17"/>
        <v>1283384.1499999999</v>
      </c>
      <c r="Q67" s="77">
        <f t="shared" si="17"/>
        <v>1049760.05</v>
      </c>
      <c r="R67" s="77">
        <f t="shared" si="17"/>
        <v>1530806</v>
      </c>
      <c r="S67" s="77">
        <f t="shared" ref="S67:S77" si="18">SUM(F67:R67)</f>
        <v>13561652.15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20713</v>
      </c>
      <c r="O68" s="70">
        <f t="shared" si="19"/>
        <v>2000</v>
      </c>
      <c r="P68" s="70">
        <f t="shared" si="19"/>
        <v>1283384.1499999999</v>
      </c>
      <c r="Q68" s="70">
        <f t="shared" si="19"/>
        <v>1049760.05</v>
      </c>
      <c r="R68" s="70">
        <f t="shared" si="19"/>
        <v>1530806</v>
      </c>
      <c r="S68" s="70">
        <f t="shared" si="18"/>
        <v>13423849.15</v>
      </c>
      <c r="T68">
        <v>66</v>
      </c>
    </row>
    <row r="69" spans="2:20" x14ac:dyDescent="0.25">
      <c r="D69">
        <v>1400</v>
      </c>
      <c r="E69" t="s">
        <v>357</v>
      </c>
      <c r="F69" s="4">
        <v>637218.30000000005</v>
      </c>
      <c r="G69" s="4">
        <v>236301</v>
      </c>
      <c r="H69" s="4">
        <v>0</v>
      </c>
      <c r="I69" s="4">
        <v>260230</v>
      </c>
      <c r="J69" s="4">
        <v>336980</v>
      </c>
      <c r="K69" s="4">
        <v>764001</v>
      </c>
      <c r="L69" s="4">
        <v>201230</v>
      </c>
      <c r="M69" s="4">
        <v>0</v>
      </c>
      <c r="N69" s="4">
        <v>0</v>
      </c>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v>0</v>
      </c>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v>1</v>
      </c>
      <c r="O71" s="4">
        <v>0</v>
      </c>
      <c r="P71" s="4">
        <v>0</v>
      </c>
      <c r="Q71" s="4">
        <v>0</v>
      </c>
      <c r="R71" s="4">
        <v>0</v>
      </c>
      <c r="S71" s="80">
        <f t="shared" si="18"/>
        <v>54533.7</v>
      </c>
      <c r="T71">
        <v>69</v>
      </c>
    </row>
    <row r="72" spans="2:20" x14ac:dyDescent="0.25">
      <c r="D72">
        <v>1403</v>
      </c>
      <c r="E72" t="s">
        <v>360</v>
      </c>
      <c r="F72" s="4">
        <v>0</v>
      </c>
      <c r="G72" s="4">
        <v>0</v>
      </c>
      <c r="H72" s="4">
        <v>0</v>
      </c>
      <c r="I72" s="4">
        <v>0</v>
      </c>
      <c r="J72" s="4">
        <v>0</v>
      </c>
      <c r="K72" s="4">
        <v>0</v>
      </c>
      <c r="L72" s="4">
        <v>0</v>
      </c>
      <c r="M72" s="4">
        <v>0</v>
      </c>
      <c r="N72" s="4">
        <v>0</v>
      </c>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v>2601</v>
      </c>
      <c r="O73" s="4">
        <v>0</v>
      </c>
      <c r="P73" s="4">
        <v>151549.4</v>
      </c>
      <c r="Q73" s="4">
        <v>0</v>
      </c>
      <c r="R73" s="4">
        <v>1489805</v>
      </c>
      <c r="S73" s="80">
        <f t="shared" si="18"/>
        <v>2771006.9499999997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v>18110</v>
      </c>
      <c r="O74" s="4">
        <v>0</v>
      </c>
      <c r="P74" s="4">
        <v>556866</v>
      </c>
      <c r="Q74" s="4">
        <v>687522</v>
      </c>
      <c r="R74" s="4">
        <v>0</v>
      </c>
      <c r="S74" s="80">
        <f t="shared" si="18"/>
        <v>6894331</v>
      </c>
      <c r="T74">
        <v>72</v>
      </c>
    </row>
    <row r="75" spans="2:20" x14ac:dyDescent="0.25">
      <c r="D75">
        <v>1406</v>
      </c>
      <c r="E75" t="s">
        <v>363</v>
      </c>
      <c r="F75" s="4">
        <v>70900</v>
      </c>
      <c r="G75" s="4">
        <v>0</v>
      </c>
      <c r="H75" s="4">
        <v>2500</v>
      </c>
      <c r="I75" s="4">
        <v>2</v>
      </c>
      <c r="J75" s="4">
        <v>0</v>
      </c>
      <c r="K75" s="4">
        <v>0</v>
      </c>
      <c r="L75" s="4">
        <v>0</v>
      </c>
      <c r="M75" s="4">
        <v>0</v>
      </c>
      <c r="N75" s="4">
        <v>1</v>
      </c>
      <c r="O75" s="4">
        <v>0</v>
      </c>
      <c r="P75" s="4">
        <v>501</v>
      </c>
      <c r="Q75" s="4">
        <v>0</v>
      </c>
      <c r="R75" s="4">
        <v>1</v>
      </c>
      <c r="S75" s="80">
        <f t="shared" si="18"/>
        <v>73905</v>
      </c>
      <c r="T75">
        <v>73</v>
      </c>
    </row>
    <row r="76" spans="2:20" x14ac:dyDescent="0.25">
      <c r="D76">
        <v>1407</v>
      </c>
      <c r="E76" t="s">
        <v>364</v>
      </c>
      <c r="F76" s="4">
        <v>0</v>
      </c>
      <c r="G76" s="4">
        <v>0</v>
      </c>
      <c r="H76" s="4">
        <v>0</v>
      </c>
      <c r="I76" s="4">
        <v>0</v>
      </c>
      <c r="J76" s="4">
        <v>0</v>
      </c>
      <c r="K76" s="4">
        <v>0</v>
      </c>
      <c r="L76" s="4">
        <v>0</v>
      </c>
      <c r="M76" s="4">
        <v>0</v>
      </c>
      <c r="N76" s="4">
        <v>0</v>
      </c>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v>0</v>
      </c>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v>0</v>
      </c>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v>0</v>
      </c>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v>0</v>
      </c>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v>0</v>
      </c>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v>0</v>
      </c>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v>0</v>
      </c>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v>0</v>
      </c>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v>0</v>
      </c>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v>0</v>
      </c>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v>0</v>
      </c>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v>0</v>
      </c>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v>0</v>
      </c>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v>0</v>
      </c>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v>0</v>
      </c>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v>0</v>
      </c>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v>0</v>
      </c>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v>0</v>
      </c>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112951.42</v>
      </c>
      <c r="O120" s="88">
        <f t="shared" si="28"/>
        <v>584363.77</v>
      </c>
      <c r="P120" s="88">
        <f t="shared" si="28"/>
        <v>2641660.5499999998</v>
      </c>
      <c r="Q120" s="88">
        <f t="shared" si="28"/>
        <v>1948320.34</v>
      </c>
      <c r="R120" s="88">
        <f t="shared" si="28"/>
        <v>2482468.69</v>
      </c>
      <c r="S120" s="82">
        <f t="shared" ref="S120:S130" si="29">SUM(F120:R120)</f>
        <v>61251749.730000004</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15400</v>
      </c>
      <c r="O121" s="86">
        <f t="shared" si="30"/>
        <v>15000</v>
      </c>
      <c r="P121" s="86">
        <f t="shared" si="30"/>
        <v>75502.2</v>
      </c>
      <c r="Q121" s="86">
        <f t="shared" si="30"/>
        <v>483896.37</v>
      </c>
      <c r="R121" s="86">
        <f t="shared" si="30"/>
        <v>48390.65</v>
      </c>
      <c r="S121" s="86">
        <f t="shared" si="29"/>
        <v>9452079.5199999977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v>0</v>
      </c>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v>0</v>
      </c>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v>0</v>
      </c>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v>0</v>
      </c>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v>0</v>
      </c>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v>0</v>
      </c>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v>0</v>
      </c>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v>0</v>
      </c>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v>0</v>
      </c>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v>0</v>
      </c>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v>0</v>
      </c>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v>0</v>
      </c>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v>0</v>
      </c>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v>0</v>
      </c>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v>0</v>
      </c>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v>0</v>
      </c>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15400</v>
      </c>
      <c r="O164" s="84">
        <f t="shared" si="38"/>
        <v>0</v>
      </c>
      <c r="P164" s="84">
        <f t="shared" si="38"/>
        <v>0</v>
      </c>
      <c r="Q164" s="84">
        <f t="shared" si="38"/>
        <v>458240</v>
      </c>
      <c r="R164" s="84">
        <f t="shared" si="38"/>
        <v>0</v>
      </c>
      <c r="S164" s="84">
        <f t="shared" ref="S164:S170" si="39">SUM(F164:R164)</f>
        <v>7721815.5999999996</v>
      </c>
      <c r="T164">
        <v>162</v>
      </c>
    </row>
    <row r="165" spans="3:20" x14ac:dyDescent="0.25">
      <c r="D165">
        <v>2060</v>
      </c>
      <c r="E165" t="s">
        <v>425</v>
      </c>
      <c r="F165" s="4">
        <v>2989500</v>
      </c>
      <c r="G165" s="4">
        <v>0</v>
      </c>
      <c r="H165" s="4">
        <v>0</v>
      </c>
      <c r="I165" s="4">
        <v>0</v>
      </c>
      <c r="J165" s="4">
        <v>0</v>
      </c>
      <c r="K165" s="4">
        <v>3283750</v>
      </c>
      <c r="L165" s="4">
        <v>0</v>
      </c>
      <c r="M165" s="4">
        <v>0</v>
      </c>
      <c r="N165" s="4">
        <v>0</v>
      </c>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v>0</v>
      </c>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v>15400</v>
      </c>
      <c r="O168" s="4">
        <v>0</v>
      </c>
      <c r="P168" s="4">
        <v>0</v>
      </c>
      <c r="Q168" s="4">
        <v>0</v>
      </c>
      <c r="R168" s="4">
        <v>0</v>
      </c>
      <c r="S168" s="80">
        <f t="shared" si="39"/>
        <v>15400</v>
      </c>
      <c r="T168">
        <v>166</v>
      </c>
    </row>
    <row r="169" spans="3:20"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v>0</v>
      </c>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v>0</v>
      </c>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v>0</v>
      </c>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v>0</v>
      </c>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97551.42</v>
      </c>
      <c r="O189" s="86">
        <f t="shared" si="43"/>
        <v>569363.77</v>
      </c>
      <c r="P189" s="86">
        <f t="shared" si="43"/>
        <v>2566158.3499999996</v>
      </c>
      <c r="Q189" s="86">
        <f t="shared" si="43"/>
        <v>1464423.97</v>
      </c>
      <c r="R189" s="86">
        <f t="shared" si="43"/>
        <v>2434078.04</v>
      </c>
      <c r="S189" s="86">
        <f t="shared" si="43"/>
        <v>51799670.210000001</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19947.169999999998</v>
      </c>
      <c r="O190" s="84">
        <f t="shared" si="44"/>
        <v>165866.60999999999</v>
      </c>
      <c r="P190" s="84">
        <f t="shared" si="44"/>
        <v>83957.08</v>
      </c>
      <c r="Q190" s="84">
        <f t="shared" si="44"/>
        <v>170794.67</v>
      </c>
      <c r="R190" s="84">
        <f t="shared" si="44"/>
        <v>2430578.04</v>
      </c>
      <c r="S190" s="84">
        <f>SUM(F190:R190)</f>
        <v>6944057.0800000001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v>19947.169999999998</v>
      </c>
      <c r="O191" s="4">
        <v>165866.60999999999</v>
      </c>
      <c r="P191" s="4">
        <v>83957.08</v>
      </c>
      <c r="Q191" s="4">
        <v>170794.67</v>
      </c>
      <c r="R191" s="4">
        <v>2430578.04</v>
      </c>
      <c r="S191" s="80">
        <f>SUM(F191:R191)</f>
        <v>6944057.0800000001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v>0</v>
      </c>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v>0</v>
      </c>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v>0</v>
      </c>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v>0</v>
      </c>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v>0</v>
      </c>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77604.25</v>
      </c>
      <c r="O215" s="84">
        <f t="shared" si="52"/>
        <v>403497.16</v>
      </c>
      <c r="P215" s="84">
        <f t="shared" si="52"/>
        <v>1996434.3199999998</v>
      </c>
      <c r="Q215" s="84">
        <f t="shared" si="52"/>
        <v>1293629.3</v>
      </c>
      <c r="R215" s="84">
        <f t="shared" si="52"/>
        <v>0</v>
      </c>
      <c r="S215" s="84">
        <f>SUM(F215:R215)</f>
        <v>20856445.18</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v>-3050.01</v>
      </c>
      <c r="O216" s="4">
        <v>645.91</v>
      </c>
      <c r="P216" s="4">
        <v>2904.41</v>
      </c>
      <c r="Q216" s="4">
        <v>5845.23</v>
      </c>
      <c r="R216" s="4">
        <v>0</v>
      </c>
      <c r="S216" s="80">
        <f>SUM(F216:R216)</f>
        <v>209407.06</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v>80654.259999999995</v>
      </c>
      <c r="O217" s="4">
        <v>402851.25</v>
      </c>
      <c r="P217" s="72">
        <v>1993529.91</v>
      </c>
      <c r="Q217" s="4">
        <v>1287784.07</v>
      </c>
      <c r="R217" s="4">
        <v>0</v>
      </c>
      <c r="S217" s="80">
        <f>SUM(F217:R217)</f>
        <v>20647038.120000005</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'8.1 Bourgeoisies Comptes 2021'!E155</f>
        <v>0</v>
      </c>
      <c r="G220" s="4">
        <f>'8.1 Bourgeoisies Comptes 2021'!F155</f>
        <v>0</v>
      </c>
      <c r="H220" s="4">
        <f>'8.1 Bourgeoisies Comptes 2021'!G155</f>
        <v>0</v>
      </c>
      <c r="I220" s="4">
        <f>'8.1 Bourgeoisies Comptes 2021'!H155</f>
        <v>0</v>
      </c>
      <c r="J220" s="4">
        <f>'8.1 Bourgeoisies Comptes 2021'!I155</f>
        <v>0</v>
      </c>
      <c r="K220" s="4">
        <f>'8.1 Bourgeoisies Comptes 2021'!J155</f>
        <v>0</v>
      </c>
      <c r="L220" s="4">
        <f>'8.1 Bourgeoisies Comptes 2021'!K155</f>
        <v>0</v>
      </c>
      <c r="M220" s="4">
        <f>'8.1 Bourgeoisies Comptes 2021'!L155</f>
        <v>0</v>
      </c>
      <c r="N220" s="4">
        <f>'8.1 Bourgeoisies Comptes 2021'!M155</f>
        <v>0</v>
      </c>
      <c r="O220" s="4">
        <f>'8.1 Bourgeoisies Comptes 2021'!N155</f>
        <v>0</v>
      </c>
      <c r="P220" s="4">
        <f>'8.1 Bourgeoisies Comptes 2021'!O155</f>
        <v>0</v>
      </c>
      <c r="Q220" s="4">
        <f>'8.1 Bourgeoisies Comptes 2021'!P155</f>
        <v>0</v>
      </c>
      <c r="R220" s="4">
        <f>'8.1 Bourgeoisies Comptes 2021'!Q155</f>
        <v>0</v>
      </c>
      <c r="S220" s="4">
        <f>'8.1 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-3050.01</v>
      </c>
      <c r="O221" s="4">
        <f t="shared" si="53"/>
        <v>645.91</v>
      </c>
      <c r="P221" s="4">
        <f t="shared" si="53"/>
        <v>2904.41</v>
      </c>
      <c r="Q221" s="4">
        <f t="shared" si="53"/>
        <v>5845.23</v>
      </c>
      <c r="R221" s="4">
        <f t="shared" si="53"/>
        <v>0</v>
      </c>
      <c r="S221" s="4">
        <f t="shared" si="53"/>
        <v>209407.06</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-3050.01</v>
      </c>
      <c r="O223" s="41">
        <f t="shared" si="54"/>
        <v>645.91</v>
      </c>
      <c r="P223" s="41">
        <f t="shared" si="54"/>
        <v>2904.41</v>
      </c>
      <c r="Q223" s="41">
        <f t="shared" si="54"/>
        <v>5845.23</v>
      </c>
      <c r="R223" s="41">
        <f t="shared" si="54"/>
        <v>0</v>
      </c>
      <c r="S223" s="41">
        <f t="shared" si="54"/>
        <v>209407.06</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752</v>
      </c>
    </row>
    <row r="7" spans="1:6" ht="21" x14ac:dyDescent="0.35">
      <c r="A7" s="73">
        <v>1</v>
      </c>
      <c r="B7" s="73"/>
      <c r="C7" s="73"/>
      <c r="D7" s="73"/>
      <c r="E7" s="73" t="s">
        <v>239</v>
      </c>
      <c r="F7" s="175">
        <f>HLOOKUP($E$4,'8.9 Bourgeoisie bilan'!$F$3:$S$228,2,0)</f>
        <v>112951.42</v>
      </c>
    </row>
    <row r="8" spans="1:6" x14ac:dyDescent="0.25">
      <c r="A8" s="78"/>
      <c r="B8" s="74">
        <v>10</v>
      </c>
      <c r="C8" s="74"/>
      <c r="D8" s="74"/>
      <c r="E8" s="74" t="s">
        <v>240</v>
      </c>
      <c r="F8" s="75">
        <f>HLOOKUP($E$4,'8.9 Bourgeoisie bilan'!$F$3:$S$228,2,0)</f>
        <v>112951.42</v>
      </c>
    </row>
    <row r="9" spans="1:6" x14ac:dyDescent="0.25">
      <c r="A9" s="79"/>
      <c r="B9" s="79"/>
      <c r="C9" s="69">
        <v>100</v>
      </c>
      <c r="D9" s="69"/>
      <c r="E9" s="69" t="s">
        <v>241</v>
      </c>
      <c r="F9" s="70">
        <f>HLOOKUP($E$4,'8.9 Bourgeoisie bilan'!$F$3:$S$228,2,0)</f>
        <v>112951.42</v>
      </c>
    </row>
    <row r="10" spans="1:6" x14ac:dyDescent="0.25">
      <c r="D10">
        <v>1000</v>
      </c>
      <c r="E10" t="s">
        <v>313</v>
      </c>
      <c r="F10" s="4">
        <f>HLOOKUP($E$4,'8.9 Bourgeoisie bilan'!$F$3:$S$228,5,0)</f>
        <v>247</v>
      </c>
    </row>
    <row r="11" spans="1:6" x14ac:dyDescent="0.25">
      <c r="D11">
        <v>1001</v>
      </c>
      <c r="E11" t="s">
        <v>314</v>
      </c>
      <c r="F11" s="4">
        <f>HLOOKUP($E$4,'8.9 Bourgeoisie bilan'!$F$3:$S$228,6,0)</f>
        <v>1946.72</v>
      </c>
    </row>
    <row r="12" spans="1:6" x14ac:dyDescent="0.25">
      <c r="D12">
        <v>1002</v>
      </c>
      <c r="E12" t="s">
        <v>322</v>
      </c>
      <c r="F12" s="4">
        <f>HLOOKUP($E$4,'8.9 Bourgeoisie bilan'!$F$3:$S$228,7,0)</f>
        <v>89842.7</v>
      </c>
    </row>
    <row r="13" spans="1:6" x14ac:dyDescent="0.25">
      <c r="D13">
        <v>1003</v>
      </c>
      <c r="E13" t="s">
        <v>315</v>
      </c>
      <c r="F13" s="4">
        <f>HLOOKUP($E$4,'8.9 Bourgeoisie bilan'!$F$3:$S$228,8,0)</f>
        <v>0</v>
      </c>
    </row>
    <row r="14" spans="1:6" x14ac:dyDescent="0.25">
      <c r="D14">
        <v>1004</v>
      </c>
      <c r="E14" t="s">
        <v>316</v>
      </c>
      <c r="F14" s="4">
        <f>HLOOKUP($E$4,'8.9 Bourgeoisie bilan'!$F$3:$S$228,9,0)</f>
        <v>0</v>
      </c>
    </row>
    <row r="15" spans="1:6" x14ac:dyDescent="0.25">
      <c r="D15">
        <v>1009</v>
      </c>
      <c r="E15" t="s">
        <v>317</v>
      </c>
      <c r="F15" s="4">
        <f>HLOOKUP($E$4,'8.9 Bourgeoisie bilan'!$F$3:$S$228,10,0)</f>
        <v>0</v>
      </c>
    </row>
    <row r="16" spans="1:6" x14ac:dyDescent="0.25">
      <c r="F16" s="4"/>
    </row>
    <row r="17" spans="1:6" x14ac:dyDescent="0.25">
      <c r="A17" s="79"/>
      <c r="B17" s="79"/>
      <c r="C17" s="69">
        <v>101</v>
      </c>
      <c r="D17" s="69"/>
      <c r="E17" s="69" t="s">
        <v>242</v>
      </c>
      <c r="F17" s="70">
        <f>HLOOKUP($E$4,'8.9 Bourgeoisie bilan'!$F$3:$S$228,12,0)</f>
        <v>0</v>
      </c>
    </row>
    <row r="18" spans="1:6" x14ac:dyDescent="0.25">
      <c r="D18">
        <v>1010</v>
      </c>
      <c r="E18" t="s">
        <v>318</v>
      </c>
      <c r="F18" s="4">
        <f>HLOOKUP($E$4,'8.9 Bourgeoisie bilan'!$F$3:$S$228,13,0)</f>
        <v>0</v>
      </c>
    </row>
    <row r="19" spans="1:6" x14ac:dyDescent="0.25">
      <c r="D19">
        <v>1011</v>
      </c>
      <c r="E19" t="s">
        <v>399</v>
      </c>
      <c r="F19" s="4">
        <f>HLOOKUP($E$4,'8.9 Bourgeoisie bilan'!$F$3:$S$228,14,0)</f>
        <v>0</v>
      </c>
    </row>
    <row r="20" spans="1:6" x14ac:dyDescent="0.25">
      <c r="D20">
        <v>1012</v>
      </c>
      <c r="E20" t="s">
        <v>319</v>
      </c>
      <c r="F20" s="4">
        <f>HLOOKUP($E$4,'8.9 Bourgeoisie bilan'!$F$3:$S$228,15,0)</f>
        <v>0</v>
      </c>
    </row>
    <row r="21" spans="1:6" x14ac:dyDescent="0.25">
      <c r="D21">
        <v>1013</v>
      </c>
      <c r="E21" t="s">
        <v>320</v>
      </c>
      <c r="F21" s="4">
        <f>HLOOKUP($E$4,'8.9 Bourgeoisie bilan'!$F$3:$S$228,16,0)</f>
        <v>0</v>
      </c>
    </row>
    <row r="22" spans="1:6" x14ac:dyDescent="0.25">
      <c r="D22">
        <v>1014</v>
      </c>
      <c r="E22" t="s">
        <v>321</v>
      </c>
      <c r="F22" s="4">
        <f>HLOOKUP($E$4,'8.9 Bourgeoisie bilan'!$F$3:$S$228,17,0)</f>
        <v>0</v>
      </c>
    </row>
    <row r="23" spans="1:6" x14ac:dyDescent="0.25">
      <c r="D23">
        <v>1015</v>
      </c>
      <c r="E23" t="s">
        <v>323</v>
      </c>
      <c r="F23" s="4">
        <f>HLOOKUP($E$4,'8.9 Bourgeoisie bilan'!$F$3:$S$228,18,0)</f>
        <v>0</v>
      </c>
    </row>
    <row r="24" spans="1:6" x14ac:dyDescent="0.25">
      <c r="D24">
        <v>1016</v>
      </c>
      <c r="E24" t="s">
        <v>324</v>
      </c>
      <c r="F24" s="4">
        <f>HLOOKUP($E$4,'8.9 Bourgeoisie bilan'!$F$3:$S$228,19,0)</f>
        <v>0</v>
      </c>
    </row>
    <row r="25" spans="1:6" x14ac:dyDescent="0.25">
      <c r="D25">
        <v>1019</v>
      </c>
      <c r="E25" t="s">
        <v>325</v>
      </c>
      <c r="F25" s="4">
        <f>HLOOKUP($E$4,'8.9 Bourgeoisie bilan'!$F$3:$S$228,20,0)</f>
        <v>0</v>
      </c>
    </row>
    <row r="26" spans="1:6" x14ac:dyDescent="0.25">
      <c r="F26" s="4"/>
    </row>
    <row r="27" spans="1:6" x14ac:dyDescent="0.25">
      <c r="C27" s="69">
        <v>102</v>
      </c>
      <c r="D27" s="69"/>
      <c r="E27" s="69" t="s">
        <v>243</v>
      </c>
      <c r="F27" s="70">
        <f>HLOOKUP($E$4,'8.9 Bourgeoisie bilan'!$F$3:$S$228,22,0)</f>
        <v>0</v>
      </c>
    </row>
    <row r="28" spans="1:6" x14ac:dyDescent="0.25">
      <c r="D28">
        <v>1020</v>
      </c>
      <c r="E28" t="s">
        <v>326</v>
      </c>
      <c r="F28" s="4">
        <f>HLOOKUP($E$4,'8.9 Bourgeoisie bilan'!$F$3:$S$228,23,0)</f>
        <v>0</v>
      </c>
    </row>
    <row r="29" spans="1:6" x14ac:dyDescent="0.25">
      <c r="D29">
        <v>1022</v>
      </c>
      <c r="E29" t="s">
        <v>327</v>
      </c>
      <c r="F29" s="4">
        <f>HLOOKUP($E$4,'8.9 Bourgeoisie bilan'!$F$3:$S$228,24,0)</f>
        <v>0</v>
      </c>
    </row>
    <row r="30" spans="1:6" x14ac:dyDescent="0.25">
      <c r="D30">
        <v>1023</v>
      </c>
      <c r="E30" t="s">
        <v>328</v>
      </c>
      <c r="F30" s="4">
        <f>HLOOKUP($E$4,'8.9 Bourgeoisie bilan'!$F$3:$S$228,25,0)</f>
        <v>0</v>
      </c>
    </row>
    <row r="31" spans="1:6" x14ac:dyDescent="0.25">
      <c r="D31">
        <v>1029</v>
      </c>
      <c r="E31" t="s">
        <v>329</v>
      </c>
      <c r="F31" s="4">
        <f>HLOOKUP($E$4,'8.9 Bourgeoisie bilan'!$F$3:$S$228,26,0)</f>
        <v>0</v>
      </c>
    </row>
    <row r="32" spans="1:6" x14ac:dyDescent="0.25">
      <c r="F32" s="4"/>
    </row>
    <row r="33" spans="3:6" x14ac:dyDescent="0.25">
      <c r="C33" s="69">
        <v>104</v>
      </c>
      <c r="D33" s="69"/>
      <c r="E33" s="69" t="s">
        <v>244</v>
      </c>
      <c r="F33" s="70">
        <f>HLOOKUP($E$4,'8.9 Bourgeoisie bilan'!$F$3:$S$228,28,0)</f>
        <v>0</v>
      </c>
    </row>
    <row r="34" spans="3:6" x14ac:dyDescent="0.25">
      <c r="D34">
        <v>1040</v>
      </c>
      <c r="E34" t="s">
        <v>61</v>
      </c>
      <c r="F34" s="4">
        <f>HLOOKUP($E$4,'8.9 Bourgeoisie bilan'!$F$3:$S$228,29,0)</f>
        <v>0</v>
      </c>
    </row>
    <row r="35" spans="3:6" x14ac:dyDescent="0.25">
      <c r="D35">
        <v>1041</v>
      </c>
      <c r="E35" t="s">
        <v>330</v>
      </c>
      <c r="F35" s="4">
        <f>HLOOKUP($E$4,'8.9 Bourgeoisie bilan'!$F$3:$S$228,30,0)</f>
        <v>0</v>
      </c>
    </row>
    <row r="36" spans="3:6" x14ac:dyDescent="0.25">
      <c r="D36">
        <v>1042</v>
      </c>
      <c r="E36" t="s">
        <v>331</v>
      </c>
      <c r="F36" s="4">
        <f>HLOOKUP($E$4,'8.9 Bourgeoisie bilan'!$F$3:$S$228,31,0)</f>
        <v>0</v>
      </c>
    </row>
    <row r="37" spans="3:6" x14ac:dyDescent="0.25">
      <c r="D37">
        <v>1043</v>
      </c>
      <c r="E37" t="s">
        <v>332</v>
      </c>
      <c r="F37" s="4">
        <f>HLOOKUP($E$4,'8.9 Bourgeoisie bilan'!$F$3:$S$228,32,0)</f>
        <v>0</v>
      </c>
    </row>
    <row r="38" spans="3:6" x14ac:dyDescent="0.25">
      <c r="D38">
        <v>1044</v>
      </c>
      <c r="E38" t="s">
        <v>333</v>
      </c>
      <c r="F38" s="4">
        <f>HLOOKUP($E$4,'8.9 Bourgeoisie bilan'!$F$3:$S$228,33,0)</f>
        <v>0</v>
      </c>
    </row>
    <row r="39" spans="3:6" x14ac:dyDescent="0.25">
      <c r="D39">
        <v>1045</v>
      </c>
      <c r="E39" t="s">
        <v>334</v>
      </c>
      <c r="F39" s="4">
        <f>HLOOKUP($E$4,'8.9 Bourgeoisie bilan'!$F$3:$S$228,34,0)</f>
        <v>0</v>
      </c>
    </row>
    <row r="40" spans="3:6" x14ac:dyDescent="0.25">
      <c r="D40">
        <v>1046</v>
      </c>
      <c r="E40" t="s">
        <v>335</v>
      </c>
      <c r="F40" s="4">
        <f>HLOOKUP($E$4,'8.9 Bourgeoisie bilan'!$F$3:$S$228,35,0)</f>
        <v>0</v>
      </c>
    </row>
    <row r="41" spans="3:6" x14ac:dyDescent="0.25">
      <c r="D41">
        <v>1049</v>
      </c>
      <c r="E41" t="s">
        <v>336</v>
      </c>
      <c r="F41" s="4">
        <f>HLOOKUP($E$4,'8.9 Bourgeoisie bilan'!$F$3:$S$228,36,0)</f>
        <v>0</v>
      </c>
    </row>
    <row r="42" spans="3:6" x14ac:dyDescent="0.25">
      <c r="F42" s="4"/>
    </row>
    <row r="43" spans="3:6" x14ac:dyDescent="0.25">
      <c r="C43" s="69">
        <v>106</v>
      </c>
      <c r="D43" s="69"/>
      <c r="E43" s="69" t="s">
        <v>245</v>
      </c>
      <c r="F43" s="70">
        <f>HLOOKUP($E$4,'8.9 Bourgeoisie bilan'!$F$3:$S$228,38,0)</f>
        <v>0</v>
      </c>
    </row>
    <row r="44" spans="3:6" x14ac:dyDescent="0.25">
      <c r="D44">
        <v>1060</v>
      </c>
      <c r="E44" t="s">
        <v>337</v>
      </c>
      <c r="F44" s="4">
        <f>HLOOKUP($E$4,'8.9 Bourgeoisie bilan'!$F$3:$S$228,39,0)</f>
        <v>0</v>
      </c>
    </row>
    <row r="45" spans="3:6" x14ac:dyDescent="0.25">
      <c r="D45">
        <v>1061</v>
      </c>
      <c r="E45" t="s">
        <v>338</v>
      </c>
      <c r="F45" s="4">
        <f>HLOOKUP($E$4,'8.9 Bourgeoisie bilan'!$F$3:$S$228,40,0)</f>
        <v>0</v>
      </c>
    </row>
    <row r="46" spans="3:6" x14ac:dyDescent="0.25">
      <c r="D46">
        <v>1062</v>
      </c>
      <c r="E46" t="s">
        <v>339</v>
      </c>
      <c r="F46" s="4">
        <f>HLOOKUP($E$4,'8.9 Bourgeoisie bilan'!$F$3:$S$228,41,0)</f>
        <v>0</v>
      </c>
    </row>
    <row r="47" spans="3:6" x14ac:dyDescent="0.25">
      <c r="D47">
        <v>1063</v>
      </c>
      <c r="E47" t="s">
        <v>340</v>
      </c>
      <c r="F47" s="4">
        <f>HLOOKUP($E$4,'8.9 Bourgeoisie bilan'!$F$3:$S$228,42,0)</f>
        <v>0</v>
      </c>
    </row>
    <row r="48" spans="3:6" x14ac:dyDescent="0.25">
      <c r="D48">
        <v>1068</v>
      </c>
      <c r="E48" t="s">
        <v>341</v>
      </c>
      <c r="F48" s="4">
        <f>HLOOKUP($E$4,'8.9 Bourgeoisie bilan'!$F$3:$S$228,43,0)</f>
        <v>0</v>
      </c>
    </row>
    <row r="49" spans="3:6" x14ac:dyDescent="0.25">
      <c r="F49" s="4"/>
    </row>
    <row r="50" spans="3:6" x14ac:dyDescent="0.25">
      <c r="C50" s="69">
        <v>107</v>
      </c>
      <c r="D50" s="69"/>
      <c r="E50" s="69" t="s">
        <v>346</v>
      </c>
      <c r="F50" s="70">
        <f>HLOOKUP($E$4,'8.9 Bourgeoisie bilan'!$F$3:$S$228,45,0)</f>
        <v>202</v>
      </c>
    </row>
    <row r="51" spans="3:6" x14ac:dyDescent="0.25">
      <c r="D51">
        <v>1070</v>
      </c>
      <c r="E51" t="s">
        <v>342</v>
      </c>
      <c r="F51" s="4">
        <f>HLOOKUP($E$4,'8.9 Bourgeoisie bilan'!$F$3:$S$228,46,0)</f>
        <v>202</v>
      </c>
    </row>
    <row r="52" spans="3:6" x14ac:dyDescent="0.25">
      <c r="D52">
        <v>1071</v>
      </c>
      <c r="E52" t="s">
        <v>343</v>
      </c>
      <c r="F52" s="4">
        <f>HLOOKUP($E$4,'8.9 Bourgeoisie bilan'!$F$3:$S$228,47,0)</f>
        <v>0</v>
      </c>
    </row>
    <row r="53" spans="3:6" x14ac:dyDescent="0.25">
      <c r="D53">
        <v>1072</v>
      </c>
      <c r="E53" t="s">
        <v>344</v>
      </c>
      <c r="F53" s="4">
        <f>HLOOKUP($E$4,'8.9 Bourgeoisie bilan'!$F$3:$S$228,48,0)</f>
        <v>0</v>
      </c>
    </row>
    <row r="54" spans="3:6" x14ac:dyDescent="0.25">
      <c r="D54">
        <v>1079</v>
      </c>
      <c r="E54" t="s">
        <v>345</v>
      </c>
      <c r="F54" s="4">
        <f>HLOOKUP($E$4,'8.9 Bourgeoisie bilan'!$F$3:$S$228,49,0)</f>
        <v>0</v>
      </c>
    </row>
    <row r="55" spans="3:6" x14ac:dyDescent="0.25">
      <c r="F55" s="4"/>
    </row>
    <row r="56" spans="3:6" x14ac:dyDescent="0.25">
      <c r="C56" s="69">
        <v>108</v>
      </c>
      <c r="D56" s="69"/>
      <c r="E56" s="69" t="s">
        <v>246</v>
      </c>
      <c r="F56" s="70">
        <f>HLOOKUP($E$4,'8.9 Bourgeoisie bilan'!$F$3:$S$228,51,0)</f>
        <v>0</v>
      </c>
    </row>
    <row r="57" spans="3:6" x14ac:dyDescent="0.25">
      <c r="D57">
        <v>1080</v>
      </c>
      <c r="E57" t="s">
        <v>347</v>
      </c>
      <c r="F57" s="4">
        <f>HLOOKUP($E$4,'8.9 Bourgeoisie bilan'!$F$3:$S$228,52,0)</f>
        <v>0</v>
      </c>
    </row>
    <row r="58" spans="3:6" x14ac:dyDescent="0.25">
      <c r="D58">
        <v>1084</v>
      </c>
      <c r="E58" t="s">
        <v>348</v>
      </c>
      <c r="F58" s="4">
        <f>HLOOKUP($E$4,'8.9 Bourgeoisie bilan'!$F$3:$S$228,53,0)</f>
        <v>0</v>
      </c>
    </row>
    <row r="59" spans="3:6" x14ac:dyDescent="0.25">
      <c r="D59">
        <v>1086</v>
      </c>
      <c r="E59" t="s">
        <v>349</v>
      </c>
      <c r="F59" s="4">
        <f>HLOOKUP($E$4,'8.9 Bourgeoisie bilan'!$F$3:$S$228,54,0)</f>
        <v>0</v>
      </c>
    </row>
    <row r="60" spans="3:6" x14ac:dyDescent="0.25">
      <c r="D60">
        <v>1087</v>
      </c>
      <c r="E60" t="s">
        <v>350</v>
      </c>
      <c r="F60" s="4">
        <f>HLOOKUP($E$4,'8.9 Bourgeoisie bilan'!$F$3:$S$228,55,0)</f>
        <v>0</v>
      </c>
    </row>
    <row r="61" spans="3:6" x14ac:dyDescent="0.25">
      <c r="D61">
        <v>1088</v>
      </c>
      <c r="E61" t="s">
        <v>351</v>
      </c>
      <c r="F61" s="4">
        <f>HLOOKUP($E$4,'8.9 Bourgeoisie bilan'!$F$3:$S$228,56,0)</f>
        <v>0</v>
      </c>
    </row>
    <row r="62" spans="3:6" x14ac:dyDescent="0.25">
      <c r="D62">
        <v>1089</v>
      </c>
      <c r="E62" t="s">
        <v>352</v>
      </c>
      <c r="F62" s="4">
        <f>HLOOKUP($E$4,'8.9 Bourgeoisie bilan'!$F$3:$S$228,57,0)</f>
        <v>0</v>
      </c>
    </row>
    <row r="63" spans="3:6" x14ac:dyDescent="0.25">
      <c r="F63" s="4"/>
    </row>
    <row r="64" spans="3:6" x14ac:dyDescent="0.25">
      <c r="C64" s="69">
        <v>109</v>
      </c>
      <c r="D64" s="69"/>
      <c r="E64" s="69" t="s">
        <v>353</v>
      </c>
      <c r="F64" s="70">
        <f>HLOOKUP($E$4,'8.9 Bourgeoisie bilan'!$F$3:$S$228,59,0)</f>
        <v>0</v>
      </c>
    </row>
    <row r="65" spans="2:6" x14ac:dyDescent="0.25">
      <c r="D65">
        <v>1090</v>
      </c>
      <c r="E65" t="s">
        <v>353</v>
      </c>
      <c r="F65" s="4">
        <f>HLOOKUP($E$4,'8.9 Bourgeoisie bilan'!$F$3:$S$228,60,0)</f>
        <v>0</v>
      </c>
    </row>
    <row r="66" spans="2:6" x14ac:dyDescent="0.25">
      <c r="D66">
        <v>1091</v>
      </c>
      <c r="E66" t="s">
        <v>354</v>
      </c>
      <c r="F66" s="4">
        <f>HLOOKUP($E$4,'8.9 Bourgeoisie bilan'!$F$3:$S$228,61,0)</f>
        <v>0</v>
      </c>
    </row>
    <row r="67" spans="2:6" x14ac:dyDescent="0.25">
      <c r="D67">
        <v>1092</v>
      </c>
      <c r="E67" t="s">
        <v>355</v>
      </c>
      <c r="F67" s="4">
        <f>HLOOKUP($E$4,'8.9 Bourgeoisie bilan'!$F$3:$S$228,62,0)</f>
        <v>0</v>
      </c>
    </row>
    <row r="68" spans="2:6" x14ac:dyDescent="0.25">
      <c r="D68">
        <v>1093</v>
      </c>
      <c r="E68" t="s">
        <v>356</v>
      </c>
      <c r="F68" s="4">
        <f>HLOOKUP($E$4,'8.9 Bourgeoisie bilan'!$F$3:$S$228,63,0)</f>
        <v>0</v>
      </c>
    </row>
    <row r="69" spans="2:6" x14ac:dyDescent="0.25">
      <c r="F69" s="4"/>
    </row>
    <row r="70" spans="2:6" x14ac:dyDescent="0.25">
      <c r="B70" s="76">
        <v>14</v>
      </c>
      <c r="C70" s="76"/>
      <c r="D70" s="76"/>
      <c r="E70" s="76" t="s">
        <v>247</v>
      </c>
      <c r="F70" s="77">
        <f>HLOOKUP($E$4,'8.9 Bourgeoisie bilan'!$F$3:$S$228,65,0)</f>
        <v>20713</v>
      </c>
    </row>
    <row r="71" spans="2:6" x14ac:dyDescent="0.25">
      <c r="C71" s="69">
        <v>140</v>
      </c>
      <c r="D71" s="69"/>
      <c r="E71" s="69" t="s">
        <v>249</v>
      </c>
      <c r="F71" s="70">
        <f>HLOOKUP($E$4,'8.9 Bourgeoisie bilan'!$F$3:$S$228,66,0)</f>
        <v>20713</v>
      </c>
    </row>
    <row r="72" spans="2:6" x14ac:dyDescent="0.25">
      <c r="D72">
        <v>1400</v>
      </c>
      <c r="E72" t="s">
        <v>357</v>
      </c>
      <c r="F72" s="4">
        <f>HLOOKUP($E$4,'8.9 Bourgeoisie bilan'!$F$3:$S$228,67,0)</f>
        <v>0</v>
      </c>
    </row>
    <row r="73" spans="2:6" x14ac:dyDescent="0.25">
      <c r="D73">
        <v>1401</v>
      </c>
      <c r="E73" t="s">
        <v>358</v>
      </c>
      <c r="F73" s="4">
        <f>HLOOKUP($E$4,'8.9 Bourgeoisie bilan'!$F$3:$S$228,68,0)</f>
        <v>0</v>
      </c>
    </row>
    <row r="74" spans="2:6" x14ac:dyDescent="0.25">
      <c r="D74">
        <v>1402</v>
      </c>
      <c r="E74" t="s">
        <v>359</v>
      </c>
      <c r="F74" s="4">
        <f>HLOOKUP($E$4,'8.9 Bourgeoisie bilan'!$F$3:$S$228,69,0)</f>
        <v>1</v>
      </c>
    </row>
    <row r="75" spans="2:6" x14ac:dyDescent="0.25">
      <c r="D75">
        <v>1403</v>
      </c>
      <c r="E75" t="s">
        <v>360</v>
      </c>
      <c r="F75" s="4">
        <f>HLOOKUP($E$4,'8.9 Bourgeoisie bilan'!$F$3:$S$228,70,0)</f>
        <v>0</v>
      </c>
    </row>
    <row r="76" spans="2:6" x14ac:dyDescent="0.25">
      <c r="D76">
        <v>1404</v>
      </c>
      <c r="E76" t="s">
        <v>361</v>
      </c>
      <c r="F76" s="4">
        <f>HLOOKUP($E$4,'8.9 Bourgeoisie bilan'!$F$3:$S$228,71,0)</f>
        <v>2601</v>
      </c>
    </row>
    <row r="77" spans="2:6" x14ac:dyDescent="0.25">
      <c r="D77">
        <v>1405</v>
      </c>
      <c r="E77" t="s">
        <v>362</v>
      </c>
      <c r="F77" s="4">
        <f>HLOOKUP($E$4,'8.9 Bourgeoisie bilan'!$F$3:$S$228,72,0)</f>
        <v>18110</v>
      </c>
    </row>
    <row r="78" spans="2:6" x14ac:dyDescent="0.25">
      <c r="D78">
        <v>1406</v>
      </c>
      <c r="E78" t="s">
        <v>363</v>
      </c>
      <c r="F78" s="4">
        <f>HLOOKUP($E$4,'8.9 Bourgeoisie bilan'!$F$3:$S$228,73,0)</f>
        <v>1</v>
      </c>
    </row>
    <row r="79" spans="2:6" x14ac:dyDescent="0.25">
      <c r="D79">
        <v>1407</v>
      </c>
      <c r="E79" t="s">
        <v>364</v>
      </c>
      <c r="F79" s="4">
        <f>HLOOKUP($E$4,'8.9 Bourgeoisie bilan'!$F$3:$S$228,74,0)</f>
        <v>0</v>
      </c>
    </row>
    <row r="80" spans="2:6" x14ac:dyDescent="0.25">
      <c r="D80">
        <v>1409</v>
      </c>
      <c r="E80" t="s">
        <v>365</v>
      </c>
      <c r="F80" s="4">
        <f>HLOOKUP($E$4,'8.9 Bourgeoisie bilan'!$F$3:$S$228,75,0)</f>
        <v>0</v>
      </c>
    </row>
    <row r="81" spans="3:6" x14ac:dyDescent="0.25">
      <c r="F81" s="4"/>
    </row>
    <row r="82" spans="3:6" x14ac:dyDescent="0.25">
      <c r="C82" s="69">
        <v>142</v>
      </c>
      <c r="D82" s="69"/>
      <c r="E82" s="69" t="s">
        <v>581</v>
      </c>
      <c r="F82" s="70">
        <f>HLOOKUP($E$4,'8.9 Bourgeoisie bilan'!$F$3:$S$228,77,0)</f>
        <v>0</v>
      </c>
    </row>
    <row r="83" spans="3:6" x14ac:dyDescent="0.25">
      <c r="D83" s="79">
        <v>1420</v>
      </c>
      <c r="E83" s="79" t="s">
        <v>366</v>
      </c>
      <c r="F83" s="4">
        <f>HLOOKUP($E$4,'8.9 Bourgeoisie bilan'!$F$3:$S$228,78,0)</f>
        <v>0</v>
      </c>
    </row>
    <row r="84" spans="3:6" x14ac:dyDescent="0.25">
      <c r="D84" s="79">
        <v>1421</v>
      </c>
      <c r="E84" s="79" t="s">
        <v>367</v>
      </c>
      <c r="F84" s="4">
        <f>HLOOKUP($E$4,'8.9 Bourgeoisie bilan'!$F$3:$S$228,79,0)</f>
        <v>0</v>
      </c>
    </row>
    <row r="85" spans="3:6" x14ac:dyDescent="0.25">
      <c r="D85" s="79">
        <v>1427</v>
      </c>
      <c r="E85" s="79" t="s">
        <v>580</v>
      </c>
      <c r="F85" s="4">
        <f>HLOOKUP($E$4,'8.9 Bourgeoisie bilan'!$F$3:$S$228,80,0)</f>
        <v>0</v>
      </c>
    </row>
    <row r="86" spans="3:6" x14ac:dyDescent="0.25">
      <c r="D86" s="79">
        <v>1429</v>
      </c>
      <c r="E86" s="79" t="s">
        <v>465</v>
      </c>
      <c r="F86" s="4">
        <f>HLOOKUP($E$4,'8.9 Bourgeoisie bilan'!$F$3:$S$228,81,0)</f>
        <v>0</v>
      </c>
    </row>
    <row r="87" spans="3:6" x14ac:dyDescent="0.25">
      <c r="F87" s="4"/>
    </row>
    <row r="88" spans="3:6" x14ac:dyDescent="0.25">
      <c r="C88" s="69">
        <v>144</v>
      </c>
      <c r="D88" s="69"/>
      <c r="E88" s="69" t="s">
        <v>250</v>
      </c>
      <c r="F88" s="70">
        <f>HLOOKUP($E$4,'8.9 Bourgeoisie bilan'!$F$3:$S$228,83,0)</f>
        <v>0</v>
      </c>
    </row>
    <row r="89" spans="3:6" x14ac:dyDescent="0.25">
      <c r="D89">
        <v>1440</v>
      </c>
      <c r="E89" t="s">
        <v>368</v>
      </c>
      <c r="F89" s="4">
        <f>HLOOKUP($E$4,'8.9 Bourgeoisie bilan'!$F$3:$S$228,83,0)</f>
        <v>0</v>
      </c>
    </row>
    <row r="90" spans="3:6" x14ac:dyDescent="0.25">
      <c r="D90">
        <v>1441</v>
      </c>
      <c r="E90" t="s">
        <v>370</v>
      </c>
      <c r="F90" s="4">
        <f>HLOOKUP($E$4,'8.9 Bourgeoisie bilan'!$F$3:$S$228,85,0)</f>
        <v>0</v>
      </c>
    </row>
    <row r="91" spans="3:6" x14ac:dyDescent="0.25">
      <c r="D91">
        <v>1442</v>
      </c>
      <c r="E91" t="s">
        <v>369</v>
      </c>
      <c r="F91" s="4">
        <f>HLOOKUP($E$4,'8.9 Bourgeoisie bilan'!$F$3:$S$228,86,0)</f>
        <v>0</v>
      </c>
    </row>
    <row r="92" spans="3:6" x14ac:dyDescent="0.25">
      <c r="D92">
        <v>1443</v>
      </c>
      <c r="E92" t="s">
        <v>371</v>
      </c>
      <c r="F92" s="4">
        <f>HLOOKUP($E$4,'8.9 Bourgeoisie bilan'!$F$3:$S$228,87,0)</f>
        <v>0</v>
      </c>
    </row>
    <row r="93" spans="3:6" x14ac:dyDescent="0.25">
      <c r="D93">
        <v>1444</v>
      </c>
      <c r="E93" t="s">
        <v>372</v>
      </c>
      <c r="F93" s="4">
        <f>HLOOKUP($E$4,'8.9 Bourgeoisie bilan'!$F$3:$S$228,88,0)</f>
        <v>0</v>
      </c>
    </row>
    <row r="94" spans="3:6" x14ac:dyDescent="0.25">
      <c r="D94">
        <v>1445</v>
      </c>
      <c r="E94" t="s">
        <v>373</v>
      </c>
      <c r="F94" s="4">
        <f>HLOOKUP($E$4,'8.9 Bourgeoisie bilan'!$F$3:$S$228,89,0)</f>
        <v>0</v>
      </c>
    </row>
    <row r="95" spans="3:6" x14ac:dyDescent="0.25">
      <c r="D95">
        <v>1446</v>
      </c>
      <c r="E95" t="s">
        <v>374</v>
      </c>
      <c r="F95" s="4">
        <f>HLOOKUP($E$4,'8.9 Bourgeoisie bilan'!$F$3:$S$228,90,0)</f>
        <v>0</v>
      </c>
    </row>
    <row r="96" spans="3:6" x14ac:dyDescent="0.25">
      <c r="D96">
        <v>1447</v>
      </c>
      <c r="E96" t="s">
        <v>375</v>
      </c>
      <c r="F96" s="4">
        <f>HLOOKUP($E$4,'8.9 Bourgeoisie bilan'!$F$3:$S$228,91,0)</f>
        <v>0</v>
      </c>
    </row>
    <row r="97" spans="3:6" x14ac:dyDescent="0.25">
      <c r="D97">
        <v>1448</v>
      </c>
      <c r="E97" t="s">
        <v>376</v>
      </c>
      <c r="F97" s="4">
        <f>HLOOKUP($E$4,'8.9 Bourgeoisie bilan'!$F$3:$S$228,92,0)</f>
        <v>0</v>
      </c>
    </row>
    <row r="98" spans="3:6" x14ac:dyDescent="0.25">
      <c r="F98" s="4"/>
    </row>
    <row r="99" spans="3:6" x14ac:dyDescent="0.25">
      <c r="C99" s="69">
        <v>145</v>
      </c>
      <c r="D99" s="69"/>
      <c r="E99" s="69" t="s">
        <v>379</v>
      </c>
      <c r="F99" s="70">
        <f>HLOOKUP($E$4,'8.9 Bourgeoisie bilan'!$F$3:$S$228,94,0)</f>
        <v>0</v>
      </c>
    </row>
    <row r="100" spans="3:6" x14ac:dyDescent="0.25">
      <c r="D100">
        <v>1450</v>
      </c>
      <c r="E100" t="s">
        <v>378</v>
      </c>
      <c r="F100" s="4">
        <f>HLOOKUP($E$4,'8.9 Bourgeoisie bilan'!$F$3:$S$228,95,0)</f>
        <v>0</v>
      </c>
    </row>
    <row r="101" spans="3:6" x14ac:dyDescent="0.25">
      <c r="D101">
        <v>1451</v>
      </c>
      <c r="E101" t="s">
        <v>377</v>
      </c>
      <c r="F101" s="4">
        <f>HLOOKUP($E$4,'8.9 Bourgeoisie bilan'!$F$3:$S$228,96,0)</f>
        <v>0</v>
      </c>
    </row>
    <row r="102" spans="3:6" x14ac:dyDescent="0.25">
      <c r="D102">
        <v>1452</v>
      </c>
      <c r="E102" t="s">
        <v>380</v>
      </c>
      <c r="F102" s="4">
        <f>HLOOKUP($E$4,'8.9 Bourgeoisie bilan'!$F$3:$S$228,97,0)</f>
        <v>0</v>
      </c>
    </row>
    <row r="103" spans="3:6" x14ac:dyDescent="0.25">
      <c r="D103">
        <v>1453</v>
      </c>
      <c r="E103" t="s">
        <v>381</v>
      </c>
      <c r="F103" s="4">
        <f>HLOOKUP($E$4,'8.9 Bourgeoisie bilan'!$F$3:$S$228,98,0)</f>
        <v>0</v>
      </c>
    </row>
    <row r="104" spans="3:6" x14ac:dyDescent="0.25">
      <c r="D104">
        <v>1454</v>
      </c>
      <c r="E104" t="s">
        <v>382</v>
      </c>
      <c r="F104" s="4">
        <f>HLOOKUP($E$4,'8.9 Bourgeoisie bilan'!$F$3:$S$228,99,0)</f>
        <v>0</v>
      </c>
    </row>
    <row r="105" spans="3:6" x14ac:dyDescent="0.25">
      <c r="D105">
        <v>1455</v>
      </c>
      <c r="E105" t="s">
        <v>383</v>
      </c>
      <c r="F105" s="4">
        <f>HLOOKUP($E$4,'8.9 Bourgeoisie bilan'!$F$3:$S$228,100,0)</f>
        <v>0</v>
      </c>
    </row>
    <row r="106" spans="3:6" x14ac:dyDescent="0.25">
      <c r="D106">
        <v>1456</v>
      </c>
      <c r="E106" t="s">
        <v>384</v>
      </c>
      <c r="F106" s="4">
        <f>HLOOKUP($E$4,'8.9 Bourgeoisie bilan'!$F$3:$S$228,101,0)</f>
        <v>0</v>
      </c>
    </row>
    <row r="107" spans="3:6" x14ac:dyDescent="0.25">
      <c r="D107">
        <v>1457</v>
      </c>
      <c r="E107" t="s">
        <v>385</v>
      </c>
      <c r="F107" s="4">
        <f>HLOOKUP($E$4,'8.9 Bourgeoisie bilan'!$F$3:$S$228,102,0)</f>
        <v>0</v>
      </c>
    </row>
    <row r="108" spans="3:6" x14ac:dyDescent="0.25">
      <c r="D108">
        <v>1458</v>
      </c>
      <c r="E108" t="s">
        <v>386</v>
      </c>
      <c r="F108" s="4">
        <f>HLOOKUP($E$4,'8.9 Bourgeoisie bilan'!$F$3:$S$228,103,0)</f>
        <v>0</v>
      </c>
    </row>
    <row r="109" spans="3:6" x14ac:dyDescent="0.25">
      <c r="F109" s="4"/>
    </row>
    <row r="110" spans="3:6" x14ac:dyDescent="0.25">
      <c r="C110" s="69">
        <v>146</v>
      </c>
      <c r="D110" s="69"/>
      <c r="E110" s="69" t="s">
        <v>397</v>
      </c>
      <c r="F110" s="70">
        <f>HLOOKUP($E$4,'8.9 Bourgeoisie bilan'!$F$3:$S$228,105,0)</f>
        <v>0</v>
      </c>
    </row>
    <row r="111" spans="3:6" x14ac:dyDescent="0.25">
      <c r="D111">
        <v>1460</v>
      </c>
      <c r="E111" t="s">
        <v>394</v>
      </c>
      <c r="F111" s="4">
        <f>HLOOKUP($E$4,'8.9 Bourgeoisie bilan'!$F$3:$S$228,106,0)</f>
        <v>0</v>
      </c>
    </row>
    <row r="112" spans="3:6" x14ac:dyDescent="0.25">
      <c r="D112">
        <v>1461</v>
      </c>
      <c r="E112" t="s">
        <v>395</v>
      </c>
      <c r="F112" s="4">
        <f>HLOOKUP($E$4,'8.9 Bourgeoisie bilan'!$F$3:$S$228,107,0)</f>
        <v>0</v>
      </c>
    </row>
    <row r="113" spans="1:6" x14ac:dyDescent="0.25">
      <c r="D113">
        <v>1462</v>
      </c>
      <c r="E113" t="s">
        <v>387</v>
      </c>
      <c r="F113" s="4">
        <f>HLOOKUP($E$4,'8.9 Bourgeoisie bilan'!$F$3:$S$228,108,0)</f>
        <v>0</v>
      </c>
    </row>
    <row r="114" spans="1:6" x14ac:dyDescent="0.25">
      <c r="D114">
        <v>1463</v>
      </c>
      <c r="E114" t="s">
        <v>388</v>
      </c>
      <c r="F114" s="4">
        <f>HLOOKUP($E$4,'8.9 Bourgeoisie bilan'!$F$3:$S$228,109,0)</f>
        <v>0</v>
      </c>
    </row>
    <row r="115" spans="1:6" x14ac:dyDescent="0.25">
      <c r="D115">
        <v>1464</v>
      </c>
      <c r="E115" t="s">
        <v>389</v>
      </c>
      <c r="F115" s="4">
        <f>HLOOKUP($E$4,'8.9 Bourgeoisie bilan'!$F$3:$S$228,110,0)</f>
        <v>0</v>
      </c>
    </row>
    <row r="116" spans="1:6" x14ac:dyDescent="0.25">
      <c r="D116">
        <v>1465</v>
      </c>
      <c r="E116" t="s">
        <v>390</v>
      </c>
      <c r="F116" s="4">
        <f>HLOOKUP($E$4,'8.9 Bourgeoisie bilan'!$F$3:$S$228,111,0)</f>
        <v>0</v>
      </c>
    </row>
    <row r="117" spans="1:6" x14ac:dyDescent="0.25">
      <c r="D117">
        <v>1466</v>
      </c>
      <c r="E117" t="s">
        <v>396</v>
      </c>
      <c r="F117" s="4">
        <f>HLOOKUP($E$4,'8.9 Bourgeoisie bilan'!$F$3:$S$228,112,0)</f>
        <v>0</v>
      </c>
    </row>
    <row r="118" spans="1:6" x14ac:dyDescent="0.25">
      <c r="D118">
        <v>1467</v>
      </c>
      <c r="E118" t="s">
        <v>391</v>
      </c>
      <c r="F118" s="4">
        <f>HLOOKUP($E$4,'8.9 Bourgeoisie bilan'!$F$3:$S$228,113,0)</f>
        <v>0</v>
      </c>
    </row>
    <row r="119" spans="1:6" x14ac:dyDescent="0.25">
      <c r="D119">
        <v>1468</v>
      </c>
      <c r="E119" t="s">
        <v>392</v>
      </c>
      <c r="F119" s="4">
        <f>HLOOKUP($E$4,'8.9 Bourgeoisie bilan'!$F$3:$S$228,114,0)</f>
        <v>0</v>
      </c>
    </row>
    <row r="120" spans="1:6" x14ac:dyDescent="0.25">
      <c r="D120">
        <v>1469</v>
      </c>
      <c r="E120" t="s">
        <v>393</v>
      </c>
      <c r="F120" s="4">
        <f>HLOOKUP($E$4,'8.9 Bourgeoisie bilan'!$F$3:$S$228,115,0)</f>
        <v>0</v>
      </c>
    </row>
    <row r="121" spans="1:6" x14ac:dyDescent="0.25">
      <c r="F121" s="4"/>
    </row>
    <row r="122" spans="1:6" x14ac:dyDescent="0.25">
      <c r="F122" s="4"/>
    </row>
    <row r="123" spans="1:6" ht="21" x14ac:dyDescent="0.35">
      <c r="A123" s="81">
        <v>2</v>
      </c>
      <c r="B123" s="81"/>
      <c r="C123" s="81"/>
      <c r="D123" s="81"/>
      <c r="E123" s="81" t="s">
        <v>251</v>
      </c>
      <c r="F123" s="177">
        <f>HLOOKUP($E$4,'8.9 Bourgeoisie bilan'!$F$3:$S$228,118,0)</f>
        <v>112951.42</v>
      </c>
    </row>
    <row r="124" spans="1:6" x14ac:dyDescent="0.25">
      <c r="A124" s="7"/>
      <c r="B124" s="85">
        <v>20</v>
      </c>
      <c r="C124" s="85"/>
      <c r="D124" s="85"/>
      <c r="E124" s="85" t="s">
        <v>252</v>
      </c>
      <c r="F124" s="86">
        <f>HLOOKUP($E$4,'8.9 Bourgeoisie bilan'!$F$3:$S$228,119,0)</f>
        <v>15400</v>
      </c>
    </row>
    <row r="125" spans="1:6" x14ac:dyDescent="0.25">
      <c r="C125" s="83">
        <v>200</v>
      </c>
      <c r="D125" s="83"/>
      <c r="E125" s="83" t="s">
        <v>253</v>
      </c>
      <c r="F125" s="84">
        <f>HLOOKUP($E$4,'8.9 Bourgeoisie bilan'!$F$3:$S$228,120,0)</f>
        <v>0</v>
      </c>
    </row>
    <row r="126" spans="1:6" x14ac:dyDescent="0.25">
      <c r="D126">
        <v>2000</v>
      </c>
      <c r="E126" t="s">
        <v>398</v>
      </c>
      <c r="F126" s="4">
        <f>HLOOKUP($E$4,'8.9 Bourgeoisie bilan'!$F$3:$S$228,121,0)</f>
        <v>0</v>
      </c>
    </row>
    <row r="127" spans="1:6" x14ac:dyDescent="0.25">
      <c r="D127">
        <v>2001</v>
      </c>
      <c r="E127" t="s">
        <v>399</v>
      </c>
      <c r="F127" s="4">
        <f>HLOOKUP($E$4,'8.9 Bourgeoisie bilan'!$F$3:$S$228,122,0)</f>
        <v>0</v>
      </c>
    </row>
    <row r="128" spans="1:6" x14ac:dyDescent="0.25">
      <c r="D128">
        <v>2002</v>
      </c>
      <c r="E128" t="s">
        <v>400</v>
      </c>
      <c r="F128" s="4">
        <f>HLOOKUP($E$4,'8.9 Bourgeoisie bilan'!$F$3:$S$228,123,0)</f>
        <v>0</v>
      </c>
    </row>
    <row r="129" spans="3:6" x14ac:dyDescent="0.25">
      <c r="D129">
        <v>2003</v>
      </c>
      <c r="E129" t="s">
        <v>401</v>
      </c>
      <c r="F129" s="4">
        <f>HLOOKUP($E$4,'8.9 Bourgeoisie bilan'!$F$3:$S$228,124,0)</f>
        <v>0</v>
      </c>
    </row>
    <row r="130" spans="3:6" x14ac:dyDescent="0.25">
      <c r="D130">
        <v>2004</v>
      </c>
      <c r="E130" t="s">
        <v>402</v>
      </c>
      <c r="F130" s="4">
        <f>HLOOKUP($E$4,'8.9 Bourgeoisie bilan'!$F$3:$S$228,125,0)</f>
        <v>0</v>
      </c>
    </row>
    <row r="131" spans="3:6" x14ac:dyDescent="0.25">
      <c r="D131">
        <v>2005</v>
      </c>
      <c r="E131" t="s">
        <v>323</v>
      </c>
      <c r="F131" s="4">
        <f>HLOOKUP($E$4,'8.9 Bourgeoisie bilan'!$F$3:$S$228,126,0)</f>
        <v>0</v>
      </c>
    </row>
    <row r="132" spans="3:6" x14ac:dyDescent="0.25">
      <c r="D132">
        <v>2006</v>
      </c>
      <c r="E132" t="s">
        <v>447</v>
      </c>
      <c r="F132" s="4">
        <f>HLOOKUP($E$4,'8.9 Bourgeoisie bilan'!$F$3:$S$228,127,0)</f>
        <v>0</v>
      </c>
    </row>
    <row r="133" spans="3:6" x14ac:dyDescent="0.25">
      <c r="D133">
        <v>2009</v>
      </c>
      <c r="E133" t="s">
        <v>404</v>
      </c>
      <c r="F133" s="4">
        <f>HLOOKUP($E$4,'8.9 Bourgeoisie bilan'!$F$3:$S$228,128,0)</f>
        <v>0</v>
      </c>
    </row>
    <row r="134" spans="3:6" x14ac:dyDescent="0.25">
      <c r="F134" s="4"/>
    </row>
    <row r="135" spans="3:6" x14ac:dyDescent="0.25">
      <c r="C135" s="83">
        <v>201</v>
      </c>
      <c r="D135" s="83"/>
      <c r="E135" s="83" t="s">
        <v>254</v>
      </c>
      <c r="F135" s="84">
        <f>HLOOKUP($E$4,'8.9 Bourgeoisie bilan'!$F$3:$S$228,130,0)</f>
        <v>0</v>
      </c>
    </row>
    <row r="136" spans="3:6" x14ac:dyDescent="0.25">
      <c r="D136">
        <v>2010</v>
      </c>
      <c r="E136" t="s">
        <v>405</v>
      </c>
      <c r="F136" s="4">
        <f>HLOOKUP($E$4,'8.9 Bourgeoisie bilan'!$F$3:$S$228,131,0)</f>
        <v>0</v>
      </c>
    </row>
    <row r="137" spans="3:6" x14ac:dyDescent="0.25">
      <c r="D137">
        <v>2011</v>
      </c>
      <c r="E137" t="s">
        <v>406</v>
      </c>
      <c r="F137" s="4">
        <f>HLOOKUP($E$4,'8.9 Bourgeoisie bilan'!$F$3:$S$228,132,0)</f>
        <v>0</v>
      </c>
    </row>
    <row r="138" spans="3:6" x14ac:dyDescent="0.25">
      <c r="D138">
        <v>2012</v>
      </c>
      <c r="E138" t="s">
        <v>407</v>
      </c>
      <c r="F138" s="4">
        <f>HLOOKUP($E$4,'8.9 Bourgeoisie bilan'!$F$3:$S$228,133,0)</f>
        <v>0</v>
      </c>
    </row>
    <row r="139" spans="3:6" x14ac:dyDescent="0.25">
      <c r="D139">
        <v>2013</v>
      </c>
      <c r="E139" t="s">
        <v>408</v>
      </c>
      <c r="F139" s="4">
        <f>HLOOKUP($E$4,'8.9 Bourgeoisie bilan'!$F$3:$S$228,134,0)</f>
        <v>0</v>
      </c>
    </row>
    <row r="140" spans="3:6" x14ac:dyDescent="0.25">
      <c r="D140">
        <v>2014</v>
      </c>
      <c r="E140" t="s">
        <v>410</v>
      </c>
      <c r="F140" s="4">
        <f>HLOOKUP($E$4,'8.9 Bourgeoisie bilan'!$F$3:$S$228,135,0)</f>
        <v>0</v>
      </c>
    </row>
    <row r="141" spans="3:6" x14ac:dyDescent="0.25">
      <c r="D141">
        <v>2015</v>
      </c>
      <c r="E141" t="s">
        <v>409</v>
      </c>
      <c r="F141" s="4">
        <f>HLOOKUP($E$4,'8.9 Bourgeoisie bilan'!$F$3:$S$228,136,0)</f>
        <v>0</v>
      </c>
    </row>
    <row r="142" spans="3:6" x14ac:dyDescent="0.25">
      <c r="D142">
        <v>2016</v>
      </c>
      <c r="E142" t="s">
        <v>269</v>
      </c>
      <c r="F142" s="4">
        <f>HLOOKUP($E$4,'8.9 Bourgeoisie bilan'!$F$3:$S$228,137,0)</f>
        <v>0</v>
      </c>
    </row>
    <row r="143" spans="3:6" x14ac:dyDescent="0.25">
      <c r="D143">
        <v>2019</v>
      </c>
      <c r="E143" t="s">
        <v>411</v>
      </c>
      <c r="F143" s="4">
        <f>HLOOKUP($E$4,'8.9 Bourgeoisie bilan'!$F$3:$S$228,138,0)</f>
        <v>0</v>
      </c>
    </row>
    <row r="144" spans="3:6" x14ac:dyDescent="0.25">
      <c r="F144" s="4"/>
    </row>
    <row r="145" spans="3:6" x14ac:dyDescent="0.25">
      <c r="C145" s="83">
        <v>204</v>
      </c>
      <c r="D145" s="83"/>
      <c r="E145" s="83" t="s">
        <v>255</v>
      </c>
      <c r="F145" s="84">
        <f>HLOOKUP($E$4,'8.9 Bourgeoisie bilan'!$F$3:$S$228,140,0)</f>
        <v>0</v>
      </c>
    </row>
    <row r="146" spans="3:6" x14ac:dyDescent="0.25">
      <c r="D146">
        <v>2040</v>
      </c>
      <c r="E146" t="s">
        <v>61</v>
      </c>
      <c r="F146" s="4">
        <f>HLOOKUP($E$4,'8.9 Bourgeoisie bilan'!$F$3:$S$228,141,0)</f>
        <v>0</v>
      </c>
    </row>
    <row r="147" spans="3:6" x14ac:dyDescent="0.25">
      <c r="D147">
        <v>2041</v>
      </c>
      <c r="E147" t="s">
        <v>277</v>
      </c>
      <c r="F147" s="4">
        <f>HLOOKUP($E$4,'8.9 Bourgeoisie bilan'!$F$3:$S$228,142,0)</f>
        <v>0</v>
      </c>
    </row>
    <row r="148" spans="3:6" x14ac:dyDescent="0.25">
      <c r="D148">
        <v>2042</v>
      </c>
      <c r="E148" t="s">
        <v>331</v>
      </c>
      <c r="F148" s="4">
        <f>HLOOKUP($E$4,'8.9 Bourgeoisie bilan'!$F$3:$S$228,143,0)</f>
        <v>0</v>
      </c>
    </row>
    <row r="149" spans="3:6" x14ac:dyDescent="0.25">
      <c r="D149">
        <v>2043</v>
      </c>
      <c r="E149" t="s">
        <v>332</v>
      </c>
      <c r="F149" s="4">
        <f>HLOOKUP($E$4,'8.9 Bourgeoisie bilan'!$F$3:$S$228,144,0)</f>
        <v>0</v>
      </c>
    </row>
    <row r="150" spans="3:6" x14ac:dyDescent="0.25">
      <c r="D150">
        <v>2044</v>
      </c>
      <c r="E150" t="s">
        <v>412</v>
      </c>
      <c r="F150" s="4">
        <f>HLOOKUP($E$4,'8.9 Bourgeoisie bilan'!$F$3:$S$228,145,0)</f>
        <v>0</v>
      </c>
    </row>
    <row r="151" spans="3:6" x14ac:dyDescent="0.25">
      <c r="D151">
        <v>2045</v>
      </c>
      <c r="E151" t="s">
        <v>334</v>
      </c>
      <c r="F151" s="4">
        <f>HLOOKUP($E$4,'8.9 Bourgeoisie bilan'!$F$3:$S$228,146,0)</f>
        <v>0</v>
      </c>
    </row>
    <row r="152" spans="3:6" x14ac:dyDescent="0.25">
      <c r="D152">
        <v>2046</v>
      </c>
      <c r="E152" t="s">
        <v>413</v>
      </c>
      <c r="F152" s="4">
        <f>HLOOKUP($E$4,'8.9 Bourgeoisie bilan'!$F$3:$S$228,147,0)</f>
        <v>0</v>
      </c>
    </row>
    <row r="153" spans="3:6" x14ac:dyDescent="0.25">
      <c r="D153">
        <v>2049</v>
      </c>
      <c r="E153" t="s">
        <v>414</v>
      </c>
      <c r="F153" s="4">
        <f>HLOOKUP($E$4,'8.9 Bourgeoisie bilan'!$F$3:$S$228,148,0)</f>
        <v>0</v>
      </c>
    </row>
    <row r="154" spans="3:6" x14ac:dyDescent="0.25">
      <c r="F154" s="4"/>
    </row>
    <row r="155" spans="3:6" x14ac:dyDescent="0.25">
      <c r="C155" s="83">
        <v>205</v>
      </c>
      <c r="D155" s="83"/>
      <c r="E155" s="83" t="s">
        <v>256</v>
      </c>
      <c r="F155" s="84">
        <f>HLOOKUP($E$4,'8.9 Bourgeoisie bilan'!$F$3:$S$228,150,0)</f>
        <v>0</v>
      </c>
    </row>
    <row r="156" spans="3:6" x14ac:dyDescent="0.25">
      <c r="D156">
        <v>2050</v>
      </c>
      <c r="E156" t="s">
        <v>415</v>
      </c>
      <c r="F156" s="4">
        <f>HLOOKUP($E$4,'8.9 Bourgeoisie bilan'!$F$3:$S$228,151,0)</f>
        <v>0</v>
      </c>
    </row>
    <row r="157" spans="3:6" x14ac:dyDescent="0.25">
      <c r="D157">
        <v>2051</v>
      </c>
      <c r="E157" t="s">
        <v>416</v>
      </c>
      <c r="F157" s="4">
        <f>HLOOKUP($E$4,'8.9 Bourgeoisie bilan'!$F$3:$S$228,152,0)</f>
        <v>0</v>
      </c>
    </row>
    <row r="158" spans="3:6" x14ac:dyDescent="0.25">
      <c r="D158">
        <v>2052</v>
      </c>
      <c r="E158" t="s">
        <v>417</v>
      </c>
      <c r="F158" s="4">
        <f>HLOOKUP($E$4,'8.9 Bourgeoisie bilan'!$F$3:$S$228,153,0)</f>
        <v>0</v>
      </c>
    </row>
    <row r="159" spans="3:6" x14ac:dyDescent="0.25">
      <c r="D159">
        <v>2053</v>
      </c>
      <c r="E159" t="s">
        <v>421</v>
      </c>
      <c r="F159" s="4">
        <f>HLOOKUP($E$4,'8.9 Bourgeoisie bilan'!$F$3:$S$228,154,0)</f>
        <v>0</v>
      </c>
    </row>
    <row r="160" spans="3:6" x14ac:dyDescent="0.25">
      <c r="D160">
        <v>2054</v>
      </c>
      <c r="E160" t="s">
        <v>419</v>
      </c>
      <c r="F160" s="4">
        <f>HLOOKUP($E$4,'8.9 Bourgeoisie bilan'!$F$3:$S$228,155,0)</f>
        <v>0</v>
      </c>
    </row>
    <row r="161" spans="3:6" x14ac:dyDescent="0.25">
      <c r="D161">
        <v>2055</v>
      </c>
      <c r="E161" t="s">
        <v>418</v>
      </c>
      <c r="F161" s="4">
        <f>HLOOKUP($E$4,'8.9 Bourgeoisie bilan'!$F$3:$S$228,156,0)</f>
        <v>0</v>
      </c>
    </row>
    <row r="162" spans="3:6" x14ac:dyDescent="0.25">
      <c r="D162">
        <v>2056</v>
      </c>
      <c r="E162" t="s">
        <v>420</v>
      </c>
      <c r="F162" s="4">
        <f>HLOOKUP($E$4,'8.9 Bourgeoisie bilan'!$F$3:$S$228,157,0)</f>
        <v>0</v>
      </c>
    </row>
    <row r="163" spans="3:6" x14ac:dyDescent="0.25">
      <c r="D163">
        <v>2057</v>
      </c>
      <c r="E163" t="s">
        <v>422</v>
      </c>
      <c r="F163" s="4">
        <f>HLOOKUP($E$4,'8.9 Bourgeoisie bilan'!$F$3:$S$228,158,0)</f>
        <v>0</v>
      </c>
    </row>
    <row r="164" spans="3:6" x14ac:dyDescent="0.25">
      <c r="D164">
        <v>2058</v>
      </c>
      <c r="E164" t="s">
        <v>423</v>
      </c>
      <c r="F164" s="4">
        <f>HLOOKUP($E$4,'8.9 Bourgeoisie bilan'!$F$3:$S$228,159,0)</f>
        <v>0</v>
      </c>
    </row>
    <row r="165" spans="3:6" x14ac:dyDescent="0.25">
      <c r="D165">
        <v>2059</v>
      </c>
      <c r="E165" t="s">
        <v>424</v>
      </c>
      <c r="F165" s="4">
        <f>HLOOKUP($E$4,'8.9 Bourgeoisie bilan'!$F$3:$S$228,160,0)</f>
        <v>0</v>
      </c>
    </row>
    <row r="166" spans="3:6" x14ac:dyDescent="0.25">
      <c r="F166" s="4"/>
    </row>
    <row r="167" spans="3:6" x14ac:dyDescent="0.25">
      <c r="C167" s="83">
        <v>206</v>
      </c>
      <c r="D167" s="83"/>
      <c r="E167" s="83" t="s">
        <v>257</v>
      </c>
      <c r="F167" s="84">
        <f>HLOOKUP($E$4,'8.9 Bourgeoisie bilan'!$F$3:$S$228,162,0)</f>
        <v>15400</v>
      </c>
    </row>
    <row r="168" spans="3:6" x14ac:dyDescent="0.25">
      <c r="D168">
        <v>2060</v>
      </c>
      <c r="E168" t="s">
        <v>425</v>
      </c>
      <c r="F168" s="4">
        <f>HLOOKUP($E$4,'8.9 Bourgeoisie bilan'!$F$3:$S$228,163,0)</f>
        <v>0</v>
      </c>
    </row>
    <row r="169" spans="3:6" x14ac:dyDescent="0.25">
      <c r="D169">
        <v>2062</v>
      </c>
      <c r="E169" t="s">
        <v>426</v>
      </c>
      <c r="F169" s="4">
        <f>HLOOKUP($E$4,'8.9 Bourgeoisie bilan'!$F$3:$S$228,164,0)</f>
        <v>0</v>
      </c>
    </row>
    <row r="170" spans="3:6" x14ac:dyDescent="0.25">
      <c r="D170">
        <v>2063</v>
      </c>
      <c r="E170" t="s">
        <v>427</v>
      </c>
      <c r="F170" s="4">
        <f>HLOOKUP($E$4,'8.9 Bourgeoisie bilan'!$F$3:$S$228,165,0)</f>
        <v>0</v>
      </c>
    </row>
    <row r="171" spans="3:6" x14ac:dyDescent="0.25">
      <c r="D171">
        <v>2064</v>
      </c>
      <c r="E171" t="s">
        <v>448</v>
      </c>
      <c r="F171" s="4">
        <f>HLOOKUP($E$4,'8.9 Bourgeoisie bilan'!$F$3:$S$228,166,0)</f>
        <v>15400</v>
      </c>
    </row>
    <row r="172" spans="3:6" x14ac:dyDescent="0.25">
      <c r="D172">
        <v>2067</v>
      </c>
      <c r="E172" t="s">
        <v>429</v>
      </c>
      <c r="F172" s="4">
        <f>HLOOKUP($E$4,'8.9 Bourgeoisie bilan'!$F$3:$S$228,167,0)</f>
        <v>0</v>
      </c>
    </row>
    <row r="173" spans="3:6" x14ac:dyDescent="0.25">
      <c r="D173">
        <v>2069</v>
      </c>
      <c r="E173" t="s">
        <v>430</v>
      </c>
      <c r="F173" s="4">
        <f>HLOOKUP($E$4,'8.9 Bourgeoisie bilan'!$F$3:$S$228,168,0)</f>
        <v>0</v>
      </c>
    </row>
    <row r="174" spans="3:6" x14ac:dyDescent="0.25">
      <c r="F174" s="4"/>
    </row>
    <row r="175" spans="3:6" x14ac:dyDescent="0.25">
      <c r="C175" s="83">
        <v>208</v>
      </c>
      <c r="D175" s="83"/>
      <c r="E175" s="83" t="s">
        <v>258</v>
      </c>
      <c r="F175" s="84">
        <f>HLOOKUP($E$4,'8.9 Bourgeoisie bilan'!$F$3:$S$228,170,0)</f>
        <v>0</v>
      </c>
    </row>
    <row r="176" spans="3:6" x14ac:dyDescent="0.25">
      <c r="D176">
        <v>2081</v>
      </c>
      <c r="E176" t="s">
        <v>431</v>
      </c>
      <c r="F176" s="4">
        <f>HLOOKUP($E$4,'8.9 Bourgeoisie bilan'!$F$3:$S$228,171,0)</f>
        <v>0</v>
      </c>
    </row>
    <row r="177" spans="2:6" x14ac:dyDescent="0.25">
      <c r="D177">
        <v>2082</v>
      </c>
      <c r="E177" t="s">
        <v>432</v>
      </c>
      <c r="F177" s="4">
        <f>HLOOKUP($E$4,'8.9 Bourgeoisie bilan'!$F$3:$S$228,172,0)</f>
        <v>0</v>
      </c>
    </row>
    <row r="178" spans="2:6" x14ac:dyDescent="0.25">
      <c r="D178">
        <v>2083</v>
      </c>
      <c r="E178" t="s">
        <v>433</v>
      </c>
      <c r="F178" s="4">
        <f>HLOOKUP($E$4,'8.9 Bourgeoisie bilan'!$F$3:$S$228,173,0)</f>
        <v>0</v>
      </c>
    </row>
    <row r="179" spans="2:6" x14ac:dyDescent="0.25">
      <c r="D179">
        <v>2084</v>
      </c>
      <c r="E179" t="s">
        <v>434</v>
      </c>
      <c r="F179" s="4">
        <f>HLOOKUP($E$4,'8.9 Bourgeoisie bilan'!$F$3:$S$228,174,0)</f>
        <v>0</v>
      </c>
    </row>
    <row r="180" spans="2:6" x14ac:dyDescent="0.25">
      <c r="D180">
        <v>2085</v>
      </c>
      <c r="E180" t="s">
        <v>436</v>
      </c>
      <c r="F180" s="4">
        <f>HLOOKUP($E$4,'8.9 Bourgeoisie bilan'!$F$3:$S$228,175,0)</f>
        <v>0</v>
      </c>
    </row>
    <row r="181" spans="2:6" x14ac:dyDescent="0.25">
      <c r="D181">
        <v>2086</v>
      </c>
      <c r="E181" t="s">
        <v>435</v>
      </c>
      <c r="F181" s="4">
        <f>HLOOKUP($E$4,'8.9 Bourgeoisie bilan'!$F$3:$S$228,176,0)</f>
        <v>0</v>
      </c>
    </row>
    <row r="182" spans="2:6" x14ac:dyDescent="0.25">
      <c r="D182">
        <v>2087</v>
      </c>
      <c r="E182" t="s">
        <v>437</v>
      </c>
      <c r="F182" s="4">
        <f>HLOOKUP($E$4,'8.9 Bourgeoisie bilan'!$F$3:$S$228,177,0)</f>
        <v>0</v>
      </c>
    </row>
    <row r="183" spans="2:6" x14ac:dyDescent="0.25">
      <c r="D183">
        <v>2088</v>
      </c>
      <c r="E183" t="s">
        <v>438</v>
      </c>
      <c r="F183" s="4">
        <f>HLOOKUP($E$4,'8.9 Bourgeoisie bilan'!$F$3:$S$228,178,0)</f>
        <v>0</v>
      </c>
    </row>
    <row r="184" spans="2:6" x14ac:dyDescent="0.25">
      <c r="D184">
        <v>2089</v>
      </c>
      <c r="E184" t="s">
        <v>439</v>
      </c>
      <c r="F184" s="4">
        <f>HLOOKUP($E$4,'8.9 Bourgeoisie bilan'!$F$3:$S$228,179,0)</f>
        <v>0</v>
      </c>
    </row>
    <row r="185" spans="2:6" x14ac:dyDescent="0.25">
      <c r="F185" s="4"/>
    </row>
    <row r="186" spans="2:6" x14ac:dyDescent="0.25">
      <c r="C186" s="83">
        <v>209</v>
      </c>
      <c r="D186" s="83"/>
      <c r="E186" s="83" t="s">
        <v>259</v>
      </c>
      <c r="F186" s="84">
        <f>HLOOKUP($E$4,'8.9 Bourgeoisie bilan'!$F$3:$S$228,181,0)</f>
        <v>0</v>
      </c>
    </row>
    <row r="187" spans="2:6" x14ac:dyDescent="0.25">
      <c r="D187">
        <v>2090</v>
      </c>
      <c r="E187" t="s">
        <v>259</v>
      </c>
      <c r="F187" s="4">
        <f>HLOOKUP($E$4,'8.9 Bourgeoisie bilan'!$F$3:$S$228,182,0)</f>
        <v>0</v>
      </c>
    </row>
    <row r="188" spans="2:6" x14ac:dyDescent="0.25">
      <c r="D188">
        <v>2091</v>
      </c>
      <c r="E188" t="s">
        <v>440</v>
      </c>
      <c r="F188" s="4">
        <f>HLOOKUP($E$4,'8.9 Bourgeoisie bilan'!$F$3:$S$228,183,0)</f>
        <v>0</v>
      </c>
    </row>
    <row r="189" spans="2:6" x14ac:dyDescent="0.25">
      <c r="D189">
        <v>2092</v>
      </c>
      <c r="E189" t="s">
        <v>441</v>
      </c>
      <c r="F189" s="4">
        <f>HLOOKUP($E$4,'8.9 Bourgeoisie bilan'!$F$3:$S$228,184,0)</f>
        <v>0</v>
      </c>
    </row>
    <row r="190" spans="2:6" x14ac:dyDescent="0.25">
      <c r="D190">
        <v>2093</v>
      </c>
      <c r="E190" t="s">
        <v>442</v>
      </c>
      <c r="F190" s="4">
        <f>HLOOKUP($E$4,'8.9 Bourgeoisie bilan'!$F$3:$S$228,185,0)</f>
        <v>0</v>
      </c>
    </row>
    <row r="191" spans="2:6" x14ac:dyDescent="0.25">
      <c r="F191" s="4"/>
    </row>
    <row r="192" spans="2:6" x14ac:dyDescent="0.25">
      <c r="B192" s="85">
        <v>29</v>
      </c>
      <c r="C192" s="85"/>
      <c r="D192" s="85"/>
      <c r="E192" s="85" t="s">
        <v>260</v>
      </c>
      <c r="F192" s="4">
        <f>HLOOKUP($E$4,'8.9 Bourgeoisie bilan'!$F$3:$S$228,187,0)</f>
        <v>97551.42</v>
      </c>
    </row>
    <row r="193" spans="3:6" x14ac:dyDescent="0.25">
      <c r="C193" s="83">
        <v>290</v>
      </c>
      <c r="D193" s="83"/>
      <c r="E193" s="83" t="s">
        <v>261</v>
      </c>
      <c r="F193" s="84">
        <f>HLOOKUP($E$4,'8.9 Bourgeoisie bilan'!$F$3:$S$228,188,0)</f>
        <v>19947.169999999998</v>
      </c>
    </row>
    <row r="194" spans="3:6" x14ac:dyDescent="0.25">
      <c r="D194">
        <v>2900</v>
      </c>
      <c r="E194" t="s">
        <v>261</v>
      </c>
      <c r="F194" s="4">
        <f>HLOOKUP($E$4,'8.9 Bourgeoisie bilan'!$F$3:$S$228,189,0)</f>
        <v>19947.169999999998</v>
      </c>
    </row>
    <row r="195" spans="3:6" x14ac:dyDescent="0.25">
      <c r="F195" s="4"/>
    </row>
    <row r="196" spans="3:6" x14ac:dyDescent="0.25">
      <c r="C196" s="83">
        <v>291</v>
      </c>
      <c r="D196" s="83"/>
      <c r="E196" s="83" t="s">
        <v>262</v>
      </c>
      <c r="F196" s="84">
        <f>HLOOKUP($E$4,'8.9 Bourgeoisie bilan'!$F$3:$S$228,191,0)</f>
        <v>0</v>
      </c>
    </row>
    <row r="197" spans="3:6" x14ac:dyDescent="0.25">
      <c r="D197">
        <v>2910</v>
      </c>
      <c r="E197" t="s">
        <v>262</v>
      </c>
      <c r="F197" s="4">
        <f>HLOOKUP($E$4,'8.9 Bourgeoisie bilan'!$F$3:$S$228,192,0)</f>
        <v>0</v>
      </c>
    </row>
    <row r="198" spans="3:6" x14ac:dyDescent="0.25">
      <c r="D198">
        <v>2911</v>
      </c>
      <c r="E198" t="s">
        <v>443</v>
      </c>
      <c r="F198" s="4">
        <f>HLOOKUP($E$4,'8.9 Bourgeoisie bilan'!$F$3:$S$228,193,0)</f>
        <v>0</v>
      </c>
    </row>
    <row r="199" spans="3:6" x14ac:dyDescent="0.25">
      <c r="F199" s="4"/>
    </row>
    <row r="200" spans="3:6" x14ac:dyDescent="0.25">
      <c r="C200" s="83">
        <v>292</v>
      </c>
      <c r="D200" s="83"/>
      <c r="E200" s="83" t="s">
        <v>263</v>
      </c>
      <c r="F200" s="84">
        <f>HLOOKUP($E$4,'8.9 Bourgeoisie bilan'!$F$3:$S$228,195,0)</f>
        <v>0</v>
      </c>
    </row>
    <row r="201" spans="3:6" x14ac:dyDescent="0.25">
      <c r="D201">
        <v>2920</v>
      </c>
      <c r="E201" t="s">
        <v>263</v>
      </c>
      <c r="F201" s="4">
        <f>HLOOKUP($E$4,'8.9 Bourgeoisie bilan'!$F$3:$S$228,196,0)</f>
        <v>0</v>
      </c>
    </row>
    <row r="202" spans="3:6" x14ac:dyDescent="0.25">
      <c r="F202" s="4"/>
    </row>
    <row r="203" spans="3:6" x14ac:dyDescent="0.25">
      <c r="C203" s="83">
        <v>293</v>
      </c>
      <c r="D203" s="83"/>
      <c r="E203" s="83" t="s">
        <v>264</v>
      </c>
      <c r="F203" s="84">
        <f>HLOOKUP($E$4,'8.9 Bourgeoisie bilan'!$F$3:$S$228,198,0)</f>
        <v>0</v>
      </c>
    </row>
    <row r="204" spans="3:6" x14ac:dyDescent="0.25">
      <c r="D204">
        <v>2930</v>
      </c>
      <c r="E204" t="s">
        <v>264</v>
      </c>
      <c r="F204" s="4">
        <f>HLOOKUP($E$4,'8.9 Bourgeoisie bilan'!$F$3:$S$228,199,0)</f>
        <v>0</v>
      </c>
    </row>
    <row r="205" spans="3:6" x14ac:dyDescent="0.25">
      <c r="F205" s="4"/>
    </row>
    <row r="206" spans="3:6" x14ac:dyDescent="0.25">
      <c r="C206" s="83">
        <v>294</v>
      </c>
      <c r="D206" s="83"/>
      <c r="E206" s="83" t="s">
        <v>265</v>
      </c>
      <c r="F206" s="84">
        <f>HLOOKUP($E$4,'8.9 Bourgeoisie bilan'!$F$3:$S$228,201,0)</f>
        <v>0</v>
      </c>
    </row>
    <row r="207" spans="3:6" x14ac:dyDescent="0.25">
      <c r="D207">
        <v>2940</v>
      </c>
      <c r="E207" t="s">
        <v>265</v>
      </c>
      <c r="F207" s="4">
        <f>HLOOKUP($E$4,'8.9 Bourgeoisie bilan'!$F$3:$S$228,202,0)</f>
        <v>0</v>
      </c>
    </row>
    <row r="208" spans="3:6" x14ac:dyDescent="0.25">
      <c r="F208" s="4"/>
    </row>
    <row r="209" spans="3:6" x14ac:dyDescent="0.25">
      <c r="C209" s="83">
        <v>295</v>
      </c>
      <c r="D209" s="83"/>
      <c r="E209" s="83" t="s">
        <v>266</v>
      </c>
      <c r="F209" s="84">
        <f>HLOOKUP($E$4,'8.9 Bourgeoisie bilan'!$F$3:$S$228,204,0)</f>
        <v>0</v>
      </c>
    </row>
    <row r="210" spans="3:6" x14ac:dyDescent="0.25">
      <c r="D210">
        <v>2950</v>
      </c>
      <c r="E210" t="s">
        <v>266</v>
      </c>
      <c r="F210" s="4">
        <f>HLOOKUP($E$4,'8.9 Bourgeoisie bilan'!$F$3:$S$228,205,0)</f>
        <v>0</v>
      </c>
    </row>
    <row r="211" spans="3:6" x14ac:dyDescent="0.25">
      <c r="F211" s="4"/>
    </row>
    <row r="212" spans="3:6" x14ac:dyDescent="0.25">
      <c r="C212" s="83">
        <v>296</v>
      </c>
      <c r="D212" s="83"/>
      <c r="E212" s="83" t="s">
        <v>267</v>
      </c>
      <c r="F212" s="84">
        <f>HLOOKUP($E$4,'8.9 Bourgeoisie bilan'!$F$3:$S$228,207,0)</f>
        <v>0</v>
      </c>
    </row>
    <row r="213" spans="3:6" x14ac:dyDescent="0.25">
      <c r="D213">
        <v>2960</v>
      </c>
      <c r="E213" t="s">
        <v>267</v>
      </c>
      <c r="F213" s="4">
        <f>HLOOKUP($E$4,'8.9 Bourgeoisie bilan'!$F$3:$S$228,208,0)</f>
        <v>0</v>
      </c>
    </row>
    <row r="214" spans="3:6" x14ac:dyDescent="0.25">
      <c r="F214" s="4"/>
    </row>
    <row r="215" spans="3:6" x14ac:dyDescent="0.25">
      <c r="C215" s="83">
        <v>298</v>
      </c>
      <c r="D215" s="83"/>
      <c r="E215" s="83" t="s">
        <v>268</v>
      </c>
      <c r="F215" s="84">
        <f>HLOOKUP($E$4,'8.9 Bourgeoisie bilan'!$F$3:$S$228,210,0)</f>
        <v>0</v>
      </c>
    </row>
    <row r="216" spans="3:6" x14ac:dyDescent="0.25">
      <c r="D216">
        <v>2980</v>
      </c>
      <c r="E216" t="s">
        <v>268</v>
      </c>
      <c r="F216" s="4">
        <f>HLOOKUP($E$4,'8.9 Bourgeoisie bilan'!$F$3:$S$228,211,0)</f>
        <v>0</v>
      </c>
    </row>
    <row r="217" spans="3:6" x14ac:dyDescent="0.25">
      <c r="F217" s="4"/>
    </row>
    <row r="218" spans="3:6" x14ac:dyDescent="0.25">
      <c r="C218" s="83">
        <v>299</v>
      </c>
      <c r="D218" s="83"/>
      <c r="E218" s="83" t="s">
        <v>444</v>
      </c>
      <c r="F218" s="84">
        <f>HLOOKUP($E$4,'8.9 Bourgeoisie bilan'!$F$3:$S$228,213,0)</f>
        <v>77604.25</v>
      </c>
    </row>
    <row r="219" spans="3:6" x14ac:dyDescent="0.25">
      <c r="D219">
        <v>2990</v>
      </c>
      <c r="E219" t="s">
        <v>444</v>
      </c>
      <c r="F219" s="4">
        <f>HLOOKUP($E$4,'8.9 Bourgeoisie bilan'!$F$3:$S$228,214,0)</f>
        <v>-3050.01</v>
      </c>
    </row>
    <row r="220" spans="3:6" x14ac:dyDescent="0.25">
      <c r="D220">
        <v>2999</v>
      </c>
      <c r="E220" t="s">
        <v>582</v>
      </c>
      <c r="F220" s="4">
        <f>HLOOKUP($E$4,'8.9 Bourgeoisie bilan'!$F$3:$S$228,215,0)</f>
        <v>80654.259999999995</v>
      </c>
    </row>
    <row r="221" spans="3:6" x14ac:dyDescent="0.25">
      <c r="F221" s="4"/>
    </row>
    <row r="222" spans="3:6" x14ac:dyDescent="0.25">
      <c r="C222" s="160"/>
      <c r="D222" s="160"/>
      <c r="E222" s="160" t="s">
        <v>587</v>
      </c>
      <c r="F222" s="4">
        <f>HLOOKUP($E$4,'8.9 Bourgeoisie bilan'!$F$3:$S$228,217,0)</f>
        <v>0</v>
      </c>
    </row>
    <row r="223" spans="3:6" x14ac:dyDescent="0.25">
      <c r="D223">
        <v>290</v>
      </c>
      <c r="E223" t="s">
        <v>586</v>
      </c>
      <c r="F223" s="4">
        <f>HLOOKUP($E$4,'8.9 Bourgeoisie bilan'!$F$3:$S$228,218,0)</f>
        <v>0</v>
      </c>
    </row>
    <row r="224" spans="3:6" x14ac:dyDescent="0.25">
      <c r="D224">
        <v>2990</v>
      </c>
      <c r="E224" t="s">
        <v>590</v>
      </c>
      <c r="F224" s="4">
        <f>HLOOKUP($E$4,'8.9 Bourgeoisie bilan'!$F$3:$S$228,219,0)</f>
        <v>-3050.01</v>
      </c>
    </row>
    <row r="225" spans="5:6" x14ac:dyDescent="0.25">
      <c r="F225" s="4"/>
    </row>
    <row r="226" spans="5:6" x14ac:dyDescent="0.25">
      <c r="E226" s="7" t="s">
        <v>589</v>
      </c>
      <c r="F226" s="4">
        <f>HLOOKUP($E$4,'8.9 Bourgeoisie bilan'!$F$3:$S$228,221,0)</f>
        <v>-3050.01</v>
      </c>
    </row>
    <row r="227" spans="5:6" x14ac:dyDescent="0.25">
      <c r="F227" s="4">
        <f>HLOOKUP($E$4,'8.9 Bourgeoisie bilan'!$F$3:$S$228,222,0)</f>
        <v>0</v>
      </c>
    </row>
    <row r="228" spans="5:6" x14ac:dyDescent="0.25">
      <c r="E228" s="60" t="s">
        <v>588</v>
      </c>
      <c r="F228" s="4">
        <f>HLOOKUP($E$4,'8.9 Bourgeoisie bilan'!$F$3:$S$228,223,0)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'8.9 Bourgeoisie bilan'!$F$3:$S$3</xm:f>
          </x14:formula1>
          <xm:sqref>E4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A2" sqref="A2"/>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'8.9 Bourgeoisie bilan'!F5</f>
        <v>8416072.5999999996</v>
      </c>
      <c r="D7" s="101">
        <f>'8.9 Bourgeoisie bilan'!G5</f>
        <v>91261.89</v>
      </c>
      <c r="E7" s="101">
        <f>'8.9 Bourgeoisie bilan'!H5</f>
        <v>416713.9</v>
      </c>
      <c r="F7" s="101">
        <f>'8.9 Bourgeoisie bilan'!I5</f>
        <v>291699.63</v>
      </c>
      <c r="G7" s="101">
        <f>'8.9 Bourgeoisie bilan'!J5</f>
        <v>1480316.77</v>
      </c>
      <c r="H7" s="101">
        <f>'8.9 Bourgeoisie bilan'!K5</f>
        <v>31956806.93</v>
      </c>
      <c r="I7" s="101">
        <f>'8.9 Bourgeoisie bilan'!L5</f>
        <v>453352.90999999992</v>
      </c>
      <c r="J7" s="101">
        <f>'8.9 Bourgeoisie bilan'!M5</f>
        <v>700771.38</v>
      </c>
      <c r="K7" s="101">
        <f>'8.9 Bourgeoisie bilan'!N5</f>
        <v>92238.42</v>
      </c>
      <c r="L7" s="101">
        <f>'8.9 Bourgeoisie bilan'!O5</f>
        <v>582363.77</v>
      </c>
      <c r="M7" s="101">
        <f>'8.9 Bourgeoisie bilan'!P5</f>
        <v>1358276.4</v>
      </c>
      <c r="N7" s="101">
        <f>'8.9 Bourgeoisie bilan'!Q5</f>
        <v>898560.29</v>
      </c>
      <c r="O7" s="101">
        <f>'8.9 Bourgeoisie bilan'!R5</f>
        <v>951662.69</v>
      </c>
      <c r="P7" s="101">
        <f>SUM(C7:O7)</f>
        <v>47690097.579999998</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'8.9 Bourgeoisie bilan'!F121</f>
        <v>3182880.35</v>
      </c>
      <c r="D9" s="101">
        <f>'8.9 Bourgeoisie bilan'!G121</f>
        <v>200723.15</v>
      </c>
      <c r="E9" s="101">
        <f>'8.9 Bourgeoisie bilan'!H121</f>
        <v>289877</v>
      </c>
      <c r="F9" s="101">
        <f>'8.9 Bourgeoisie bilan'!I121</f>
        <v>2406.5</v>
      </c>
      <c r="G9" s="101">
        <f>'8.9 Bourgeoisie bilan'!J121</f>
        <v>755273.6</v>
      </c>
      <c r="H9" s="101">
        <f>'8.9 Bourgeoisie bilan'!K121</f>
        <v>4196382.0999999996</v>
      </c>
      <c r="I9" s="101">
        <f>'8.9 Bourgeoisie bilan'!L121</f>
        <v>142220.20000000001</v>
      </c>
      <c r="J9" s="101">
        <f>'8.9 Bourgeoisie bilan'!M121</f>
        <v>44127.4</v>
      </c>
      <c r="K9" s="101">
        <f>'8.9 Bourgeoisie bilan'!N121</f>
        <v>15400</v>
      </c>
      <c r="L9" s="101">
        <f>'8.9 Bourgeoisie bilan'!O121</f>
        <v>15000</v>
      </c>
      <c r="M9" s="101">
        <f>'8.9 Bourgeoisie bilan'!P121</f>
        <v>75502.2</v>
      </c>
      <c r="N9" s="101">
        <f>'8.9 Bourgeoisie bilan'!Q121</f>
        <v>483896.37</v>
      </c>
      <c r="O9" s="101">
        <f>'8.9 Bourgeoisie bilan'!R121</f>
        <v>48390.65</v>
      </c>
      <c r="P9" s="101">
        <f>SUM(C9:O9)</f>
        <v>9452079.5199999977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'8.9 Bourgeoisie bilan'!F122</f>
        <v>73684.3</v>
      </c>
      <c r="D11" s="101">
        <f>'8.9 Bourgeoisie bilan'!G122</f>
        <v>2708.4</v>
      </c>
      <c r="E11" s="101">
        <f>'8.9 Bourgeoisie bilan'!H122</f>
        <v>0</v>
      </c>
      <c r="F11" s="101">
        <f>'8.9 Bourgeoisie bilan'!I122</f>
        <v>0</v>
      </c>
      <c r="G11" s="101">
        <f>'8.9 Bourgeoisie bilan'!J122</f>
        <v>4777.8500000000004</v>
      </c>
      <c r="H11" s="101">
        <f>'8.9 Bourgeoisie bilan'!K122</f>
        <v>188444.6</v>
      </c>
      <c r="I11" s="101">
        <f>'8.9 Bourgeoisie bilan'!L122</f>
        <v>0</v>
      </c>
      <c r="J11" s="101">
        <f>'8.9 Bourgeoisie bilan'!M122</f>
        <v>0</v>
      </c>
      <c r="K11" s="101">
        <f>'8.9 Bourgeoisie bilan'!N122</f>
        <v>0</v>
      </c>
      <c r="L11" s="101">
        <f>'8.9 Bourgeoisie bilan'!O122</f>
        <v>15000</v>
      </c>
      <c r="M11" s="101">
        <f>'8.9 Bourgeoisie bilan'!P122</f>
        <v>0</v>
      </c>
      <c r="N11" s="101">
        <f>'8.9 Bourgeoisie bilan'!Q122</f>
        <v>13.87</v>
      </c>
      <c r="O11" s="101">
        <f>'8.9 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'8.9 Bourgeoisie bilan'!F132</f>
        <v>22000</v>
      </c>
      <c r="D13" s="101">
        <f>'8.9 Bourgeoisie bilan'!G132</f>
        <v>0</v>
      </c>
      <c r="E13" s="101">
        <f>'8.9 Bourgeoisie bilan'!H132</f>
        <v>0</v>
      </c>
      <c r="F13" s="101">
        <f>'8.9 Bourgeoisie bilan'!I132</f>
        <v>0</v>
      </c>
      <c r="G13" s="101">
        <f>'8.9 Bourgeoisie bilan'!J132</f>
        <v>0</v>
      </c>
      <c r="H13" s="101">
        <f>'8.9 Bourgeoisie bilan'!K132</f>
        <v>0</v>
      </c>
      <c r="I13" s="101">
        <f>'8.9 Bourgeoisie bilan'!L132</f>
        <v>0</v>
      </c>
      <c r="J13" s="101">
        <f>'8.9 Bourgeoisie bilan'!M132</f>
        <v>0</v>
      </c>
      <c r="K13" s="101">
        <f>'8.9 Bourgeoisie bilan'!N132</f>
        <v>0</v>
      </c>
      <c r="L13" s="101">
        <f>'8.9 Bourgeoisie bilan'!O132</f>
        <v>0</v>
      </c>
      <c r="M13" s="101">
        <f>'8.9 Bourgeoisie bilan'!P132</f>
        <v>0</v>
      </c>
      <c r="N13" s="101">
        <f>'8.9 Bourgeoisie bilan'!Q132</f>
        <v>0</v>
      </c>
      <c r="O13" s="101">
        <f>'8.9 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'8.9 Bourgeoisie bilan'!F164</f>
        <v>2989500</v>
      </c>
      <c r="D15" s="101">
        <f>'8.9 Bourgeoisie bilan'!G164</f>
        <v>183000</v>
      </c>
      <c r="E15" s="101">
        <f>'8.9 Bourgeoisie bilan'!H164</f>
        <v>280425.59999999998</v>
      </c>
      <c r="F15" s="101">
        <f>'8.9 Bourgeoisie bilan'!I164</f>
        <v>0</v>
      </c>
      <c r="G15" s="101">
        <f>'8.9 Bourgeoisie bilan'!J164</f>
        <v>377000</v>
      </c>
      <c r="H15" s="101">
        <f>'8.9 Bourgeoisie bilan'!K164</f>
        <v>3283750</v>
      </c>
      <c r="I15" s="101">
        <f>'8.9 Bourgeoisie bilan'!L164</f>
        <v>134500</v>
      </c>
      <c r="J15" s="101">
        <f>'8.9 Bourgeoisie bilan'!M164</f>
        <v>0</v>
      </c>
      <c r="K15" s="101">
        <f>'8.9 Bourgeoisie bilan'!N164</f>
        <v>15400</v>
      </c>
      <c r="L15" s="101">
        <f>'8.9 Bourgeoisie bilan'!O164</f>
        <v>0</v>
      </c>
      <c r="M15" s="101">
        <f>'8.9 Bourgeoisie bilan'!P164</f>
        <v>0</v>
      </c>
      <c r="N15" s="101">
        <f>'8.9 Bourgeoisie bilan'!Q164</f>
        <v>458240</v>
      </c>
      <c r="O15" s="101">
        <f>'8.9 Bourgeoisie bilan'!R164</f>
        <v>0</v>
      </c>
      <c r="P15" s="101">
        <f>SUM(C15:O15)</f>
        <v>7721815.5999999996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'8.9 Bourgeoisie bilan'!F139</f>
        <v>0</v>
      </c>
      <c r="D17" s="101">
        <f>'8.9 Bourgeoisie bilan'!G139</f>
        <v>0</v>
      </c>
      <c r="E17" s="101">
        <f>'8.9 Bourgeoisie bilan'!H139</f>
        <v>0</v>
      </c>
      <c r="F17" s="101">
        <f>'8.9 Bourgeoisie bilan'!I139</f>
        <v>0</v>
      </c>
      <c r="G17" s="101">
        <f>'8.9 Bourgeoisie bilan'!J139</f>
        <v>0</v>
      </c>
      <c r="H17" s="101">
        <f>'8.9 Bourgeoisie bilan'!K139</f>
        <v>0</v>
      </c>
      <c r="I17" s="101">
        <f>'8.9 Bourgeoisie bilan'!L139</f>
        <v>0</v>
      </c>
      <c r="J17" s="101">
        <f>'8.9 Bourgeoisie bilan'!M139</f>
        <v>0</v>
      </c>
      <c r="K17" s="101">
        <f>'8.9 Bourgeoisie bilan'!N139</f>
        <v>0</v>
      </c>
      <c r="L17" s="101">
        <f>'8.9 Bourgeoisie bilan'!O139</f>
        <v>0</v>
      </c>
      <c r="M17" s="101">
        <f>'8.9 Bourgeoisie bilan'!P139</f>
        <v>0</v>
      </c>
      <c r="N17" s="101">
        <f>'8.9 Bourgeoisie bilan'!Q139</f>
        <v>0</v>
      </c>
      <c r="O17" s="101">
        <f>'8.9 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15400</v>
      </c>
      <c r="L20" s="180">
        <f t="shared" si="0"/>
        <v>15000</v>
      </c>
      <c r="M20" s="180">
        <f t="shared" si="0"/>
        <v>0</v>
      </c>
      <c r="N20" s="180">
        <f t="shared" si="0"/>
        <v>458253.87</v>
      </c>
      <c r="O20" s="180">
        <f t="shared" si="0"/>
        <v>47678.15</v>
      </c>
      <c r="P20" s="180">
        <f>SUM(C20:O20)</f>
        <v>8076122.7700000005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-76838.42</v>
      </c>
      <c r="L22" s="180">
        <f t="shared" si="1"/>
        <v>-567363.77</v>
      </c>
      <c r="M22" s="180">
        <f t="shared" si="1"/>
        <v>-1282774.2</v>
      </c>
      <c r="N22" s="180">
        <f t="shared" si="1"/>
        <v>-414663.92000000004</v>
      </c>
      <c r="O22" s="180">
        <f t="shared" si="1"/>
        <v>-903272.03999999992</v>
      </c>
      <c r="P22" s="180">
        <f>SUM(C22:O22)</f>
        <v>-38238018.060000002</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60" t="s">
        <v>758</v>
      </c>
    </row>
    <row r="4" spans="1:3" ht="15" customHeight="1" thickBot="1" x14ac:dyDescent="0.45">
      <c r="A4" s="42"/>
      <c r="B4" s="179" t="s">
        <v>752</v>
      </c>
    </row>
    <row r="5" spans="1:3" ht="15" customHeight="1" x14ac:dyDescent="0.25">
      <c r="C5" s="65"/>
    </row>
    <row r="6" spans="1:3" ht="15" customHeight="1" x14ac:dyDescent="0.25">
      <c r="C6" s="182" t="s">
        <v>202</v>
      </c>
    </row>
    <row r="7" spans="1:3" x14ac:dyDescent="0.25">
      <c r="A7" s="67">
        <v>10</v>
      </c>
      <c r="B7" s="67" t="s">
        <v>240</v>
      </c>
      <c r="C7" s="4">
        <f>HLOOKUP($B$4,'8.11 Bourgeoisie endettement'!$C$6:$P$22,2,0)</f>
        <v>92238.42</v>
      </c>
    </row>
    <row r="8" spans="1:3" x14ac:dyDescent="0.25">
      <c r="A8" s="67"/>
      <c r="B8" s="67"/>
      <c r="C8" s="4"/>
    </row>
    <row r="9" spans="1:3" x14ac:dyDescent="0.25">
      <c r="A9" s="67">
        <v>20</v>
      </c>
      <c r="B9" s="67" t="s">
        <v>252</v>
      </c>
      <c r="C9" s="4">
        <f>HLOOKUP($B$4,'8.11 Bourgeoisie endettement'!$C$6:$P$22,4,0)</f>
        <v>15400</v>
      </c>
    </row>
    <row r="10" spans="1:3" x14ac:dyDescent="0.25">
      <c r="A10" s="67"/>
      <c r="B10" s="67"/>
      <c r="C10" s="4"/>
    </row>
    <row r="11" spans="1:3" x14ac:dyDescent="0.25">
      <c r="A11" s="67">
        <v>200</v>
      </c>
      <c r="B11" s="67" t="s">
        <v>451</v>
      </c>
      <c r="C11" s="4">
        <f>HLOOKUP($B$4,'8.11 Bourgeoisie endettement'!$C$6:$P$22,6,0)</f>
        <v>0</v>
      </c>
    </row>
    <row r="12" spans="1:3" x14ac:dyDescent="0.25">
      <c r="A12" s="67"/>
      <c r="B12" s="67"/>
      <c r="C12" s="4"/>
    </row>
    <row r="13" spans="1:3" x14ac:dyDescent="0.25">
      <c r="A13" s="67">
        <v>201</v>
      </c>
      <c r="B13" s="67" t="s">
        <v>254</v>
      </c>
      <c r="C13" s="4">
        <f>HLOOKUP($B$4,'8.11 Bourgeoisie endettement'!$C$6:$P$22,8,0)</f>
        <v>0</v>
      </c>
    </row>
    <row r="14" spans="1:3" x14ac:dyDescent="0.25">
      <c r="A14" s="67"/>
      <c r="B14" s="67"/>
      <c r="C14" s="4"/>
    </row>
    <row r="15" spans="1:3" x14ac:dyDescent="0.25">
      <c r="A15" s="67">
        <v>206</v>
      </c>
      <c r="B15" s="67" t="s">
        <v>257</v>
      </c>
      <c r="C15" s="4">
        <f>HLOOKUP($B$4,'8.11 Bourgeoisie endettement'!$C$6:$P$22,10,0)</f>
        <v>15400</v>
      </c>
    </row>
    <row r="16" spans="1:3" x14ac:dyDescent="0.25">
      <c r="A16" s="67"/>
      <c r="B16" s="67"/>
      <c r="C16" s="4"/>
    </row>
    <row r="17" spans="1:3" x14ac:dyDescent="0.25">
      <c r="A17" s="67">
        <v>2016</v>
      </c>
      <c r="B17" s="67" t="s">
        <v>269</v>
      </c>
      <c r="C17" s="4">
        <f>HLOOKUP($B$4,'8.11 Bourgeoisie endettement'!$C$6:$P$22,12,0)</f>
        <v>0</v>
      </c>
    </row>
    <row r="18" spans="1:3" x14ac:dyDescent="0.25">
      <c r="A18" s="67"/>
      <c r="B18" s="67"/>
      <c r="C18" s="4"/>
    </row>
    <row r="19" spans="1:3" x14ac:dyDescent="0.25">
      <c r="A19" s="67"/>
      <c r="B19" s="67"/>
      <c r="C19" s="4"/>
    </row>
    <row r="20" spans="1:3" x14ac:dyDescent="0.25">
      <c r="A20" s="67"/>
      <c r="B20" s="99" t="s">
        <v>567</v>
      </c>
      <c r="C20" s="100">
        <f>HLOOKUP($B$4,'8.11 Bourgeoisie endettement'!$C$6:$P$22,15,0)</f>
        <v>15400</v>
      </c>
    </row>
    <row r="21" spans="1:3" x14ac:dyDescent="0.25">
      <c r="A21" s="67"/>
      <c r="B21" s="7"/>
      <c r="C21" s="41"/>
    </row>
    <row r="22" spans="1:3" x14ac:dyDescent="0.25">
      <c r="A22" s="67"/>
      <c r="B22" s="99" t="s">
        <v>498</v>
      </c>
      <c r="C22" s="100">
        <f>HLOOKUP($B$4,'8.11 Bourgeoisie endettement'!$C$6:$P$22,17,0)</f>
        <v>-76838.42</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'8.11 Bourgeoisie endettement'!$C$6:$P$6</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O33" sqref="O33"/>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K148" activePane="bottomRight" state="frozen"/>
      <selection pane="topRight" activeCell="E1" sqref="E1"/>
      <selection pane="bottomLeft" activeCell="A4" sqref="A4"/>
      <selection pane="bottomRight" activeCell="Q179" sqref="Q179"/>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v>0</v>
      </c>
      <c r="N6" s="4">
        <v>0</v>
      </c>
      <c r="O6" s="4">
        <v>0</v>
      </c>
      <c r="P6" s="4">
        <v>0</v>
      </c>
      <c r="Q6" s="4">
        <v>0</v>
      </c>
      <c r="R6" s="4">
        <f t="shared" ref="R6:R13" si="2">SUM(E6:Q6)</f>
        <v>0</v>
      </c>
      <c r="S6" s="1">
        <v>4</v>
      </c>
    </row>
    <row r="7" spans="1:19" x14ac:dyDescent="0.25">
      <c r="C7">
        <v>501</v>
      </c>
      <c r="D7" t="s">
        <v>457</v>
      </c>
      <c r="E7" s="4">
        <v>0</v>
      </c>
      <c r="F7" s="4">
        <v>0</v>
      </c>
      <c r="G7" s="4">
        <v>6087.4</v>
      </c>
      <c r="H7" s="4">
        <v>0</v>
      </c>
      <c r="I7" s="4">
        <v>0</v>
      </c>
      <c r="J7" s="4">
        <v>0</v>
      </c>
      <c r="K7" s="4">
        <v>0</v>
      </c>
      <c r="L7" s="4">
        <v>0</v>
      </c>
      <c r="M7" s="4">
        <v>0</v>
      </c>
      <c r="N7" s="4">
        <v>0</v>
      </c>
      <c r="O7" s="4">
        <v>0</v>
      </c>
      <c r="P7" s="4">
        <v>0</v>
      </c>
      <c r="Q7" s="4">
        <v>0</v>
      </c>
      <c r="R7" s="4">
        <f t="shared" si="2"/>
        <v>6087.4</v>
      </c>
      <c r="S7">
        <v>5</v>
      </c>
    </row>
    <row r="8" spans="1:19" x14ac:dyDescent="0.25">
      <c r="C8">
        <v>502</v>
      </c>
      <c r="D8" t="s">
        <v>458</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503</v>
      </c>
      <c r="D9" t="s">
        <v>459</v>
      </c>
      <c r="E9" s="4">
        <v>48107.85</v>
      </c>
      <c r="F9" s="4">
        <v>0</v>
      </c>
      <c r="G9" s="4">
        <v>0</v>
      </c>
      <c r="H9" s="4">
        <v>0</v>
      </c>
      <c r="I9" s="4">
        <v>2490.15</v>
      </c>
      <c r="J9" s="4">
        <v>0</v>
      </c>
      <c r="K9" s="4">
        <v>0</v>
      </c>
      <c r="L9" s="4">
        <v>0</v>
      </c>
      <c r="M9" s="4">
        <v>0</v>
      </c>
      <c r="N9" s="4">
        <v>0</v>
      </c>
      <c r="O9" s="4">
        <v>0</v>
      </c>
      <c r="P9" s="4">
        <v>0</v>
      </c>
      <c r="Q9" s="4">
        <v>0</v>
      </c>
      <c r="R9" s="4">
        <f t="shared" si="2"/>
        <v>50598</v>
      </c>
      <c r="S9" s="1">
        <v>7</v>
      </c>
    </row>
    <row r="10" spans="1:19" x14ac:dyDescent="0.25">
      <c r="C10">
        <v>504</v>
      </c>
      <c r="D10" t="s">
        <v>460</v>
      </c>
      <c r="E10" s="4">
        <v>0</v>
      </c>
      <c r="F10" s="4">
        <v>0</v>
      </c>
      <c r="G10" s="4">
        <v>0</v>
      </c>
      <c r="H10" s="4">
        <v>0</v>
      </c>
      <c r="I10" s="4">
        <v>0</v>
      </c>
      <c r="J10" s="4">
        <v>0</v>
      </c>
      <c r="K10" s="4">
        <v>0</v>
      </c>
      <c r="L10" s="4">
        <v>0</v>
      </c>
      <c r="M10" s="4">
        <v>0</v>
      </c>
      <c r="N10" s="4">
        <v>0</v>
      </c>
      <c r="O10" s="4">
        <v>0</v>
      </c>
      <c r="P10" s="4">
        <v>0</v>
      </c>
      <c r="Q10" s="4">
        <v>0</v>
      </c>
      <c r="R10" s="4">
        <f t="shared" si="2"/>
        <v>0</v>
      </c>
      <c r="S10">
        <v>8</v>
      </c>
    </row>
    <row r="11" spans="1:19" x14ac:dyDescent="0.25">
      <c r="C11">
        <v>505</v>
      </c>
      <c r="D11" t="s">
        <v>461</v>
      </c>
      <c r="E11" s="4">
        <v>0</v>
      </c>
      <c r="F11" s="4">
        <v>0</v>
      </c>
      <c r="G11" s="4">
        <v>0</v>
      </c>
      <c r="H11" s="4">
        <v>0</v>
      </c>
      <c r="I11" s="4">
        <v>0</v>
      </c>
      <c r="J11" s="4">
        <v>0</v>
      </c>
      <c r="K11" s="4">
        <v>0</v>
      </c>
      <c r="L11" s="4">
        <v>0</v>
      </c>
      <c r="M11" s="4">
        <v>0</v>
      </c>
      <c r="N11" s="4">
        <v>0</v>
      </c>
      <c r="O11" s="4">
        <v>0</v>
      </c>
      <c r="P11" s="4">
        <v>0</v>
      </c>
      <c r="Q11" s="4">
        <v>0</v>
      </c>
      <c r="R11" s="4">
        <f t="shared" si="2"/>
        <v>0</v>
      </c>
      <c r="S11">
        <v>9</v>
      </c>
    </row>
    <row r="12" spans="1:19" x14ac:dyDescent="0.25">
      <c r="C12">
        <v>506</v>
      </c>
      <c r="D12" t="s">
        <v>462</v>
      </c>
      <c r="E12" s="4">
        <v>0</v>
      </c>
      <c r="F12" s="4">
        <v>0</v>
      </c>
      <c r="G12" s="4">
        <v>0</v>
      </c>
      <c r="H12" s="4">
        <v>0</v>
      </c>
      <c r="I12" s="4">
        <v>0</v>
      </c>
      <c r="J12" s="4">
        <v>0</v>
      </c>
      <c r="K12" s="4">
        <v>0</v>
      </c>
      <c r="L12" s="4">
        <v>0</v>
      </c>
      <c r="M12" s="4">
        <v>0</v>
      </c>
      <c r="N12" s="4">
        <v>0</v>
      </c>
      <c r="O12" s="4">
        <v>0</v>
      </c>
      <c r="P12" s="4">
        <v>0</v>
      </c>
      <c r="Q12" s="4">
        <v>0</v>
      </c>
      <c r="R12" s="4">
        <f t="shared" si="2"/>
        <v>0</v>
      </c>
      <c r="S12" s="1">
        <v>10</v>
      </c>
    </row>
    <row r="13" spans="1:19" x14ac:dyDescent="0.25">
      <c r="C13">
        <v>509</v>
      </c>
      <c r="D13" t="s">
        <v>463</v>
      </c>
      <c r="E13" s="4">
        <v>0</v>
      </c>
      <c r="F13" s="4">
        <v>0</v>
      </c>
      <c r="G13" s="4">
        <v>0</v>
      </c>
      <c r="H13" s="4">
        <v>0</v>
      </c>
      <c r="I13" s="4">
        <v>0</v>
      </c>
      <c r="J13" s="4">
        <v>0</v>
      </c>
      <c r="K13" s="4">
        <v>0</v>
      </c>
      <c r="L13" s="4">
        <v>0</v>
      </c>
      <c r="M13" s="4">
        <v>0</v>
      </c>
      <c r="N13" s="4">
        <v>0</v>
      </c>
      <c r="O13" s="4">
        <v>0</v>
      </c>
      <c r="P13" s="4">
        <v>0</v>
      </c>
      <c r="Q13" s="4">
        <v>0</v>
      </c>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v>0</v>
      </c>
      <c r="N16" s="4">
        <v>0</v>
      </c>
      <c r="O16" s="4">
        <v>0</v>
      </c>
      <c r="P16" s="4">
        <v>0</v>
      </c>
      <c r="Q16" s="4">
        <v>0</v>
      </c>
      <c r="R16" s="4">
        <f t="shared" ref="R16:R23" si="4">SUM(E16:Q16)</f>
        <v>0</v>
      </c>
      <c r="S16">
        <v>14</v>
      </c>
    </row>
    <row r="17" spans="2:19" x14ac:dyDescent="0.25">
      <c r="C17">
        <v>511</v>
      </c>
      <c r="D17" t="s">
        <v>457</v>
      </c>
      <c r="E17" s="4">
        <v>0</v>
      </c>
      <c r="F17" s="4">
        <v>0</v>
      </c>
      <c r="G17" s="4">
        <v>0</v>
      </c>
      <c r="H17" s="4">
        <v>0</v>
      </c>
      <c r="I17" s="4">
        <v>0</v>
      </c>
      <c r="J17" s="4">
        <v>0</v>
      </c>
      <c r="K17" s="4">
        <v>0</v>
      </c>
      <c r="L17" s="4">
        <v>0</v>
      </c>
      <c r="M17" s="4">
        <v>0</v>
      </c>
      <c r="N17" s="4">
        <v>0</v>
      </c>
      <c r="O17" s="4">
        <v>0</v>
      </c>
      <c r="P17" s="4">
        <v>0</v>
      </c>
      <c r="Q17" s="4">
        <v>0</v>
      </c>
      <c r="R17" s="4">
        <f t="shared" si="4"/>
        <v>0</v>
      </c>
      <c r="S17">
        <v>15</v>
      </c>
    </row>
    <row r="18" spans="2:19" x14ac:dyDescent="0.25">
      <c r="C18">
        <v>512</v>
      </c>
      <c r="D18" t="s">
        <v>458</v>
      </c>
      <c r="E18" s="4">
        <v>0</v>
      </c>
      <c r="F18" s="4">
        <v>0</v>
      </c>
      <c r="G18" s="4">
        <v>0</v>
      </c>
      <c r="H18" s="4">
        <v>0</v>
      </c>
      <c r="I18" s="4">
        <v>0</v>
      </c>
      <c r="J18" s="4">
        <v>0</v>
      </c>
      <c r="K18" s="4">
        <v>0</v>
      </c>
      <c r="L18" s="4">
        <v>0</v>
      </c>
      <c r="M18" s="4">
        <v>0</v>
      </c>
      <c r="N18" s="4">
        <v>0</v>
      </c>
      <c r="O18" s="4">
        <v>0</v>
      </c>
      <c r="P18" s="4">
        <v>0</v>
      </c>
      <c r="Q18" s="4">
        <v>0</v>
      </c>
      <c r="R18" s="4">
        <f t="shared" si="4"/>
        <v>0</v>
      </c>
      <c r="S18" s="1">
        <v>16</v>
      </c>
    </row>
    <row r="19" spans="2:19" x14ac:dyDescent="0.25">
      <c r="C19">
        <v>513</v>
      </c>
      <c r="D19" t="s">
        <v>459</v>
      </c>
      <c r="E19" s="4">
        <v>0</v>
      </c>
      <c r="F19" s="4">
        <v>0</v>
      </c>
      <c r="G19" s="4">
        <v>0</v>
      </c>
      <c r="H19" s="4">
        <v>0</v>
      </c>
      <c r="I19" s="4">
        <v>0</v>
      </c>
      <c r="J19" s="4">
        <v>0</v>
      </c>
      <c r="K19" s="4">
        <v>0</v>
      </c>
      <c r="L19" s="4">
        <v>0</v>
      </c>
      <c r="M19" s="4">
        <v>0</v>
      </c>
      <c r="N19" s="4">
        <v>0</v>
      </c>
      <c r="O19" s="4">
        <v>0</v>
      </c>
      <c r="P19" s="4">
        <v>0</v>
      </c>
      <c r="Q19" s="4">
        <v>0</v>
      </c>
      <c r="R19" s="4">
        <f t="shared" si="4"/>
        <v>0</v>
      </c>
      <c r="S19">
        <v>17</v>
      </c>
    </row>
    <row r="20" spans="2:19" x14ac:dyDescent="0.25">
      <c r="C20">
        <v>514</v>
      </c>
      <c r="D20" t="s">
        <v>460</v>
      </c>
      <c r="E20" s="4">
        <v>0</v>
      </c>
      <c r="F20" s="4">
        <v>0</v>
      </c>
      <c r="G20" s="4">
        <v>0</v>
      </c>
      <c r="H20" s="4">
        <v>0</v>
      </c>
      <c r="I20" s="4">
        <v>0</v>
      </c>
      <c r="J20" s="4">
        <v>0</v>
      </c>
      <c r="K20" s="4">
        <v>0</v>
      </c>
      <c r="L20" s="4">
        <v>0</v>
      </c>
      <c r="M20" s="4">
        <v>0</v>
      </c>
      <c r="N20" s="4">
        <v>0</v>
      </c>
      <c r="O20" s="4">
        <v>0</v>
      </c>
      <c r="P20" s="4">
        <v>0</v>
      </c>
      <c r="Q20" s="4">
        <v>0</v>
      </c>
      <c r="R20" s="4">
        <f t="shared" si="4"/>
        <v>0</v>
      </c>
      <c r="S20">
        <v>18</v>
      </c>
    </row>
    <row r="21" spans="2:19" x14ac:dyDescent="0.25">
      <c r="C21">
        <v>515</v>
      </c>
      <c r="D21" t="s">
        <v>461</v>
      </c>
      <c r="E21" s="4">
        <v>0</v>
      </c>
      <c r="F21" s="4">
        <v>0</v>
      </c>
      <c r="G21" s="4">
        <v>0</v>
      </c>
      <c r="H21" s="4">
        <v>0</v>
      </c>
      <c r="I21" s="4">
        <v>0</v>
      </c>
      <c r="J21" s="4">
        <v>0</v>
      </c>
      <c r="K21" s="4">
        <v>0</v>
      </c>
      <c r="L21" s="4">
        <v>0</v>
      </c>
      <c r="M21" s="4">
        <v>0</v>
      </c>
      <c r="N21" s="4">
        <v>0</v>
      </c>
      <c r="O21" s="4">
        <v>0</v>
      </c>
      <c r="P21" s="4">
        <v>0</v>
      </c>
      <c r="Q21" s="4">
        <v>0</v>
      </c>
      <c r="R21" s="4">
        <f t="shared" si="4"/>
        <v>0</v>
      </c>
      <c r="S21" s="1">
        <v>19</v>
      </c>
    </row>
    <row r="22" spans="2:19" x14ac:dyDescent="0.25">
      <c r="C22">
        <v>516</v>
      </c>
      <c r="D22" t="s">
        <v>462</v>
      </c>
      <c r="E22" s="4">
        <v>0</v>
      </c>
      <c r="F22" s="4">
        <v>0</v>
      </c>
      <c r="G22" s="4">
        <v>0</v>
      </c>
      <c r="H22" s="4">
        <v>0</v>
      </c>
      <c r="I22" s="4">
        <v>0</v>
      </c>
      <c r="J22" s="4">
        <v>0</v>
      </c>
      <c r="K22" s="4">
        <v>0</v>
      </c>
      <c r="L22" s="4">
        <v>0</v>
      </c>
      <c r="M22" s="4">
        <v>0</v>
      </c>
      <c r="N22" s="4">
        <v>0</v>
      </c>
      <c r="O22" s="4">
        <v>0</v>
      </c>
      <c r="P22" s="4">
        <v>0</v>
      </c>
      <c r="Q22" s="4">
        <v>0</v>
      </c>
      <c r="R22" s="4">
        <f t="shared" si="4"/>
        <v>0</v>
      </c>
      <c r="S22">
        <v>20</v>
      </c>
    </row>
    <row r="23" spans="2:19" x14ac:dyDescent="0.25">
      <c r="C23">
        <v>519</v>
      </c>
      <c r="D23" t="s">
        <v>463</v>
      </c>
      <c r="E23" s="4">
        <v>0</v>
      </c>
      <c r="F23" s="4">
        <v>0</v>
      </c>
      <c r="G23" s="4">
        <v>0</v>
      </c>
      <c r="H23" s="4">
        <v>0</v>
      </c>
      <c r="I23" s="4">
        <v>0</v>
      </c>
      <c r="J23" s="4">
        <v>0</v>
      </c>
      <c r="K23" s="4">
        <v>0</v>
      </c>
      <c r="L23" s="4">
        <v>0</v>
      </c>
      <c r="M23" s="4">
        <v>0</v>
      </c>
      <c r="N23" s="4">
        <v>0</v>
      </c>
      <c r="O23" s="4">
        <v>0</v>
      </c>
      <c r="P23" s="4">
        <v>0</v>
      </c>
      <c r="Q23" s="4">
        <v>0</v>
      </c>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v>0</v>
      </c>
      <c r="N26" s="4">
        <v>0</v>
      </c>
      <c r="O26" s="4">
        <v>0</v>
      </c>
      <c r="P26" s="4">
        <v>0</v>
      </c>
      <c r="Q26" s="4">
        <v>0</v>
      </c>
      <c r="R26" s="4">
        <f>SUM(E26:Q26)</f>
        <v>0</v>
      </c>
      <c r="S26">
        <v>24</v>
      </c>
    </row>
    <row r="27" spans="2:19" x14ac:dyDescent="0.25">
      <c r="C27">
        <v>521</v>
      </c>
      <c r="D27" t="s">
        <v>367</v>
      </c>
      <c r="E27" s="4">
        <v>0</v>
      </c>
      <c r="F27" s="4">
        <v>0</v>
      </c>
      <c r="G27" s="4">
        <v>0</v>
      </c>
      <c r="H27" s="4">
        <v>0</v>
      </c>
      <c r="I27" s="4">
        <v>0</v>
      </c>
      <c r="J27" s="4">
        <v>0</v>
      </c>
      <c r="K27" s="4">
        <v>0</v>
      </c>
      <c r="L27" s="4">
        <v>0</v>
      </c>
      <c r="M27" s="4">
        <v>0</v>
      </c>
      <c r="N27" s="4">
        <v>0</v>
      </c>
      <c r="O27" s="4">
        <v>0</v>
      </c>
      <c r="P27" s="4">
        <v>0</v>
      </c>
      <c r="Q27" s="4">
        <v>0</v>
      </c>
      <c r="R27" s="4">
        <f>SUM(E27:Q27)</f>
        <v>0</v>
      </c>
      <c r="S27" s="1">
        <v>25</v>
      </c>
    </row>
    <row r="28" spans="2:19" x14ac:dyDescent="0.25">
      <c r="C28">
        <v>529</v>
      </c>
      <c r="D28" t="s">
        <v>465</v>
      </c>
      <c r="E28" s="4">
        <v>0</v>
      </c>
      <c r="F28" s="4">
        <v>0</v>
      </c>
      <c r="G28" s="4">
        <v>0</v>
      </c>
      <c r="H28" s="4">
        <v>0</v>
      </c>
      <c r="I28" s="4">
        <v>0</v>
      </c>
      <c r="J28" s="4">
        <v>0</v>
      </c>
      <c r="K28" s="4">
        <v>0</v>
      </c>
      <c r="L28" s="4">
        <v>0</v>
      </c>
      <c r="M28" s="4">
        <v>0</v>
      </c>
      <c r="N28" s="4">
        <v>0</v>
      </c>
      <c r="O28" s="4">
        <v>0</v>
      </c>
      <c r="P28" s="4">
        <v>0</v>
      </c>
      <c r="Q28" s="4">
        <v>0</v>
      </c>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v>0</v>
      </c>
      <c r="N31" s="4">
        <v>0</v>
      </c>
      <c r="O31" s="4">
        <v>0</v>
      </c>
      <c r="P31" s="4">
        <v>0</v>
      </c>
      <c r="Q31" s="4">
        <v>0</v>
      </c>
      <c r="R31" s="4">
        <f t="shared" ref="R31:R39" si="7">SUM(E31:Q31)</f>
        <v>0</v>
      </c>
      <c r="S31">
        <v>29</v>
      </c>
    </row>
    <row r="32" spans="2:19" x14ac:dyDescent="0.25">
      <c r="C32">
        <v>541</v>
      </c>
      <c r="D32" t="s">
        <v>467</v>
      </c>
      <c r="E32" s="4">
        <v>0</v>
      </c>
      <c r="F32" s="4">
        <v>0</v>
      </c>
      <c r="G32" s="4">
        <v>0</v>
      </c>
      <c r="H32" s="4">
        <v>0</v>
      </c>
      <c r="I32" s="4">
        <v>0</v>
      </c>
      <c r="J32" s="4">
        <v>0</v>
      </c>
      <c r="K32" s="4">
        <v>0</v>
      </c>
      <c r="L32" s="4">
        <v>0</v>
      </c>
      <c r="M32" s="4">
        <v>0</v>
      </c>
      <c r="N32" s="4">
        <v>0</v>
      </c>
      <c r="O32" s="4">
        <v>0</v>
      </c>
      <c r="P32" s="4">
        <v>0</v>
      </c>
      <c r="Q32" s="4">
        <v>0</v>
      </c>
      <c r="R32" s="4">
        <f t="shared" si="7"/>
        <v>0</v>
      </c>
      <c r="S32">
        <v>30</v>
      </c>
    </row>
    <row r="33" spans="2:19" x14ac:dyDescent="0.25">
      <c r="C33">
        <v>542</v>
      </c>
      <c r="D33" t="s">
        <v>468</v>
      </c>
      <c r="E33" s="4">
        <v>0</v>
      </c>
      <c r="F33" s="4">
        <v>0</v>
      </c>
      <c r="G33" s="4">
        <v>0</v>
      </c>
      <c r="H33" s="4">
        <v>0</v>
      </c>
      <c r="I33" s="4">
        <v>0</v>
      </c>
      <c r="J33" s="4">
        <v>0</v>
      </c>
      <c r="K33" s="4">
        <v>0</v>
      </c>
      <c r="L33" s="4">
        <v>0</v>
      </c>
      <c r="M33" s="4">
        <v>0</v>
      </c>
      <c r="N33" s="4">
        <v>0</v>
      </c>
      <c r="O33" s="4">
        <v>0</v>
      </c>
      <c r="P33" s="4">
        <v>0</v>
      </c>
      <c r="Q33" s="4">
        <v>0</v>
      </c>
      <c r="R33" s="4">
        <f t="shared" si="7"/>
        <v>0</v>
      </c>
      <c r="S33" s="1">
        <v>31</v>
      </c>
    </row>
    <row r="34" spans="2:19" x14ac:dyDescent="0.25">
      <c r="C34">
        <v>543</v>
      </c>
      <c r="D34" t="s">
        <v>469</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544</v>
      </c>
      <c r="D35" t="s">
        <v>470</v>
      </c>
      <c r="E35" s="4">
        <v>0</v>
      </c>
      <c r="F35" s="4">
        <v>0</v>
      </c>
      <c r="G35" s="4">
        <v>0</v>
      </c>
      <c r="H35" s="4">
        <v>0</v>
      </c>
      <c r="I35" s="4">
        <v>0</v>
      </c>
      <c r="J35" s="4">
        <v>0</v>
      </c>
      <c r="K35" s="4">
        <v>0</v>
      </c>
      <c r="L35" s="4">
        <v>0</v>
      </c>
      <c r="M35" s="4">
        <v>0</v>
      </c>
      <c r="N35" s="4">
        <v>0</v>
      </c>
      <c r="O35" s="4">
        <v>0</v>
      </c>
      <c r="P35" s="4">
        <v>0</v>
      </c>
      <c r="Q35" s="4">
        <v>0</v>
      </c>
      <c r="R35" s="4">
        <f t="shared" si="7"/>
        <v>0</v>
      </c>
      <c r="S35">
        <v>33</v>
      </c>
    </row>
    <row r="36" spans="2:19" x14ac:dyDescent="0.25">
      <c r="C36">
        <v>545</v>
      </c>
      <c r="D36" t="s">
        <v>471</v>
      </c>
      <c r="E36" s="4">
        <v>0</v>
      </c>
      <c r="F36" s="4">
        <v>0</v>
      </c>
      <c r="G36" s="4">
        <v>0</v>
      </c>
      <c r="H36" s="4">
        <v>0</v>
      </c>
      <c r="I36" s="4">
        <v>0</v>
      </c>
      <c r="J36" s="4">
        <v>0</v>
      </c>
      <c r="K36" s="4">
        <v>0</v>
      </c>
      <c r="L36" s="4">
        <v>0</v>
      </c>
      <c r="M36" s="4">
        <v>0</v>
      </c>
      <c r="N36" s="4">
        <v>0</v>
      </c>
      <c r="O36" s="4">
        <v>0</v>
      </c>
      <c r="P36" s="4">
        <v>0</v>
      </c>
      <c r="Q36" s="4">
        <v>0</v>
      </c>
      <c r="R36" s="4">
        <f t="shared" si="7"/>
        <v>0</v>
      </c>
      <c r="S36" s="1">
        <v>34</v>
      </c>
    </row>
    <row r="37" spans="2:19" x14ac:dyDescent="0.25">
      <c r="C37">
        <v>546</v>
      </c>
      <c r="D37" t="s">
        <v>472</v>
      </c>
      <c r="E37" s="4">
        <v>0</v>
      </c>
      <c r="F37" s="4">
        <v>0</v>
      </c>
      <c r="G37" s="4">
        <v>0</v>
      </c>
      <c r="H37" s="4">
        <v>0</v>
      </c>
      <c r="I37" s="4">
        <v>0</v>
      </c>
      <c r="J37" s="4">
        <v>0</v>
      </c>
      <c r="K37" s="4">
        <v>0</v>
      </c>
      <c r="L37" s="4">
        <v>0</v>
      </c>
      <c r="M37" s="4">
        <v>0</v>
      </c>
      <c r="N37" s="4">
        <v>0</v>
      </c>
      <c r="O37" s="4">
        <v>0</v>
      </c>
      <c r="P37" s="4">
        <v>0</v>
      </c>
      <c r="Q37" s="4">
        <v>0</v>
      </c>
      <c r="R37" s="4">
        <f t="shared" si="7"/>
        <v>0</v>
      </c>
      <c r="S37">
        <v>35</v>
      </c>
    </row>
    <row r="38" spans="2:19" x14ac:dyDescent="0.25">
      <c r="C38">
        <v>547</v>
      </c>
      <c r="D38" t="s">
        <v>473</v>
      </c>
      <c r="E38" s="4">
        <v>0</v>
      </c>
      <c r="F38" s="4">
        <v>0</v>
      </c>
      <c r="G38" s="4">
        <v>0</v>
      </c>
      <c r="H38" s="4">
        <v>0</v>
      </c>
      <c r="I38" s="4">
        <v>0</v>
      </c>
      <c r="J38" s="4">
        <v>0</v>
      </c>
      <c r="K38" s="4">
        <v>0</v>
      </c>
      <c r="L38" s="4">
        <v>0</v>
      </c>
      <c r="M38" s="4">
        <v>0</v>
      </c>
      <c r="N38" s="4">
        <v>0</v>
      </c>
      <c r="O38" s="4">
        <v>0</v>
      </c>
      <c r="P38" s="4">
        <v>0</v>
      </c>
      <c r="Q38" s="4">
        <v>0</v>
      </c>
      <c r="R38" s="4">
        <f t="shared" si="7"/>
        <v>0</v>
      </c>
      <c r="S38">
        <v>36</v>
      </c>
    </row>
    <row r="39" spans="2:19" x14ac:dyDescent="0.25">
      <c r="C39">
        <v>548</v>
      </c>
      <c r="D39" t="s">
        <v>474</v>
      </c>
      <c r="E39" s="4">
        <v>0</v>
      </c>
      <c r="F39" s="4">
        <v>0</v>
      </c>
      <c r="G39" s="4">
        <v>0</v>
      </c>
      <c r="H39" s="4">
        <v>0</v>
      </c>
      <c r="I39" s="4">
        <v>0</v>
      </c>
      <c r="J39" s="4">
        <v>0</v>
      </c>
      <c r="K39" s="4">
        <v>0</v>
      </c>
      <c r="L39" s="4">
        <v>0</v>
      </c>
      <c r="M39" s="4">
        <v>0</v>
      </c>
      <c r="N39" s="4">
        <v>0</v>
      </c>
      <c r="O39" s="4">
        <v>0</v>
      </c>
      <c r="P39" s="4">
        <v>0</v>
      </c>
      <c r="Q39" s="4">
        <v>0</v>
      </c>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v>0</v>
      </c>
      <c r="N42" s="4">
        <v>0</v>
      </c>
      <c r="O42" s="4">
        <v>0</v>
      </c>
      <c r="P42" s="4">
        <v>0</v>
      </c>
      <c r="Q42" s="4">
        <v>0</v>
      </c>
      <c r="R42" s="4">
        <f t="shared" ref="R42:R50" si="9">SUM(E42:Q42)</f>
        <v>0</v>
      </c>
      <c r="S42" s="1">
        <v>40</v>
      </c>
    </row>
    <row r="43" spans="2:19" x14ac:dyDescent="0.25">
      <c r="C43">
        <v>551</v>
      </c>
      <c r="D43" t="s">
        <v>467</v>
      </c>
      <c r="E43" s="4">
        <v>0</v>
      </c>
      <c r="F43" s="4">
        <v>0</v>
      </c>
      <c r="G43" s="4">
        <v>0</v>
      </c>
      <c r="H43" s="4">
        <v>0</v>
      </c>
      <c r="I43" s="4">
        <v>0</v>
      </c>
      <c r="J43" s="4">
        <v>0</v>
      </c>
      <c r="K43" s="4">
        <v>0</v>
      </c>
      <c r="L43" s="4">
        <v>0</v>
      </c>
      <c r="M43" s="4">
        <v>0</v>
      </c>
      <c r="N43" s="4">
        <v>0</v>
      </c>
      <c r="O43" s="4">
        <v>0</v>
      </c>
      <c r="P43" s="4">
        <v>0</v>
      </c>
      <c r="Q43" s="4">
        <v>0</v>
      </c>
      <c r="R43" s="4">
        <f t="shared" si="9"/>
        <v>0</v>
      </c>
      <c r="S43">
        <v>41</v>
      </c>
    </row>
    <row r="44" spans="2:19" x14ac:dyDescent="0.25">
      <c r="C44">
        <v>552</v>
      </c>
      <c r="D44" t="s">
        <v>468</v>
      </c>
      <c r="E44" s="4">
        <v>0</v>
      </c>
      <c r="F44" s="4">
        <v>0</v>
      </c>
      <c r="G44" s="4">
        <v>0</v>
      </c>
      <c r="H44" s="4">
        <v>0</v>
      </c>
      <c r="I44" s="4">
        <v>0</v>
      </c>
      <c r="J44" s="4">
        <v>0</v>
      </c>
      <c r="K44" s="4">
        <v>0</v>
      </c>
      <c r="L44" s="4">
        <v>0</v>
      </c>
      <c r="M44" s="4">
        <v>0</v>
      </c>
      <c r="N44" s="4">
        <v>0</v>
      </c>
      <c r="O44" s="4">
        <v>0</v>
      </c>
      <c r="P44" s="4">
        <v>0</v>
      </c>
      <c r="Q44" s="4">
        <v>0</v>
      </c>
      <c r="R44" s="4">
        <f t="shared" si="9"/>
        <v>0</v>
      </c>
      <c r="S44">
        <v>42</v>
      </c>
    </row>
    <row r="45" spans="2:19" x14ac:dyDescent="0.25">
      <c r="C45">
        <v>553</v>
      </c>
      <c r="D45" t="s">
        <v>469</v>
      </c>
      <c r="E45" s="4">
        <v>0</v>
      </c>
      <c r="F45" s="4">
        <v>0</v>
      </c>
      <c r="G45" s="4">
        <v>0</v>
      </c>
      <c r="H45" s="4">
        <v>0</v>
      </c>
      <c r="I45" s="4">
        <v>0</v>
      </c>
      <c r="J45" s="4">
        <v>0</v>
      </c>
      <c r="K45" s="4">
        <v>0</v>
      </c>
      <c r="L45" s="4">
        <v>0</v>
      </c>
      <c r="M45" s="4">
        <v>0</v>
      </c>
      <c r="N45" s="4">
        <v>0</v>
      </c>
      <c r="O45" s="4">
        <v>0</v>
      </c>
      <c r="P45" s="4">
        <v>0</v>
      </c>
      <c r="Q45" s="4">
        <v>0</v>
      </c>
      <c r="R45" s="4">
        <f t="shared" si="9"/>
        <v>0</v>
      </c>
      <c r="S45" s="1">
        <v>43</v>
      </c>
    </row>
    <row r="46" spans="2:19" x14ac:dyDescent="0.25">
      <c r="C46">
        <v>554</v>
      </c>
      <c r="D46" t="s">
        <v>470</v>
      </c>
      <c r="E46" s="4">
        <v>0</v>
      </c>
      <c r="F46" s="4">
        <v>0</v>
      </c>
      <c r="G46" s="4">
        <v>0</v>
      </c>
      <c r="H46" s="4">
        <v>0</v>
      </c>
      <c r="I46" s="4">
        <v>0</v>
      </c>
      <c r="J46" s="4">
        <v>0</v>
      </c>
      <c r="K46" s="4">
        <v>0</v>
      </c>
      <c r="L46" s="4">
        <v>0</v>
      </c>
      <c r="M46" s="4">
        <v>0</v>
      </c>
      <c r="N46" s="4">
        <v>0</v>
      </c>
      <c r="O46" s="4">
        <v>0</v>
      </c>
      <c r="P46" s="4">
        <v>0</v>
      </c>
      <c r="Q46" s="4">
        <v>0</v>
      </c>
      <c r="R46" s="4">
        <f t="shared" si="9"/>
        <v>0</v>
      </c>
      <c r="S46">
        <v>44</v>
      </c>
    </row>
    <row r="47" spans="2:19" x14ac:dyDescent="0.25">
      <c r="C47">
        <v>555</v>
      </c>
      <c r="D47" t="s">
        <v>471</v>
      </c>
      <c r="E47" s="4">
        <v>0</v>
      </c>
      <c r="F47" s="4">
        <v>0</v>
      </c>
      <c r="G47" s="4">
        <v>0</v>
      </c>
      <c r="H47" s="4">
        <v>0</v>
      </c>
      <c r="I47" s="4">
        <v>0</v>
      </c>
      <c r="J47" s="4">
        <v>0</v>
      </c>
      <c r="K47" s="4">
        <v>0</v>
      </c>
      <c r="L47" s="4">
        <v>0</v>
      </c>
      <c r="M47" s="4">
        <v>0</v>
      </c>
      <c r="N47" s="4">
        <v>0</v>
      </c>
      <c r="O47" s="4">
        <v>0</v>
      </c>
      <c r="P47" s="4">
        <v>0</v>
      </c>
      <c r="Q47" s="4">
        <v>0</v>
      </c>
      <c r="R47" s="4">
        <f t="shared" si="9"/>
        <v>0</v>
      </c>
      <c r="S47">
        <v>45</v>
      </c>
    </row>
    <row r="48" spans="2:19" x14ac:dyDescent="0.25">
      <c r="C48">
        <v>556</v>
      </c>
      <c r="D48" t="s">
        <v>472</v>
      </c>
      <c r="E48" s="4">
        <v>0</v>
      </c>
      <c r="F48" s="4">
        <v>0</v>
      </c>
      <c r="G48" s="4">
        <v>0</v>
      </c>
      <c r="H48" s="4">
        <v>0</v>
      </c>
      <c r="I48" s="4">
        <v>0</v>
      </c>
      <c r="J48" s="4">
        <v>0</v>
      </c>
      <c r="K48" s="4">
        <v>0</v>
      </c>
      <c r="L48" s="4">
        <v>0</v>
      </c>
      <c r="M48" s="4">
        <v>0</v>
      </c>
      <c r="N48" s="4">
        <v>0</v>
      </c>
      <c r="O48" s="4">
        <v>0</v>
      </c>
      <c r="P48" s="4">
        <v>0</v>
      </c>
      <c r="Q48" s="4">
        <v>0</v>
      </c>
      <c r="R48" s="4">
        <f t="shared" si="9"/>
        <v>0</v>
      </c>
      <c r="S48" s="1">
        <v>46</v>
      </c>
    </row>
    <row r="49" spans="2:19" x14ac:dyDescent="0.25">
      <c r="C49">
        <v>557</v>
      </c>
      <c r="D49" t="s">
        <v>473</v>
      </c>
      <c r="E49" s="4">
        <v>0</v>
      </c>
      <c r="F49" s="4">
        <v>0</v>
      </c>
      <c r="G49" s="4">
        <v>0</v>
      </c>
      <c r="H49" s="4">
        <v>0</v>
      </c>
      <c r="I49" s="4">
        <v>0</v>
      </c>
      <c r="J49" s="4">
        <v>0</v>
      </c>
      <c r="K49" s="4">
        <v>0</v>
      </c>
      <c r="L49" s="4">
        <v>0</v>
      </c>
      <c r="M49" s="4">
        <v>0</v>
      </c>
      <c r="N49" s="4">
        <v>0</v>
      </c>
      <c r="O49" s="4">
        <v>0</v>
      </c>
      <c r="P49" s="4">
        <v>0</v>
      </c>
      <c r="Q49" s="4">
        <v>0</v>
      </c>
      <c r="R49" s="4">
        <f t="shared" si="9"/>
        <v>0</v>
      </c>
      <c r="S49">
        <v>47</v>
      </c>
    </row>
    <row r="50" spans="2:19" x14ac:dyDescent="0.25">
      <c r="C50">
        <v>558</v>
      </c>
      <c r="D50" t="s">
        <v>474</v>
      </c>
      <c r="E50" s="4">
        <v>0</v>
      </c>
      <c r="F50" s="4">
        <v>0</v>
      </c>
      <c r="G50" s="4">
        <v>0</v>
      </c>
      <c r="H50" s="4">
        <v>0</v>
      </c>
      <c r="I50" s="4">
        <v>0</v>
      </c>
      <c r="J50" s="4">
        <v>0</v>
      </c>
      <c r="K50" s="4">
        <v>0</v>
      </c>
      <c r="L50" s="4">
        <v>0</v>
      </c>
      <c r="M50" s="4">
        <v>0</v>
      </c>
      <c r="N50" s="4">
        <v>0</v>
      </c>
      <c r="O50" s="4">
        <v>0</v>
      </c>
      <c r="P50" s="4">
        <v>0</v>
      </c>
      <c r="Q50" s="4">
        <v>0</v>
      </c>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v>0</v>
      </c>
      <c r="N53" s="4">
        <v>0</v>
      </c>
      <c r="O53" s="4">
        <v>0</v>
      </c>
      <c r="P53" s="4">
        <v>0</v>
      </c>
      <c r="Q53" s="4">
        <v>0</v>
      </c>
      <c r="R53" s="4">
        <f t="shared" ref="R53:R61" si="11">SUM(E53:Q53)</f>
        <v>0</v>
      </c>
      <c r="S53">
        <v>51</v>
      </c>
    </row>
    <row r="54" spans="2:19" x14ac:dyDescent="0.25">
      <c r="C54">
        <v>561</v>
      </c>
      <c r="D54" t="s">
        <v>467</v>
      </c>
      <c r="E54" s="4">
        <v>0</v>
      </c>
      <c r="F54" s="4">
        <v>0</v>
      </c>
      <c r="G54" s="4">
        <v>0</v>
      </c>
      <c r="H54" s="4">
        <v>0</v>
      </c>
      <c r="I54" s="4">
        <v>0</v>
      </c>
      <c r="J54" s="4">
        <v>0</v>
      </c>
      <c r="K54" s="4">
        <v>0</v>
      </c>
      <c r="L54" s="4">
        <v>0</v>
      </c>
      <c r="M54" s="4">
        <v>0</v>
      </c>
      <c r="N54" s="4">
        <v>0</v>
      </c>
      <c r="O54" s="4">
        <v>0</v>
      </c>
      <c r="P54" s="4">
        <v>0</v>
      </c>
      <c r="Q54" s="4">
        <v>0</v>
      </c>
      <c r="R54" s="4">
        <f t="shared" si="11"/>
        <v>0</v>
      </c>
      <c r="S54" s="1">
        <v>52</v>
      </c>
    </row>
    <row r="55" spans="2:19" x14ac:dyDescent="0.25">
      <c r="C55">
        <v>562</v>
      </c>
      <c r="D55" t="s">
        <v>468</v>
      </c>
      <c r="E55" s="4">
        <v>0</v>
      </c>
      <c r="F55" s="4">
        <v>0</v>
      </c>
      <c r="G55" s="4">
        <v>0</v>
      </c>
      <c r="H55" s="4">
        <v>0</v>
      </c>
      <c r="I55" s="4">
        <v>0</v>
      </c>
      <c r="J55" s="4">
        <v>0</v>
      </c>
      <c r="K55" s="4">
        <v>0</v>
      </c>
      <c r="L55" s="4">
        <v>0</v>
      </c>
      <c r="M55" s="4">
        <v>0</v>
      </c>
      <c r="N55" s="4">
        <v>0</v>
      </c>
      <c r="O55" s="4">
        <v>0</v>
      </c>
      <c r="P55" s="4">
        <v>0</v>
      </c>
      <c r="Q55" s="4">
        <v>0</v>
      </c>
      <c r="R55" s="4">
        <f t="shared" si="11"/>
        <v>0</v>
      </c>
      <c r="S55">
        <v>53</v>
      </c>
    </row>
    <row r="56" spans="2:19" x14ac:dyDescent="0.25">
      <c r="C56">
        <v>563</v>
      </c>
      <c r="D56" t="s">
        <v>469</v>
      </c>
      <c r="E56" s="4">
        <v>0</v>
      </c>
      <c r="F56" s="4">
        <v>0</v>
      </c>
      <c r="G56" s="4">
        <v>0</v>
      </c>
      <c r="H56" s="4">
        <v>0</v>
      </c>
      <c r="I56" s="4">
        <v>0</v>
      </c>
      <c r="J56" s="4">
        <v>0</v>
      </c>
      <c r="K56" s="4">
        <v>0</v>
      </c>
      <c r="L56" s="4">
        <v>0</v>
      </c>
      <c r="M56" s="4">
        <v>0</v>
      </c>
      <c r="N56" s="4">
        <v>0</v>
      </c>
      <c r="O56" s="4">
        <v>0</v>
      </c>
      <c r="P56" s="4">
        <v>0</v>
      </c>
      <c r="Q56" s="4">
        <v>0</v>
      </c>
      <c r="R56" s="4">
        <f t="shared" si="11"/>
        <v>0</v>
      </c>
      <c r="S56">
        <v>54</v>
      </c>
    </row>
    <row r="57" spans="2:19" x14ac:dyDescent="0.25">
      <c r="C57">
        <v>564</v>
      </c>
      <c r="D57" t="s">
        <v>470</v>
      </c>
      <c r="E57" s="4">
        <v>0</v>
      </c>
      <c r="F57" s="4">
        <v>0</v>
      </c>
      <c r="G57" s="4">
        <v>0</v>
      </c>
      <c r="H57" s="4">
        <v>0</v>
      </c>
      <c r="I57" s="4">
        <v>0</v>
      </c>
      <c r="J57" s="4">
        <v>0</v>
      </c>
      <c r="K57" s="4">
        <v>0</v>
      </c>
      <c r="L57" s="4">
        <v>0</v>
      </c>
      <c r="M57" s="4">
        <v>0</v>
      </c>
      <c r="N57" s="4">
        <v>0</v>
      </c>
      <c r="O57" s="4">
        <v>0</v>
      </c>
      <c r="P57" s="4">
        <v>0</v>
      </c>
      <c r="Q57" s="4">
        <v>0</v>
      </c>
      <c r="R57" s="4">
        <f t="shared" si="11"/>
        <v>0</v>
      </c>
      <c r="S57" s="1">
        <v>55</v>
      </c>
    </row>
    <row r="58" spans="2:19" x14ac:dyDescent="0.25">
      <c r="C58">
        <v>565</v>
      </c>
      <c r="D58" t="s">
        <v>471</v>
      </c>
      <c r="E58" s="4">
        <v>0</v>
      </c>
      <c r="F58" s="4">
        <v>0</v>
      </c>
      <c r="G58" s="4">
        <v>0</v>
      </c>
      <c r="H58" s="4">
        <v>0</v>
      </c>
      <c r="I58" s="4">
        <v>0</v>
      </c>
      <c r="J58" s="4">
        <v>0</v>
      </c>
      <c r="K58" s="4">
        <v>0</v>
      </c>
      <c r="L58" s="4">
        <v>0</v>
      </c>
      <c r="M58" s="4">
        <v>0</v>
      </c>
      <c r="N58" s="4">
        <v>0</v>
      </c>
      <c r="O58" s="4">
        <v>0</v>
      </c>
      <c r="P58" s="4">
        <v>0</v>
      </c>
      <c r="Q58" s="4">
        <v>0</v>
      </c>
      <c r="R58" s="4">
        <f t="shared" si="11"/>
        <v>0</v>
      </c>
      <c r="S58">
        <v>56</v>
      </c>
    </row>
    <row r="59" spans="2:19" x14ac:dyDescent="0.25">
      <c r="C59">
        <v>566</v>
      </c>
      <c r="D59" t="s">
        <v>472</v>
      </c>
      <c r="E59" s="4">
        <v>0</v>
      </c>
      <c r="F59" s="4">
        <v>0</v>
      </c>
      <c r="G59" s="4">
        <v>0</v>
      </c>
      <c r="H59" s="4">
        <v>0</v>
      </c>
      <c r="I59" s="4">
        <v>0</v>
      </c>
      <c r="J59" s="4">
        <v>0</v>
      </c>
      <c r="K59" s="4">
        <v>0</v>
      </c>
      <c r="L59" s="4">
        <v>0</v>
      </c>
      <c r="M59" s="4">
        <v>0</v>
      </c>
      <c r="N59" s="4">
        <v>0</v>
      </c>
      <c r="O59" s="4">
        <v>0</v>
      </c>
      <c r="P59" s="4">
        <v>0</v>
      </c>
      <c r="Q59" s="4">
        <v>0</v>
      </c>
      <c r="R59" s="4">
        <f t="shared" si="11"/>
        <v>0</v>
      </c>
      <c r="S59">
        <v>57</v>
      </c>
    </row>
    <row r="60" spans="2:19" x14ac:dyDescent="0.25">
      <c r="C60">
        <v>567</v>
      </c>
      <c r="D60" t="s">
        <v>473</v>
      </c>
      <c r="E60" s="4">
        <v>0</v>
      </c>
      <c r="F60" s="4">
        <v>0</v>
      </c>
      <c r="G60" s="4">
        <v>0</v>
      </c>
      <c r="H60" s="4">
        <v>0</v>
      </c>
      <c r="I60" s="4">
        <v>0</v>
      </c>
      <c r="J60" s="4">
        <v>0</v>
      </c>
      <c r="K60" s="4">
        <v>0</v>
      </c>
      <c r="L60" s="4">
        <v>0</v>
      </c>
      <c r="M60" s="4">
        <v>0</v>
      </c>
      <c r="N60" s="4">
        <v>0</v>
      </c>
      <c r="O60" s="4">
        <v>0</v>
      </c>
      <c r="P60" s="4">
        <v>0</v>
      </c>
      <c r="Q60" s="4">
        <v>0</v>
      </c>
      <c r="R60" s="4">
        <f t="shared" si="11"/>
        <v>0</v>
      </c>
      <c r="S60" s="1">
        <v>58</v>
      </c>
    </row>
    <row r="61" spans="2:19" x14ac:dyDescent="0.25">
      <c r="C61">
        <v>568</v>
      </c>
      <c r="D61" t="s">
        <v>474</v>
      </c>
      <c r="E61" s="4">
        <v>0</v>
      </c>
      <c r="F61" s="4">
        <v>0</v>
      </c>
      <c r="G61" s="4">
        <v>0</v>
      </c>
      <c r="H61" s="4">
        <v>0</v>
      </c>
      <c r="I61" s="4">
        <v>0</v>
      </c>
      <c r="J61" s="4">
        <v>0</v>
      </c>
      <c r="K61" s="4">
        <v>0</v>
      </c>
      <c r="L61" s="4">
        <v>0</v>
      </c>
      <c r="M61" s="4">
        <v>0</v>
      </c>
      <c r="N61" s="4">
        <v>0</v>
      </c>
      <c r="O61" s="4">
        <v>0</v>
      </c>
      <c r="P61" s="4">
        <v>0</v>
      </c>
      <c r="Q61" s="4">
        <v>0</v>
      </c>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v>0</v>
      </c>
      <c r="N64" s="4">
        <v>0</v>
      </c>
      <c r="O64" s="4">
        <v>0</v>
      </c>
      <c r="P64" s="4">
        <v>0</v>
      </c>
      <c r="Q64" s="4">
        <v>0</v>
      </c>
      <c r="R64" s="4">
        <f t="shared" ref="R64:R72" si="13">SUM(E64:Q64)</f>
        <v>0</v>
      </c>
      <c r="S64">
        <v>62</v>
      </c>
    </row>
    <row r="65" spans="2:19" x14ac:dyDescent="0.25">
      <c r="C65">
        <v>571</v>
      </c>
      <c r="D65" t="s">
        <v>467</v>
      </c>
      <c r="E65" s="4">
        <v>0</v>
      </c>
      <c r="F65" s="4">
        <v>0</v>
      </c>
      <c r="G65" s="4">
        <v>0</v>
      </c>
      <c r="H65" s="4">
        <v>0</v>
      </c>
      <c r="I65" s="4">
        <v>0</v>
      </c>
      <c r="J65" s="4">
        <v>0</v>
      </c>
      <c r="K65" s="4">
        <v>0</v>
      </c>
      <c r="L65" s="4">
        <v>0</v>
      </c>
      <c r="M65" s="4">
        <v>0</v>
      </c>
      <c r="N65" s="4">
        <v>0</v>
      </c>
      <c r="O65" s="4">
        <v>0</v>
      </c>
      <c r="P65" s="4">
        <v>0</v>
      </c>
      <c r="Q65" s="4">
        <v>0</v>
      </c>
      <c r="R65" s="4">
        <f t="shared" si="13"/>
        <v>0</v>
      </c>
      <c r="S65">
        <v>63</v>
      </c>
    </row>
    <row r="66" spans="2:19" x14ac:dyDescent="0.25">
      <c r="C66">
        <v>572</v>
      </c>
      <c r="D66" t="s">
        <v>468</v>
      </c>
      <c r="E66" s="4">
        <v>0</v>
      </c>
      <c r="F66" s="4">
        <v>0</v>
      </c>
      <c r="G66" s="4">
        <v>0</v>
      </c>
      <c r="H66" s="4">
        <v>0</v>
      </c>
      <c r="I66" s="4">
        <v>0</v>
      </c>
      <c r="J66" s="4">
        <v>0</v>
      </c>
      <c r="K66" s="4">
        <v>0</v>
      </c>
      <c r="L66" s="4">
        <v>0</v>
      </c>
      <c r="M66" s="4">
        <v>0</v>
      </c>
      <c r="N66" s="4">
        <v>0</v>
      </c>
      <c r="O66" s="4">
        <v>0</v>
      </c>
      <c r="P66" s="4">
        <v>0</v>
      </c>
      <c r="Q66" s="4">
        <v>0</v>
      </c>
      <c r="R66" s="4">
        <f t="shared" si="13"/>
        <v>0</v>
      </c>
      <c r="S66" s="1">
        <v>64</v>
      </c>
    </row>
    <row r="67" spans="2:19" x14ac:dyDescent="0.25">
      <c r="C67">
        <v>573</v>
      </c>
      <c r="D67" t="s">
        <v>469</v>
      </c>
      <c r="E67" s="4">
        <v>0</v>
      </c>
      <c r="F67" s="4">
        <v>0</v>
      </c>
      <c r="G67" s="4">
        <v>0</v>
      </c>
      <c r="H67" s="4">
        <v>0</v>
      </c>
      <c r="I67" s="4">
        <v>0</v>
      </c>
      <c r="J67" s="4">
        <v>0</v>
      </c>
      <c r="K67" s="4">
        <v>0</v>
      </c>
      <c r="L67" s="4">
        <v>0</v>
      </c>
      <c r="M67" s="4">
        <v>0</v>
      </c>
      <c r="N67" s="4">
        <v>0</v>
      </c>
      <c r="O67" s="4">
        <v>0</v>
      </c>
      <c r="P67" s="4">
        <v>0</v>
      </c>
      <c r="Q67" s="4">
        <v>0</v>
      </c>
      <c r="R67" s="4">
        <f t="shared" si="13"/>
        <v>0</v>
      </c>
      <c r="S67">
        <v>65</v>
      </c>
    </row>
    <row r="68" spans="2:19" x14ac:dyDescent="0.25">
      <c r="C68">
        <v>574</v>
      </c>
      <c r="D68" t="s">
        <v>470</v>
      </c>
      <c r="E68" s="4">
        <v>0</v>
      </c>
      <c r="F68" s="4">
        <v>0</v>
      </c>
      <c r="G68" s="4">
        <v>0</v>
      </c>
      <c r="H68" s="4">
        <v>0</v>
      </c>
      <c r="I68" s="4">
        <v>0</v>
      </c>
      <c r="J68" s="4">
        <v>0</v>
      </c>
      <c r="K68" s="4">
        <v>0</v>
      </c>
      <c r="L68" s="4">
        <v>0</v>
      </c>
      <c r="M68" s="4">
        <v>0</v>
      </c>
      <c r="N68" s="4">
        <v>0</v>
      </c>
      <c r="O68" s="4">
        <v>0</v>
      </c>
      <c r="P68" s="4">
        <v>0</v>
      </c>
      <c r="Q68" s="4">
        <v>0</v>
      </c>
      <c r="R68" s="4">
        <f t="shared" si="13"/>
        <v>0</v>
      </c>
      <c r="S68">
        <v>66</v>
      </c>
    </row>
    <row r="69" spans="2:19" x14ac:dyDescent="0.25">
      <c r="C69">
        <v>575</v>
      </c>
      <c r="D69" t="s">
        <v>471</v>
      </c>
      <c r="E69" s="4">
        <v>0</v>
      </c>
      <c r="F69" s="4">
        <v>0</v>
      </c>
      <c r="G69" s="4">
        <v>0</v>
      </c>
      <c r="H69" s="4">
        <v>0</v>
      </c>
      <c r="I69" s="4">
        <v>0</v>
      </c>
      <c r="J69" s="4">
        <v>0</v>
      </c>
      <c r="K69" s="4">
        <v>0</v>
      </c>
      <c r="L69" s="4">
        <v>0</v>
      </c>
      <c r="M69" s="4">
        <v>0</v>
      </c>
      <c r="N69" s="4">
        <v>0</v>
      </c>
      <c r="O69" s="4">
        <v>0</v>
      </c>
      <c r="P69" s="4">
        <v>0</v>
      </c>
      <c r="Q69" s="4">
        <v>0</v>
      </c>
      <c r="R69" s="4">
        <f t="shared" si="13"/>
        <v>0</v>
      </c>
      <c r="S69" s="1">
        <v>67</v>
      </c>
    </row>
    <row r="70" spans="2:19" x14ac:dyDescent="0.25">
      <c r="C70">
        <v>576</v>
      </c>
      <c r="D70" t="s">
        <v>472</v>
      </c>
      <c r="E70" s="4">
        <v>0</v>
      </c>
      <c r="F70" s="4">
        <v>0</v>
      </c>
      <c r="G70" s="4">
        <v>0</v>
      </c>
      <c r="H70" s="4">
        <v>0</v>
      </c>
      <c r="I70" s="4">
        <v>0</v>
      </c>
      <c r="J70" s="4">
        <v>0</v>
      </c>
      <c r="K70" s="4">
        <v>0</v>
      </c>
      <c r="L70" s="4">
        <v>0</v>
      </c>
      <c r="M70" s="4">
        <v>0</v>
      </c>
      <c r="N70" s="4">
        <v>0</v>
      </c>
      <c r="O70" s="4">
        <v>0</v>
      </c>
      <c r="P70" s="4">
        <v>0</v>
      </c>
      <c r="Q70" s="4">
        <v>0</v>
      </c>
      <c r="R70" s="4">
        <f t="shared" si="13"/>
        <v>0</v>
      </c>
      <c r="S70">
        <v>68</v>
      </c>
    </row>
    <row r="71" spans="2:19" x14ac:dyDescent="0.25">
      <c r="C71">
        <v>577</v>
      </c>
      <c r="D71" t="s">
        <v>473</v>
      </c>
      <c r="E71" s="4">
        <v>0</v>
      </c>
      <c r="F71" s="4">
        <v>0</v>
      </c>
      <c r="G71" s="4">
        <v>0</v>
      </c>
      <c r="H71" s="4">
        <v>0</v>
      </c>
      <c r="I71" s="4">
        <v>0</v>
      </c>
      <c r="J71" s="4">
        <v>0</v>
      </c>
      <c r="K71" s="4">
        <v>0</v>
      </c>
      <c r="L71" s="4">
        <v>0</v>
      </c>
      <c r="M71" s="4">
        <v>0</v>
      </c>
      <c r="N71" s="4">
        <v>0</v>
      </c>
      <c r="O71" s="4">
        <v>0</v>
      </c>
      <c r="P71" s="4">
        <v>0</v>
      </c>
      <c r="Q71" s="4">
        <v>0</v>
      </c>
      <c r="R71" s="4">
        <f t="shared" si="13"/>
        <v>0</v>
      </c>
      <c r="S71">
        <v>69</v>
      </c>
    </row>
    <row r="72" spans="2:19" x14ac:dyDescent="0.25">
      <c r="C72">
        <v>578</v>
      </c>
      <c r="D72" t="s">
        <v>474</v>
      </c>
      <c r="E72" s="4">
        <v>0</v>
      </c>
      <c r="F72" s="4">
        <v>0</v>
      </c>
      <c r="G72" s="4">
        <v>0</v>
      </c>
      <c r="H72" s="4">
        <v>0</v>
      </c>
      <c r="I72" s="4">
        <v>0</v>
      </c>
      <c r="J72" s="4">
        <v>0</v>
      </c>
      <c r="K72" s="4">
        <v>0</v>
      </c>
      <c r="L72" s="4">
        <v>0</v>
      </c>
      <c r="M72" s="4">
        <v>0</v>
      </c>
      <c r="N72" s="4">
        <v>0</v>
      </c>
      <c r="O72" s="4">
        <v>0</v>
      </c>
      <c r="P72" s="4">
        <v>0</v>
      </c>
      <c r="Q72" s="4">
        <v>0</v>
      </c>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v>0</v>
      </c>
      <c r="N75" s="4">
        <v>0</v>
      </c>
      <c r="O75" s="4">
        <v>0</v>
      </c>
      <c r="P75" s="4">
        <v>0</v>
      </c>
      <c r="Q75" s="4">
        <v>0</v>
      </c>
      <c r="R75" s="4">
        <f t="shared" ref="R75:R80" si="15">SUM(E75:Q75)</f>
        <v>0</v>
      </c>
      <c r="S75" s="1">
        <v>73</v>
      </c>
    </row>
    <row r="76" spans="2:19" x14ac:dyDescent="0.25">
      <c r="C76">
        <v>582</v>
      </c>
      <c r="D76" t="s">
        <v>464</v>
      </c>
      <c r="E76" s="4">
        <v>0</v>
      </c>
      <c r="F76" s="4">
        <v>0</v>
      </c>
      <c r="G76" s="4">
        <v>0</v>
      </c>
      <c r="H76" s="4">
        <v>0</v>
      </c>
      <c r="I76" s="4">
        <v>0</v>
      </c>
      <c r="J76" s="4">
        <v>0</v>
      </c>
      <c r="K76" s="4">
        <v>0</v>
      </c>
      <c r="L76" s="4">
        <v>0</v>
      </c>
      <c r="M76" s="4">
        <v>0</v>
      </c>
      <c r="N76" s="4">
        <v>0</v>
      </c>
      <c r="O76" s="4">
        <v>0</v>
      </c>
      <c r="P76" s="4">
        <v>0</v>
      </c>
      <c r="Q76" s="4">
        <v>0</v>
      </c>
      <c r="R76" s="4">
        <f t="shared" si="15"/>
        <v>0</v>
      </c>
      <c r="S76">
        <v>74</v>
      </c>
    </row>
    <row r="77" spans="2:19" x14ac:dyDescent="0.25">
      <c r="C77">
        <v>584</v>
      </c>
      <c r="D77" t="s">
        <v>250</v>
      </c>
      <c r="E77" s="4">
        <v>0</v>
      </c>
      <c r="F77" s="4">
        <v>0</v>
      </c>
      <c r="G77" s="4">
        <v>0</v>
      </c>
      <c r="H77" s="4">
        <v>0</v>
      </c>
      <c r="I77" s="4">
        <v>0</v>
      </c>
      <c r="J77" s="4">
        <v>0</v>
      </c>
      <c r="K77" s="4">
        <v>0</v>
      </c>
      <c r="L77" s="4">
        <v>0</v>
      </c>
      <c r="M77" s="4">
        <v>0</v>
      </c>
      <c r="N77" s="4">
        <v>0</v>
      </c>
      <c r="O77" s="4">
        <v>0</v>
      </c>
      <c r="P77" s="4">
        <v>0</v>
      </c>
      <c r="Q77" s="4">
        <v>0</v>
      </c>
      <c r="R77" s="4">
        <f t="shared" si="15"/>
        <v>0</v>
      </c>
      <c r="S77">
        <v>75</v>
      </c>
    </row>
    <row r="78" spans="2:19" x14ac:dyDescent="0.25">
      <c r="C78">
        <v>585</v>
      </c>
      <c r="D78" t="s">
        <v>379</v>
      </c>
      <c r="E78" s="4">
        <v>0</v>
      </c>
      <c r="F78" s="4">
        <v>0</v>
      </c>
      <c r="G78" s="4">
        <v>0</v>
      </c>
      <c r="H78" s="4">
        <v>0</v>
      </c>
      <c r="I78" s="4">
        <v>0</v>
      </c>
      <c r="J78" s="4">
        <v>0</v>
      </c>
      <c r="K78" s="4">
        <v>0</v>
      </c>
      <c r="L78" s="4">
        <v>0</v>
      </c>
      <c r="M78" s="4">
        <v>0</v>
      </c>
      <c r="N78" s="4">
        <v>0</v>
      </c>
      <c r="O78" s="4">
        <v>0</v>
      </c>
      <c r="P78" s="4">
        <v>0</v>
      </c>
      <c r="Q78" s="4">
        <v>0</v>
      </c>
      <c r="R78" s="4">
        <f t="shared" si="15"/>
        <v>0</v>
      </c>
      <c r="S78" s="1">
        <v>76</v>
      </c>
    </row>
    <row r="79" spans="2:19" x14ac:dyDescent="0.25">
      <c r="C79">
        <v>586</v>
      </c>
      <c r="D79" t="s">
        <v>478</v>
      </c>
      <c r="E79" s="4">
        <v>0</v>
      </c>
      <c r="F79" s="4">
        <v>0</v>
      </c>
      <c r="G79" s="4">
        <v>0</v>
      </c>
      <c r="H79" s="4">
        <v>0</v>
      </c>
      <c r="I79" s="4">
        <v>0</v>
      </c>
      <c r="J79" s="4">
        <v>0</v>
      </c>
      <c r="K79" s="4">
        <v>0</v>
      </c>
      <c r="L79" s="4">
        <v>0</v>
      </c>
      <c r="M79" s="4">
        <v>0</v>
      </c>
      <c r="N79" s="4">
        <v>0</v>
      </c>
      <c r="O79" s="4">
        <v>0</v>
      </c>
      <c r="P79" s="4">
        <v>0</v>
      </c>
      <c r="Q79" s="4">
        <v>0</v>
      </c>
      <c r="R79" s="4">
        <f t="shared" si="15"/>
        <v>0</v>
      </c>
      <c r="S79">
        <v>77</v>
      </c>
    </row>
    <row r="80" spans="2:19" x14ac:dyDescent="0.25">
      <c r="C80">
        <v>589</v>
      </c>
      <c r="D80" t="s">
        <v>479</v>
      </c>
      <c r="E80" s="4">
        <v>0</v>
      </c>
      <c r="F80" s="4">
        <v>0</v>
      </c>
      <c r="G80" s="4">
        <v>0</v>
      </c>
      <c r="H80" s="4">
        <v>0</v>
      </c>
      <c r="I80" s="4">
        <v>0</v>
      </c>
      <c r="J80" s="4">
        <v>0</v>
      </c>
      <c r="K80" s="4">
        <v>0</v>
      </c>
      <c r="L80" s="4">
        <v>0</v>
      </c>
      <c r="M80" s="4">
        <v>0</v>
      </c>
      <c r="N80" s="4">
        <v>0</v>
      </c>
      <c r="O80" s="4">
        <v>0</v>
      </c>
      <c r="P80" s="4">
        <v>0</v>
      </c>
      <c r="Q80" s="4">
        <v>0</v>
      </c>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v>0</v>
      </c>
      <c r="N83" s="4">
        <v>0</v>
      </c>
      <c r="O83" s="4">
        <v>0</v>
      </c>
      <c r="P83" s="4">
        <v>0</v>
      </c>
      <c r="Q83" s="4">
        <v>0</v>
      </c>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v>0</v>
      </c>
      <c r="N89" s="4">
        <v>0</v>
      </c>
      <c r="O89" s="4">
        <v>0</v>
      </c>
      <c r="P89" s="4">
        <v>0</v>
      </c>
      <c r="Q89" s="4">
        <v>0</v>
      </c>
      <c r="R89" s="4">
        <f t="shared" ref="R89:R96" si="19">SUM(E89:Q89)</f>
        <v>0</v>
      </c>
      <c r="S89">
        <v>87</v>
      </c>
    </row>
    <row r="90" spans="1:19" x14ac:dyDescent="0.25">
      <c r="C90">
        <v>601</v>
      </c>
      <c r="D90" t="s">
        <v>457</v>
      </c>
      <c r="E90" s="4">
        <v>0</v>
      </c>
      <c r="F90" s="4">
        <v>0</v>
      </c>
      <c r="G90" s="4">
        <v>0</v>
      </c>
      <c r="H90" s="4">
        <v>0</v>
      </c>
      <c r="I90" s="4">
        <v>0</v>
      </c>
      <c r="J90" s="4">
        <v>0</v>
      </c>
      <c r="K90" s="4">
        <v>0</v>
      </c>
      <c r="L90" s="4">
        <v>0</v>
      </c>
      <c r="M90" s="4">
        <v>0</v>
      </c>
      <c r="N90" s="4">
        <v>0</v>
      </c>
      <c r="O90" s="4">
        <v>0</v>
      </c>
      <c r="P90" s="4">
        <v>0</v>
      </c>
      <c r="Q90" s="4">
        <v>0</v>
      </c>
      <c r="R90" s="4">
        <f t="shared" si="19"/>
        <v>0</v>
      </c>
      <c r="S90" s="1">
        <v>88</v>
      </c>
    </row>
    <row r="91" spans="1:19" x14ac:dyDescent="0.25">
      <c r="C91">
        <v>602</v>
      </c>
      <c r="D91" t="s">
        <v>458</v>
      </c>
      <c r="E91" s="4">
        <v>0</v>
      </c>
      <c r="F91" s="4">
        <v>0</v>
      </c>
      <c r="G91" s="4">
        <v>0</v>
      </c>
      <c r="H91" s="4">
        <v>0</v>
      </c>
      <c r="I91" s="4">
        <v>0</v>
      </c>
      <c r="J91" s="4">
        <v>0</v>
      </c>
      <c r="K91" s="4">
        <v>0</v>
      </c>
      <c r="L91" s="4">
        <v>0</v>
      </c>
      <c r="M91" s="4">
        <v>0</v>
      </c>
      <c r="N91" s="4">
        <v>0</v>
      </c>
      <c r="O91" s="4">
        <v>0</v>
      </c>
      <c r="P91" s="4">
        <v>0</v>
      </c>
      <c r="Q91" s="4">
        <v>0</v>
      </c>
      <c r="R91" s="4">
        <f t="shared" si="19"/>
        <v>0</v>
      </c>
      <c r="S91">
        <v>89</v>
      </c>
    </row>
    <row r="92" spans="1:19" x14ac:dyDescent="0.25">
      <c r="C92">
        <v>603</v>
      </c>
      <c r="D92" t="s">
        <v>459</v>
      </c>
      <c r="E92" s="4">
        <v>0</v>
      </c>
      <c r="F92" s="4">
        <v>0</v>
      </c>
      <c r="G92" s="4">
        <v>0</v>
      </c>
      <c r="H92" s="4">
        <v>0</v>
      </c>
      <c r="I92" s="4">
        <v>0</v>
      </c>
      <c r="J92" s="4">
        <v>0</v>
      </c>
      <c r="K92" s="4">
        <v>0</v>
      </c>
      <c r="L92" s="4">
        <v>0</v>
      </c>
      <c r="M92" s="4">
        <v>0</v>
      </c>
      <c r="N92" s="4">
        <v>0</v>
      </c>
      <c r="O92" s="4">
        <v>0</v>
      </c>
      <c r="P92" s="4">
        <v>0</v>
      </c>
      <c r="Q92" s="4">
        <v>0</v>
      </c>
      <c r="R92" s="4">
        <f t="shared" si="19"/>
        <v>0</v>
      </c>
      <c r="S92">
        <v>90</v>
      </c>
    </row>
    <row r="93" spans="1:19" x14ac:dyDescent="0.25">
      <c r="C93">
        <v>604</v>
      </c>
      <c r="D93" t="s">
        <v>460</v>
      </c>
      <c r="E93" s="4">
        <v>0</v>
      </c>
      <c r="F93" s="4">
        <v>0</v>
      </c>
      <c r="G93" s="4">
        <v>0</v>
      </c>
      <c r="H93" s="4">
        <v>0</v>
      </c>
      <c r="I93" s="4">
        <v>0</v>
      </c>
      <c r="J93" s="4">
        <v>0</v>
      </c>
      <c r="K93" s="4">
        <v>0</v>
      </c>
      <c r="L93" s="4">
        <v>0</v>
      </c>
      <c r="M93" s="4">
        <v>0</v>
      </c>
      <c r="N93" s="4">
        <v>0</v>
      </c>
      <c r="O93" s="4">
        <v>0</v>
      </c>
      <c r="P93" s="4">
        <v>0</v>
      </c>
      <c r="Q93" s="4">
        <v>0</v>
      </c>
      <c r="R93" s="4">
        <f t="shared" si="19"/>
        <v>0</v>
      </c>
      <c r="S93" s="1">
        <v>91</v>
      </c>
    </row>
    <row r="94" spans="1:19" x14ac:dyDescent="0.25">
      <c r="C94">
        <v>605</v>
      </c>
      <c r="D94" t="s">
        <v>461</v>
      </c>
      <c r="E94" s="4">
        <v>0</v>
      </c>
      <c r="F94" s="4">
        <v>0</v>
      </c>
      <c r="G94" s="4">
        <v>0</v>
      </c>
      <c r="H94" s="4">
        <v>0</v>
      </c>
      <c r="I94" s="4">
        <v>0</v>
      </c>
      <c r="J94" s="4">
        <v>0</v>
      </c>
      <c r="K94" s="4">
        <v>0</v>
      </c>
      <c r="L94" s="4">
        <v>0</v>
      </c>
      <c r="M94" s="4">
        <v>0</v>
      </c>
      <c r="N94" s="4">
        <v>0</v>
      </c>
      <c r="O94" s="4">
        <v>0</v>
      </c>
      <c r="P94" s="4">
        <v>0</v>
      </c>
      <c r="Q94" s="4">
        <v>0</v>
      </c>
      <c r="R94" s="4">
        <f t="shared" si="19"/>
        <v>0</v>
      </c>
      <c r="S94">
        <v>92</v>
      </c>
    </row>
    <row r="95" spans="1:19" x14ac:dyDescent="0.25">
      <c r="C95">
        <v>606</v>
      </c>
      <c r="D95" t="s">
        <v>462</v>
      </c>
      <c r="E95" s="4">
        <v>0</v>
      </c>
      <c r="F95" s="4">
        <v>0</v>
      </c>
      <c r="G95" s="4">
        <v>0</v>
      </c>
      <c r="H95" s="4">
        <v>0</v>
      </c>
      <c r="I95" s="4">
        <v>0</v>
      </c>
      <c r="J95" s="4">
        <v>0</v>
      </c>
      <c r="K95" s="4">
        <v>0</v>
      </c>
      <c r="L95" s="4">
        <v>0</v>
      </c>
      <c r="M95" s="4">
        <v>0</v>
      </c>
      <c r="N95" s="4">
        <v>0</v>
      </c>
      <c r="O95" s="4">
        <v>0</v>
      </c>
      <c r="P95" s="4">
        <v>0</v>
      </c>
      <c r="Q95" s="4">
        <v>0</v>
      </c>
      <c r="R95" s="4">
        <f t="shared" si="19"/>
        <v>0</v>
      </c>
      <c r="S95">
        <v>93</v>
      </c>
    </row>
    <row r="96" spans="1:19" x14ac:dyDescent="0.25">
      <c r="C96">
        <v>609</v>
      </c>
      <c r="D96" t="s">
        <v>463</v>
      </c>
      <c r="E96" s="4">
        <v>0</v>
      </c>
      <c r="F96" s="4">
        <v>0</v>
      </c>
      <c r="G96" s="4">
        <v>0</v>
      </c>
      <c r="H96" s="4">
        <v>0</v>
      </c>
      <c r="I96" s="4">
        <v>0</v>
      </c>
      <c r="J96" s="4">
        <v>0</v>
      </c>
      <c r="K96" s="4">
        <v>0</v>
      </c>
      <c r="L96" s="4">
        <v>0</v>
      </c>
      <c r="M96" s="4">
        <v>0</v>
      </c>
      <c r="N96" s="4">
        <v>0</v>
      </c>
      <c r="O96" s="4">
        <v>0</v>
      </c>
      <c r="P96" s="4">
        <v>0</v>
      </c>
      <c r="Q96" s="4">
        <v>0</v>
      </c>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v>0</v>
      </c>
      <c r="N99" s="4">
        <v>0</v>
      </c>
      <c r="O99" s="4">
        <v>0</v>
      </c>
      <c r="P99" s="4">
        <v>0</v>
      </c>
      <c r="Q99" s="4">
        <v>0</v>
      </c>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v>0</v>
      </c>
      <c r="N100" s="4">
        <v>0</v>
      </c>
      <c r="O100" s="4">
        <v>0</v>
      </c>
      <c r="P100" s="4">
        <v>0</v>
      </c>
      <c r="Q100" s="4">
        <v>0</v>
      </c>
      <c r="R100" s="4">
        <f t="shared" si="21"/>
        <v>0</v>
      </c>
      <c r="S100">
        <v>98</v>
      </c>
    </row>
    <row r="101" spans="2:19" x14ac:dyDescent="0.25">
      <c r="C101">
        <v>612</v>
      </c>
      <c r="D101" t="s">
        <v>458</v>
      </c>
      <c r="E101" s="4">
        <v>0</v>
      </c>
      <c r="F101" s="4">
        <v>0</v>
      </c>
      <c r="G101" s="4">
        <v>0</v>
      </c>
      <c r="H101" s="4">
        <v>0</v>
      </c>
      <c r="I101" s="4">
        <v>0</v>
      </c>
      <c r="J101" s="4">
        <v>0</v>
      </c>
      <c r="K101" s="4">
        <v>0</v>
      </c>
      <c r="L101" s="4">
        <v>0</v>
      </c>
      <c r="M101" s="4">
        <v>0</v>
      </c>
      <c r="N101" s="4">
        <v>0</v>
      </c>
      <c r="O101" s="4">
        <v>0</v>
      </c>
      <c r="P101" s="4">
        <v>0</v>
      </c>
      <c r="Q101" s="4">
        <v>0</v>
      </c>
      <c r="R101" s="4">
        <f t="shared" si="21"/>
        <v>0</v>
      </c>
      <c r="S101">
        <v>99</v>
      </c>
    </row>
    <row r="102" spans="2:19" x14ac:dyDescent="0.25">
      <c r="C102">
        <v>613</v>
      </c>
      <c r="D102" t="s">
        <v>459</v>
      </c>
      <c r="E102" s="4">
        <v>0</v>
      </c>
      <c r="F102" s="4">
        <v>0</v>
      </c>
      <c r="G102" s="4">
        <v>0</v>
      </c>
      <c r="H102" s="4">
        <v>0</v>
      </c>
      <c r="I102" s="4">
        <v>0</v>
      </c>
      <c r="J102" s="4">
        <v>0</v>
      </c>
      <c r="K102" s="4">
        <v>0</v>
      </c>
      <c r="L102" s="4">
        <v>0</v>
      </c>
      <c r="M102" s="4">
        <v>0</v>
      </c>
      <c r="N102" s="4">
        <v>0</v>
      </c>
      <c r="O102" s="4">
        <v>0</v>
      </c>
      <c r="P102" s="4">
        <v>0</v>
      </c>
      <c r="Q102" s="4">
        <v>0</v>
      </c>
      <c r="R102" s="4">
        <f t="shared" si="21"/>
        <v>0</v>
      </c>
      <c r="S102" s="1">
        <v>100</v>
      </c>
    </row>
    <row r="103" spans="2:19"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f t="shared" si="21"/>
        <v>0</v>
      </c>
      <c r="S103">
        <v>101</v>
      </c>
    </row>
    <row r="104" spans="2:19"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f t="shared" si="21"/>
        <v>0</v>
      </c>
      <c r="S104">
        <v>102</v>
      </c>
    </row>
    <row r="105" spans="2:19" x14ac:dyDescent="0.25">
      <c r="C105">
        <v>616</v>
      </c>
      <c r="D105" t="s">
        <v>462</v>
      </c>
      <c r="E105" s="4">
        <v>0</v>
      </c>
      <c r="F105" s="4">
        <v>0</v>
      </c>
      <c r="G105" s="4">
        <v>0</v>
      </c>
      <c r="H105" s="4">
        <v>0</v>
      </c>
      <c r="I105" s="4">
        <v>0</v>
      </c>
      <c r="J105" s="4">
        <v>0</v>
      </c>
      <c r="K105" s="4">
        <v>0</v>
      </c>
      <c r="L105" s="4">
        <v>0</v>
      </c>
      <c r="M105" s="4">
        <v>0</v>
      </c>
      <c r="N105" s="4">
        <v>0</v>
      </c>
      <c r="O105" s="4">
        <v>0</v>
      </c>
      <c r="P105" s="4">
        <v>0</v>
      </c>
      <c r="Q105" s="4">
        <v>0</v>
      </c>
      <c r="R105" s="4">
        <f t="shared" si="21"/>
        <v>0</v>
      </c>
      <c r="S105" s="1">
        <v>103</v>
      </c>
    </row>
    <row r="106" spans="2:19"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f>SUM(E109:Q109)</f>
        <v>0</v>
      </c>
      <c r="S109">
        <v>107</v>
      </c>
    </row>
    <row r="110" spans="2:19"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f>SUM(E110:Q110)</f>
        <v>0</v>
      </c>
      <c r="S110">
        <v>108</v>
      </c>
    </row>
    <row r="111" spans="2:19"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v>0</v>
      </c>
      <c r="N114" s="4">
        <v>0</v>
      </c>
      <c r="O114" s="4">
        <v>0</v>
      </c>
      <c r="P114" s="4">
        <v>0</v>
      </c>
      <c r="Q114" s="4">
        <v>0</v>
      </c>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v>0</v>
      </c>
      <c r="N115" s="4">
        <v>0</v>
      </c>
      <c r="O115" s="4">
        <v>0</v>
      </c>
      <c r="P115" s="4">
        <v>0</v>
      </c>
      <c r="Q115" s="4">
        <v>0</v>
      </c>
      <c r="R115" s="4">
        <f t="shared" si="24"/>
        <v>119952.25</v>
      </c>
      <c r="S115">
        <v>113</v>
      </c>
    </row>
    <row r="116" spans="2:19" x14ac:dyDescent="0.25">
      <c r="C116">
        <v>632</v>
      </c>
      <c r="D116" t="s">
        <v>468</v>
      </c>
      <c r="E116" s="4">
        <v>0</v>
      </c>
      <c r="F116" s="4">
        <v>0</v>
      </c>
      <c r="G116" s="4">
        <v>0</v>
      </c>
      <c r="H116" s="4">
        <v>0</v>
      </c>
      <c r="I116" s="4">
        <v>0</v>
      </c>
      <c r="J116" s="4">
        <v>0</v>
      </c>
      <c r="K116" s="4">
        <v>0</v>
      </c>
      <c r="L116" s="4">
        <v>0</v>
      </c>
      <c r="M116" s="4">
        <v>0</v>
      </c>
      <c r="N116" s="4">
        <v>0</v>
      </c>
      <c r="O116" s="4">
        <v>0</v>
      </c>
      <c r="P116" s="4">
        <v>0</v>
      </c>
      <c r="Q116" s="4">
        <v>0</v>
      </c>
      <c r="R116" s="4">
        <f t="shared" si="24"/>
        <v>0</v>
      </c>
      <c r="S116">
        <v>114</v>
      </c>
    </row>
    <row r="117" spans="2:19"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f t="shared" si="24"/>
        <v>0</v>
      </c>
      <c r="S117" s="1">
        <v>115</v>
      </c>
    </row>
    <row r="118" spans="2:19" x14ac:dyDescent="0.25">
      <c r="C118">
        <v>634</v>
      </c>
      <c r="D118" t="s">
        <v>470</v>
      </c>
      <c r="E118" s="4">
        <v>0</v>
      </c>
      <c r="F118" s="4">
        <v>0</v>
      </c>
      <c r="G118" s="4">
        <v>0</v>
      </c>
      <c r="H118" s="4">
        <v>0</v>
      </c>
      <c r="I118" s="4">
        <v>0</v>
      </c>
      <c r="J118" s="4">
        <v>0</v>
      </c>
      <c r="K118" s="4">
        <v>0</v>
      </c>
      <c r="L118" s="4">
        <v>0</v>
      </c>
      <c r="M118" s="4">
        <v>0</v>
      </c>
      <c r="N118" s="4">
        <v>0</v>
      </c>
      <c r="O118" s="4">
        <v>0</v>
      </c>
      <c r="P118" s="4">
        <v>0</v>
      </c>
      <c r="Q118" s="4">
        <v>0</v>
      </c>
      <c r="R118" s="4">
        <f t="shared" si="24"/>
        <v>0</v>
      </c>
      <c r="S118">
        <v>116</v>
      </c>
    </row>
    <row r="119" spans="2:19" x14ac:dyDescent="0.25">
      <c r="C119">
        <v>635</v>
      </c>
      <c r="D119" t="s">
        <v>471</v>
      </c>
      <c r="E119" s="4">
        <v>0</v>
      </c>
      <c r="F119" s="4">
        <v>0</v>
      </c>
      <c r="G119" s="4">
        <v>0</v>
      </c>
      <c r="H119" s="4">
        <v>0</v>
      </c>
      <c r="I119" s="4">
        <v>2490.15</v>
      </c>
      <c r="J119" s="4">
        <v>0</v>
      </c>
      <c r="K119" s="4">
        <v>0</v>
      </c>
      <c r="L119" s="4">
        <v>0</v>
      </c>
      <c r="M119" s="4">
        <v>0</v>
      </c>
      <c r="N119" s="4">
        <v>0</v>
      </c>
      <c r="O119" s="4">
        <v>0</v>
      </c>
      <c r="P119" s="4">
        <v>0</v>
      </c>
      <c r="Q119" s="4">
        <v>0</v>
      </c>
      <c r="R119" s="4">
        <f t="shared" si="24"/>
        <v>2490.15</v>
      </c>
      <c r="S119">
        <v>117</v>
      </c>
    </row>
    <row r="120" spans="2:19" x14ac:dyDescent="0.25">
      <c r="C120">
        <v>636</v>
      </c>
      <c r="D120" t="s">
        <v>472</v>
      </c>
      <c r="E120" s="4">
        <v>0</v>
      </c>
      <c r="F120" s="4">
        <v>0</v>
      </c>
      <c r="G120" s="4">
        <v>0</v>
      </c>
      <c r="H120" s="4">
        <v>0</v>
      </c>
      <c r="I120" s="4">
        <v>0</v>
      </c>
      <c r="J120" s="4">
        <v>0</v>
      </c>
      <c r="K120" s="4">
        <v>0</v>
      </c>
      <c r="L120" s="4">
        <v>0</v>
      </c>
      <c r="M120" s="4">
        <v>0</v>
      </c>
      <c r="N120" s="4">
        <v>0</v>
      </c>
      <c r="O120" s="4">
        <v>0</v>
      </c>
      <c r="P120" s="4">
        <v>0</v>
      </c>
      <c r="Q120" s="4">
        <v>0</v>
      </c>
      <c r="R120" s="4">
        <f t="shared" si="24"/>
        <v>0</v>
      </c>
      <c r="S120" s="1">
        <v>118</v>
      </c>
    </row>
    <row r="121" spans="2:19" x14ac:dyDescent="0.25">
      <c r="C121">
        <v>637</v>
      </c>
      <c r="D121" t="s">
        <v>473</v>
      </c>
      <c r="E121" s="4">
        <v>0</v>
      </c>
      <c r="F121" s="4">
        <v>0</v>
      </c>
      <c r="G121" s="4">
        <v>0</v>
      </c>
      <c r="H121" s="4">
        <v>0</v>
      </c>
      <c r="I121" s="4">
        <v>0</v>
      </c>
      <c r="J121" s="4">
        <v>0</v>
      </c>
      <c r="K121" s="4">
        <v>0</v>
      </c>
      <c r="L121" s="4">
        <v>0</v>
      </c>
      <c r="M121" s="4">
        <v>0</v>
      </c>
      <c r="N121" s="4">
        <v>0</v>
      </c>
      <c r="O121" s="4">
        <v>0</v>
      </c>
      <c r="P121" s="4">
        <v>0</v>
      </c>
      <c r="Q121" s="4">
        <v>0</v>
      </c>
      <c r="R121" s="4">
        <f t="shared" si="24"/>
        <v>0</v>
      </c>
      <c r="S121">
        <v>119</v>
      </c>
    </row>
    <row r="122" spans="2:19"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f t="shared" si="26"/>
        <v>0</v>
      </c>
      <c r="S126" s="1">
        <v>124</v>
      </c>
    </row>
    <row r="127" spans="2:19"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f t="shared" si="26"/>
        <v>0</v>
      </c>
      <c r="S127">
        <v>125</v>
      </c>
    </row>
    <row r="128" spans="2:19"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f t="shared" si="26"/>
        <v>0</v>
      </c>
      <c r="S128">
        <v>126</v>
      </c>
    </row>
    <row r="129" spans="2:19"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f t="shared" si="26"/>
        <v>0</v>
      </c>
      <c r="S129" s="1">
        <v>127</v>
      </c>
    </row>
    <row r="130" spans="2:19"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f t="shared" si="26"/>
        <v>0</v>
      </c>
      <c r="S130">
        <v>128</v>
      </c>
    </row>
    <row r="131" spans="2:19"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f t="shared" si="26"/>
        <v>0</v>
      </c>
      <c r="S131">
        <v>129</v>
      </c>
    </row>
    <row r="132" spans="2:19"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f t="shared" si="26"/>
        <v>0</v>
      </c>
      <c r="S132" s="1">
        <v>130</v>
      </c>
    </row>
    <row r="133" spans="2:19"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f t="shared" si="28"/>
        <v>0</v>
      </c>
      <c r="S137">
        <v>135</v>
      </c>
    </row>
    <row r="138" spans="2:19"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f t="shared" si="28"/>
        <v>0</v>
      </c>
      <c r="S138" s="1">
        <v>136</v>
      </c>
    </row>
    <row r="139" spans="2:19"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f t="shared" si="28"/>
        <v>0</v>
      </c>
      <c r="S139">
        <v>137</v>
      </c>
    </row>
    <row r="140" spans="2:19"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f t="shared" si="28"/>
        <v>0</v>
      </c>
      <c r="S140">
        <v>138</v>
      </c>
    </row>
    <row r="141" spans="2:19"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f t="shared" si="28"/>
        <v>0</v>
      </c>
      <c r="S141" s="1">
        <v>139</v>
      </c>
    </row>
    <row r="142" spans="2:19"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f t="shared" si="28"/>
        <v>0</v>
      </c>
      <c r="S142">
        <v>140</v>
      </c>
    </row>
    <row r="143" spans="2:19"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f t="shared" si="28"/>
        <v>0</v>
      </c>
      <c r="S143">
        <v>141</v>
      </c>
    </row>
    <row r="144" spans="2:19"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f t="shared" si="30"/>
        <v>0</v>
      </c>
      <c r="S148">
        <v>146</v>
      </c>
    </row>
    <row r="149" spans="2:19"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f t="shared" si="30"/>
        <v>0</v>
      </c>
      <c r="S149">
        <v>147</v>
      </c>
    </row>
    <row r="150" spans="2:19"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f t="shared" si="30"/>
        <v>0</v>
      </c>
      <c r="S150" s="1">
        <v>148</v>
      </c>
    </row>
    <row r="151" spans="2:19"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f t="shared" si="30"/>
        <v>0</v>
      </c>
      <c r="S151">
        <v>149</v>
      </c>
    </row>
    <row r="152" spans="2:19"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f t="shared" si="30"/>
        <v>0</v>
      </c>
      <c r="S152">
        <v>150</v>
      </c>
    </row>
    <row r="153" spans="2:19"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f t="shared" si="30"/>
        <v>0</v>
      </c>
      <c r="S153" s="1">
        <v>151</v>
      </c>
    </row>
    <row r="154" spans="2:19"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f t="shared" si="30"/>
        <v>0</v>
      </c>
      <c r="S154">
        <v>152</v>
      </c>
    </row>
    <row r="155" spans="2:19"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f t="shared" si="32"/>
        <v>0</v>
      </c>
      <c r="S159" s="1">
        <v>157</v>
      </c>
    </row>
    <row r="160" spans="2:19"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f t="shared" si="32"/>
        <v>0</v>
      </c>
      <c r="S160">
        <v>158</v>
      </c>
    </row>
    <row r="161" spans="2:19"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f t="shared" si="32"/>
        <v>0</v>
      </c>
      <c r="S161">
        <v>159</v>
      </c>
    </row>
    <row r="162" spans="2:19"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f t="shared" si="32"/>
        <v>0</v>
      </c>
      <c r="S162" s="1">
        <v>160</v>
      </c>
    </row>
    <row r="163" spans="2:19"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f t="shared" si="32"/>
        <v>0</v>
      </c>
      <c r="S163">
        <v>161</v>
      </c>
    </row>
    <row r="164" spans="2:19"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f t="shared" si="32"/>
        <v>0</v>
      </c>
      <c r="S164">
        <v>162</v>
      </c>
    </row>
    <row r="165" spans="2:19"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f t="shared" si="32"/>
        <v>0</v>
      </c>
      <c r="S165" s="1">
        <v>163</v>
      </c>
    </row>
    <row r="166" spans="2:19"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f t="shared" si="34"/>
        <v>0</v>
      </c>
      <c r="S170">
        <v>168</v>
      </c>
    </row>
    <row r="171" spans="2:19"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f t="shared" si="34"/>
        <v>0</v>
      </c>
      <c r="S171" s="1">
        <v>169</v>
      </c>
    </row>
    <row r="172" spans="2:19"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f t="shared" si="34"/>
        <v>0</v>
      </c>
      <c r="S172">
        <v>170</v>
      </c>
    </row>
    <row r="173" spans="2:19"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f t="shared" si="34"/>
        <v>0</v>
      </c>
      <c r="S173">
        <v>171</v>
      </c>
    </row>
    <row r="174" spans="2:19"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f t="shared" si="34"/>
        <v>0</v>
      </c>
      <c r="S174" s="1">
        <v>172</v>
      </c>
    </row>
    <row r="175" spans="2:19" x14ac:dyDescent="0.25">
      <c r="C175">
        <v>689</v>
      </c>
      <c r="D175" t="s">
        <v>492</v>
      </c>
      <c r="E175" s="4">
        <v>0</v>
      </c>
      <c r="F175" s="4">
        <v>0</v>
      </c>
      <c r="G175" s="4">
        <v>0</v>
      </c>
      <c r="H175" s="4">
        <v>0</v>
      </c>
      <c r="I175" s="4">
        <v>0</v>
      </c>
      <c r="J175" s="4">
        <v>0</v>
      </c>
      <c r="K175" s="4">
        <v>0</v>
      </c>
      <c r="L175" s="4">
        <v>0</v>
      </c>
      <c r="M175" s="4">
        <v>0</v>
      </c>
      <c r="N175" s="4">
        <v>0</v>
      </c>
      <c r="O175" s="4">
        <v>0</v>
      </c>
      <c r="P175" s="4">
        <v>0</v>
      </c>
      <c r="Q175" s="4">
        <v>0</v>
      </c>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v>0</v>
      </c>
      <c r="N178" s="4">
        <v>0</v>
      </c>
      <c r="O178" s="4">
        <v>0</v>
      </c>
      <c r="P178" s="4">
        <v>0</v>
      </c>
      <c r="Q178" s="4">
        <v>0</v>
      </c>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E30" sqref="E30"/>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HLOOKUP($D$4,'8.13 Bourgeoisie investissement'!$E$3:$R$184,2,0)</f>
        <v>0</v>
      </c>
    </row>
    <row r="8" spans="1:5" x14ac:dyDescent="0.25">
      <c r="A8" s="78"/>
      <c r="B8" s="69">
        <v>50</v>
      </c>
      <c r="C8" s="69"/>
      <c r="D8" s="69" t="s">
        <v>454</v>
      </c>
      <c r="E8" s="70">
        <f>HLOOKUP($D$4,'8.13 Bourgeoisie investissement'!$E$3:$R$184,3,0)</f>
        <v>0</v>
      </c>
    </row>
    <row r="9" spans="1:5" x14ac:dyDescent="0.25">
      <c r="C9">
        <v>500</v>
      </c>
      <c r="D9" t="s">
        <v>456</v>
      </c>
      <c r="E9" s="89">
        <f>HLOOKUP($D$4,'8.13 Bourgeoisie investissement'!$E$3:$R$184,4,0)</f>
        <v>0</v>
      </c>
    </row>
    <row r="10" spans="1:5" x14ac:dyDescent="0.25">
      <c r="C10">
        <v>501</v>
      </c>
      <c r="D10" t="s">
        <v>457</v>
      </c>
      <c r="E10" s="89">
        <f>HLOOKUP($D$4,'8.13 Bourgeoisie investissement'!$E$3:$R$184,5,0)</f>
        <v>0</v>
      </c>
    </row>
    <row r="11" spans="1:5" x14ac:dyDescent="0.25">
      <c r="C11">
        <v>502</v>
      </c>
      <c r="D11" t="s">
        <v>458</v>
      </c>
      <c r="E11" s="89">
        <f>HLOOKUP($D$4,'8.13 Bourgeoisie investissement'!$E$3:$R$184,6,0)</f>
        <v>0</v>
      </c>
    </row>
    <row r="12" spans="1:5" x14ac:dyDescent="0.25">
      <c r="C12">
        <v>503</v>
      </c>
      <c r="D12" t="s">
        <v>459</v>
      </c>
      <c r="E12" s="89">
        <f>HLOOKUP($D$4,'8.13 Bourgeoisie investissement'!$E$3:$R$184,7,0)</f>
        <v>0</v>
      </c>
    </row>
    <row r="13" spans="1:5" x14ac:dyDescent="0.25">
      <c r="C13">
        <v>504</v>
      </c>
      <c r="D13" t="s">
        <v>460</v>
      </c>
      <c r="E13" s="89">
        <f>HLOOKUP($D$4,'8.13 Bourgeoisie investissement'!$E$3:$R$184,8,0)</f>
        <v>0</v>
      </c>
    </row>
    <row r="14" spans="1:5" x14ac:dyDescent="0.25">
      <c r="C14">
        <v>505</v>
      </c>
      <c r="D14" t="s">
        <v>461</v>
      </c>
      <c r="E14" s="89">
        <f>HLOOKUP($D$4,'8.13 Bourgeoisie investissement'!$E$3:$R$184,9,0)</f>
        <v>0</v>
      </c>
    </row>
    <row r="15" spans="1:5" x14ac:dyDescent="0.25">
      <c r="C15">
        <v>506</v>
      </c>
      <c r="D15" t="s">
        <v>462</v>
      </c>
      <c r="E15" s="89">
        <f>HLOOKUP($D$4,'8.13 Bourgeoisie investissement'!$E$3:$R$184,10,0)</f>
        <v>0</v>
      </c>
    </row>
    <row r="16" spans="1:5" x14ac:dyDescent="0.25">
      <c r="C16">
        <v>509</v>
      </c>
      <c r="D16" t="s">
        <v>463</v>
      </c>
      <c r="E16" s="89">
        <f>HLOOKUP($D$4,'8.13 Bourgeoisie investissement'!$E$3:$R$184,11,0)</f>
        <v>0</v>
      </c>
    </row>
    <row r="17" spans="2:5" x14ac:dyDescent="0.25">
      <c r="E17" s="89"/>
    </row>
    <row r="18" spans="2:5" x14ac:dyDescent="0.25">
      <c r="B18" s="69">
        <v>51</v>
      </c>
      <c r="C18" s="69"/>
      <c r="D18" s="69" t="s">
        <v>455</v>
      </c>
      <c r="E18" s="70">
        <f>HLOOKUP($D$4,'8.13 Bourgeoisie investissement'!$E$3:$R$184,13,0)</f>
        <v>0</v>
      </c>
    </row>
    <row r="19" spans="2:5" x14ac:dyDescent="0.25">
      <c r="C19">
        <v>510</v>
      </c>
      <c r="D19" t="s">
        <v>456</v>
      </c>
      <c r="E19" s="89">
        <f>HLOOKUP($D$4,'8.13 Bourgeoisie investissement'!$E$3:$R$184,14,0)</f>
        <v>0</v>
      </c>
    </row>
    <row r="20" spans="2:5" x14ac:dyDescent="0.25">
      <c r="C20">
        <v>511</v>
      </c>
      <c r="D20" t="s">
        <v>457</v>
      </c>
      <c r="E20" s="89">
        <f>HLOOKUP($D$4,'8.13 Bourgeoisie investissement'!$E$3:$R$184,15,0)</f>
        <v>0</v>
      </c>
    </row>
    <row r="21" spans="2:5" x14ac:dyDescent="0.25">
      <c r="C21">
        <v>512</v>
      </c>
      <c r="D21" t="s">
        <v>458</v>
      </c>
      <c r="E21" s="89">
        <f>HLOOKUP($D$4,'8.13 Bourgeoisie investissement'!$E$3:$R$184,16,0)</f>
        <v>0</v>
      </c>
    </row>
    <row r="22" spans="2:5" x14ac:dyDescent="0.25">
      <c r="C22">
        <v>513</v>
      </c>
      <c r="D22" t="s">
        <v>459</v>
      </c>
      <c r="E22" s="89">
        <f>HLOOKUP($D$4,'8.13 Bourgeoisie investissement'!$E$3:$R$184,17,0)</f>
        <v>0</v>
      </c>
    </row>
    <row r="23" spans="2:5" x14ac:dyDescent="0.25">
      <c r="C23">
        <v>514</v>
      </c>
      <c r="D23" t="s">
        <v>460</v>
      </c>
      <c r="E23" s="89">
        <f>HLOOKUP($D$4,'8.13 Bourgeoisie investissement'!$E$3:$R$184,18,0)</f>
        <v>0</v>
      </c>
    </row>
    <row r="24" spans="2:5" x14ac:dyDescent="0.25">
      <c r="C24">
        <v>515</v>
      </c>
      <c r="D24" t="s">
        <v>461</v>
      </c>
      <c r="E24" s="89">
        <f>HLOOKUP($D$4,'8.13 Bourgeoisie investissement'!$E$3:$R$184,19,0)</f>
        <v>0</v>
      </c>
    </row>
    <row r="25" spans="2:5" x14ac:dyDescent="0.25">
      <c r="C25">
        <v>516</v>
      </c>
      <c r="D25" t="s">
        <v>462</v>
      </c>
      <c r="E25" s="89">
        <f>HLOOKUP($D$4,'8.13 Bourgeoisie investissement'!$E$3:$R$184,20,0)</f>
        <v>0</v>
      </c>
    </row>
    <row r="26" spans="2:5" x14ac:dyDescent="0.25">
      <c r="C26">
        <v>519</v>
      </c>
      <c r="D26" t="s">
        <v>463</v>
      </c>
      <c r="E26" s="89">
        <f>HLOOKUP($D$4,'8.13 Bourgeoisie investissement'!$E$3:$R$184,21,0)</f>
        <v>0</v>
      </c>
    </row>
    <row r="27" spans="2:5" x14ac:dyDescent="0.25">
      <c r="E27" s="89"/>
    </row>
    <row r="28" spans="2:5" x14ac:dyDescent="0.25">
      <c r="B28" s="69">
        <v>52</v>
      </c>
      <c r="C28" s="69"/>
      <c r="D28" s="69" t="s">
        <v>464</v>
      </c>
      <c r="E28" s="70">
        <f>HLOOKUP($D$4,'8.13 Bourgeoisie investissement'!$E$3:$R$184,23,0)</f>
        <v>0</v>
      </c>
    </row>
    <row r="29" spans="2:5" x14ac:dyDescent="0.25">
      <c r="C29">
        <v>520</v>
      </c>
      <c r="D29" t="s">
        <v>366</v>
      </c>
      <c r="E29" s="89">
        <f>HLOOKUP($D$4,'8.13 Bourgeoisie investissement'!$E$3:$R$184,24,0)</f>
        <v>0</v>
      </c>
    </row>
    <row r="30" spans="2:5" x14ac:dyDescent="0.25">
      <c r="C30">
        <v>521</v>
      </c>
      <c r="D30" t="s">
        <v>367</v>
      </c>
      <c r="E30" s="89">
        <f>HLOOKUP($D$4,'8.13 Bourgeoisie investissement'!$E$3:$R$184,25,0)</f>
        <v>0</v>
      </c>
    </row>
    <row r="31" spans="2:5" x14ac:dyDescent="0.25">
      <c r="C31">
        <v>529</v>
      </c>
      <c r="D31" t="s">
        <v>465</v>
      </c>
      <c r="E31" s="89">
        <f>HLOOKUP($D$4,'8.13 Bourgeoisie investissement'!$E$3:$R$184,26,0)</f>
        <v>0</v>
      </c>
    </row>
    <row r="32" spans="2:5" x14ac:dyDescent="0.25">
      <c r="E32" s="89"/>
    </row>
    <row r="33" spans="2:5" x14ac:dyDescent="0.25">
      <c r="B33" s="69">
        <v>54</v>
      </c>
      <c r="C33" s="69"/>
      <c r="D33" s="69" t="s">
        <v>250</v>
      </c>
      <c r="E33" s="70">
        <f>HLOOKUP($D$4,'8.13 Bourgeoisie investissement'!$E$3:$R$184,28,0)</f>
        <v>0</v>
      </c>
    </row>
    <row r="34" spans="2:5" x14ac:dyDescent="0.25">
      <c r="C34">
        <v>540</v>
      </c>
      <c r="D34" t="s">
        <v>466</v>
      </c>
      <c r="E34" s="89">
        <f>HLOOKUP($D$4,'8.13 Bourgeoisie investissement'!$E$3:$R$184,29,0)</f>
        <v>0</v>
      </c>
    </row>
    <row r="35" spans="2:5" x14ac:dyDescent="0.25">
      <c r="C35">
        <v>541</v>
      </c>
      <c r="D35" t="s">
        <v>467</v>
      </c>
      <c r="E35" s="89">
        <f>HLOOKUP($D$4,'8.13 Bourgeoisie investissement'!$E$3:$R$184,30,0)</f>
        <v>0</v>
      </c>
    </row>
    <row r="36" spans="2:5" x14ac:dyDescent="0.25">
      <c r="C36">
        <v>542</v>
      </c>
      <c r="D36" t="s">
        <v>468</v>
      </c>
      <c r="E36" s="89">
        <f>HLOOKUP($D$4,'8.13 Bourgeoisie investissement'!$E$3:$R$184,31,0)</f>
        <v>0</v>
      </c>
    </row>
    <row r="37" spans="2:5" x14ac:dyDescent="0.25">
      <c r="C37">
        <v>543</v>
      </c>
      <c r="D37" t="s">
        <v>469</v>
      </c>
      <c r="E37" s="89">
        <f>HLOOKUP($D$4,'8.13 Bourgeoisie investissement'!$E$3:$R$184,32,0)</f>
        <v>0</v>
      </c>
    </row>
    <row r="38" spans="2:5" x14ac:dyDescent="0.25">
      <c r="C38">
        <v>544</v>
      </c>
      <c r="D38" t="s">
        <v>470</v>
      </c>
      <c r="E38" s="89">
        <f>HLOOKUP($D$4,'8.13 Bourgeoisie investissement'!$E$3:$R$184,33,0)</f>
        <v>0</v>
      </c>
    </row>
    <row r="39" spans="2:5" x14ac:dyDescent="0.25">
      <c r="C39">
        <v>545</v>
      </c>
      <c r="D39" t="s">
        <v>471</v>
      </c>
      <c r="E39" s="89">
        <f>HLOOKUP($D$4,'8.13 Bourgeoisie investissement'!$E$3:$R$184,34,0)</f>
        <v>0</v>
      </c>
    </row>
    <row r="40" spans="2:5" x14ac:dyDescent="0.25">
      <c r="C40">
        <v>546</v>
      </c>
      <c r="D40" t="s">
        <v>472</v>
      </c>
      <c r="E40" s="89">
        <f>HLOOKUP($D$4,'8.13 Bourgeoisie investissement'!$E$3:$R$184,35,0)</f>
        <v>0</v>
      </c>
    </row>
    <row r="41" spans="2:5" x14ac:dyDescent="0.25">
      <c r="C41">
        <v>547</v>
      </c>
      <c r="D41" t="s">
        <v>473</v>
      </c>
      <c r="E41" s="89">
        <f>HLOOKUP($D$4,'8.13 Bourgeoisie investissement'!$E$3:$R$184,36,0)</f>
        <v>0</v>
      </c>
    </row>
    <row r="42" spans="2:5" x14ac:dyDescent="0.25">
      <c r="C42">
        <v>548</v>
      </c>
      <c r="D42" t="s">
        <v>474</v>
      </c>
      <c r="E42" s="89">
        <f>HLOOKUP($D$4,'8.13 Bourgeoisie investissement'!$E$3:$R$184,37,0)</f>
        <v>0</v>
      </c>
    </row>
    <row r="43" spans="2:5" x14ac:dyDescent="0.25">
      <c r="E43" s="89"/>
    </row>
    <row r="44" spans="2:5" x14ac:dyDescent="0.25">
      <c r="B44" s="69">
        <v>55</v>
      </c>
      <c r="C44" s="69"/>
      <c r="D44" s="69" t="s">
        <v>379</v>
      </c>
      <c r="E44" s="70">
        <f>HLOOKUP($D$4,'8.13 Bourgeoisie investissement'!$E$3:$R$184,39,0)</f>
        <v>0</v>
      </c>
    </row>
    <row r="45" spans="2:5" x14ac:dyDescent="0.25">
      <c r="C45">
        <v>550</v>
      </c>
      <c r="D45" t="s">
        <v>466</v>
      </c>
      <c r="E45" s="89">
        <f>HLOOKUP($D$4,'8.13 Bourgeoisie investissement'!$E$3:$R$184,40,0)</f>
        <v>0</v>
      </c>
    </row>
    <row r="46" spans="2:5" x14ac:dyDescent="0.25">
      <c r="C46">
        <v>551</v>
      </c>
      <c r="D46" t="s">
        <v>467</v>
      </c>
      <c r="E46" s="89">
        <f>HLOOKUP($D$4,'8.13 Bourgeoisie investissement'!$E$3:$R$184,41,0)</f>
        <v>0</v>
      </c>
    </row>
    <row r="47" spans="2:5" x14ac:dyDescent="0.25">
      <c r="C47">
        <v>552</v>
      </c>
      <c r="D47" t="s">
        <v>468</v>
      </c>
      <c r="E47" s="89">
        <f>HLOOKUP($D$4,'8.13 Bourgeoisie investissement'!$E$3:$R$184,42,0)</f>
        <v>0</v>
      </c>
    </row>
    <row r="48" spans="2:5" x14ac:dyDescent="0.25">
      <c r="C48">
        <v>553</v>
      </c>
      <c r="D48" t="s">
        <v>469</v>
      </c>
      <c r="E48" s="89">
        <f>HLOOKUP($D$4,'8.13 Bourgeoisie investissement'!$E$3:$R$184,43,0)</f>
        <v>0</v>
      </c>
    </row>
    <row r="49" spans="2:5" x14ac:dyDescent="0.25">
      <c r="C49">
        <v>554</v>
      </c>
      <c r="D49" t="s">
        <v>470</v>
      </c>
      <c r="E49" s="89">
        <f>HLOOKUP($D$4,'8.13 Bourgeoisie investissement'!$E$3:$R$184,44,0)</f>
        <v>0</v>
      </c>
    </row>
    <row r="50" spans="2:5" x14ac:dyDescent="0.25">
      <c r="C50">
        <v>555</v>
      </c>
      <c r="D50" t="s">
        <v>471</v>
      </c>
      <c r="E50" s="89">
        <f>HLOOKUP($D$4,'8.13 Bourgeoisie investissement'!$E$3:$R$184,45,0)</f>
        <v>0</v>
      </c>
    </row>
    <row r="51" spans="2:5" x14ac:dyDescent="0.25">
      <c r="C51">
        <v>556</v>
      </c>
      <c r="D51" t="s">
        <v>472</v>
      </c>
      <c r="E51" s="89">
        <f>HLOOKUP($D$4,'8.13 Bourgeoisie investissement'!$E$3:$R$184,46,0)</f>
        <v>0</v>
      </c>
    </row>
    <row r="52" spans="2:5" x14ac:dyDescent="0.25">
      <c r="C52">
        <v>557</v>
      </c>
      <c r="D52" t="s">
        <v>473</v>
      </c>
      <c r="E52" s="89">
        <f>HLOOKUP($D$4,'8.13 Bourgeoisie investissement'!$E$3:$R$184,47,0)</f>
        <v>0</v>
      </c>
    </row>
    <row r="53" spans="2:5" x14ac:dyDescent="0.25">
      <c r="C53">
        <v>558</v>
      </c>
      <c r="D53" t="s">
        <v>474</v>
      </c>
      <c r="E53" s="89">
        <f>HLOOKUP($D$4,'8.13 Bourgeoisie investissement'!$E$3:$R$184,48,0)</f>
        <v>0</v>
      </c>
    </row>
    <row r="54" spans="2:5" x14ac:dyDescent="0.25">
      <c r="E54" s="89"/>
    </row>
    <row r="55" spans="2:5" x14ac:dyDescent="0.25">
      <c r="B55" s="69">
        <v>56</v>
      </c>
      <c r="C55" s="69"/>
      <c r="D55" s="69" t="s">
        <v>475</v>
      </c>
      <c r="E55" s="70">
        <f>HLOOKUP($D$4,'8.13 Bourgeoisie investissement'!$E$3:$R$184,50,0)</f>
        <v>0</v>
      </c>
    </row>
    <row r="56" spans="2:5" x14ac:dyDescent="0.25">
      <c r="C56">
        <v>560</v>
      </c>
      <c r="D56" t="s">
        <v>466</v>
      </c>
      <c r="E56" s="89">
        <f>HLOOKUP($D$4,'8.13 Bourgeoisie investissement'!$E$3:$R$184,51,0)</f>
        <v>0</v>
      </c>
    </row>
    <row r="57" spans="2:5" x14ac:dyDescent="0.25">
      <c r="C57">
        <v>561</v>
      </c>
      <c r="D57" t="s">
        <v>467</v>
      </c>
      <c r="E57" s="89">
        <f>HLOOKUP($D$4,'8.13 Bourgeoisie investissement'!$E$3:$R$184,52,0)</f>
        <v>0</v>
      </c>
    </row>
    <row r="58" spans="2:5" x14ac:dyDescent="0.25">
      <c r="C58">
        <v>562</v>
      </c>
      <c r="D58" t="s">
        <v>468</v>
      </c>
      <c r="E58" s="89">
        <f>HLOOKUP($D$4,'8.13 Bourgeoisie investissement'!$E$3:$R$184,53,0)</f>
        <v>0</v>
      </c>
    </row>
    <row r="59" spans="2:5" x14ac:dyDescent="0.25">
      <c r="C59">
        <v>563</v>
      </c>
      <c r="D59" t="s">
        <v>469</v>
      </c>
      <c r="E59" s="89">
        <f>HLOOKUP($D$4,'8.13 Bourgeoisie investissement'!$E$3:$R$184,54,0)</f>
        <v>0</v>
      </c>
    </row>
    <row r="60" spans="2:5" x14ac:dyDescent="0.25">
      <c r="C60">
        <v>564</v>
      </c>
      <c r="D60" t="s">
        <v>470</v>
      </c>
      <c r="E60" s="89">
        <f>HLOOKUP($D$4,'8.13 Bourgeoisie investissement'!$E$3:$R$184,55,0)</f>
        <v>0</v>
      </c>
    </row>
    <row r="61" spans="2:5" x14ac:dyDescent="0.25">
      <c r="C61">
        <v>565</v>
      </c>
      <c r="D61" t="s">
        <v>471</v>
      </c>
      <c r="E61" s="89">
        <f>HLOOKUP($D$4,'8.13 Bourgeoisie investissement'!$E$3:$R$184,56,0)</f>
        <v>0</v>
      </c>
    </row>
    <row r="62" spans="2:5" x14ac:dyDescent="0.25">
      <c r="C62">
        <v>566</v>
      </c>
      <c r="D62" t="s">
        <v>472</v>
      </c>
      <c r="E62" s="89">
        <f>HLOOKUP($D$4,'8.13 Bourgeoisie investissement'!$E$3:$R$184,57,0)</f>
        <v>0</v>
      </c>
    </row>
    <row r="63" spans="2:5" x14ac:dyDescent="0.25">
      <c r="C63">
        <v>567</v>
      </c>
      <c r="D63" t="s">
        <v>473</v>
      </c>
      <c r="E63" s="89">
        <f>HLOOKUP($D$4,'8.13 Bourgeoisie investissement'!$E$3:$R$184,58,0)</f>
        <v>0</v>
      </c>
    </row>
    <row r="64" spans="2:5" x14ac:dyDescent="0.25">
      <c r="C64">
        <v>568</v>
      </c>
      <c r="D64" t="s">
        <v>474</v>
      </c>
      <c r="E64" s="89">
        <f>HLOOKUP($D$4,'8.13 Bourgeoisie investissement'!$E$3:$R$184,59,0)</f>
        <v>0</v>
      </c>
    </row>
    <row r="65" spans="2:5" x14ac:dyDescent="0.25">
      <c r="E65" s="89"/>
    </row>
    <row r="66" spans="2:5" x14ac:dyDescent="0.25">
      <c r="B66" s="69">
        <v>57</v>
      </c>
      <c r="C66" s="69"/>
      <c r="D66" s="69" t="s">
        <v>476</v>
      </c>
      <c r="E66" s="70">
        <f>HLOOKUP($D$4,'8.13 Bourgeoisie investissement'!$E$3:$R$184,61,0)</f>
        <v>0</v>
      </c>
    </row>
    <row r="67" spans="2:5" x14ac:dyDescent="0.25">
      <c r="C67">
        <v>570</v>
      </c>
      <c r="D67" t="s">
        <v>466</v>
      </c>
      <c r="E67" s="89">
        <f>HLOOKUP($D$4,'8.13 Bourgeoisie investissement'!$E$3:$R$184,62,0)</f>
        <v>0</v>
      </c>
    </row>
    <row r="68" spans="2:5" x14ac:dyDescent="0.25">
      <c r="C68">
        <v>571</v>
      </c>
      <c r="D68" t="s">
        <v>467</v>
      </c>
      <c r="E68" s="89">
        <f>HLOOKUP($D$4,'8.13 Bourgeoisie investissement'!$E$3:$R$184,63,0)</f>
        <v>0</v>
      </c>
    </row>
    <row r="69" spans="2:5" x14ac:dyDescent="0.25">
      <c r="C69">
        <v>572</v>
      </c>
      <c r="D69" t="s">
        <v>468</v>
      </c>
      <c r="E69" s="89">
        <f>HLOOKUP($D$4,'8.13 Bourgeoisie investissement'!$E$3:$R$184,64,0)</f>
        <v>0</v>
      </c>
    </row>
    <row r="70" spans="2:5" x14ac:dyDescent="0.25">
      <c r="C70">
        <v>573</v>
      </c>
      <c r="D70" t="s">
        <v>469</v>
      </c>
      <c r="E70" s="89">
        <f>HLOOKUP($D$4,'8.13 Bourgeoisie investissement'!$E$3:$R$184,65,0)</f>
        <v>0</v>
      </c>
    </row>
    <row r="71" spans="2:5" x14ac:dyDescent="0.25">
      <c r="C71">
        <v>574</v>
      </c>
      <c r="D71" t="s">
        <v>470</v>
      </c>
      <c r="E71" s="89">
        <f>HLOOKUP($D$4,'8.13 Bourgeoisie investissement'!$E$3:$R$184,66,0)</f>
        <v>0</v>
      </c>
    </row>
    <row r="72" spans="2:5" x14ac:dyDescent="0.25">
      <c r="C72">
        <v>575</v>
      </c>
      <c r="D72" t="s">
        <v>471</v>
      </c>
      <c r="E72" s="89">
        <f>HLOOKUP($D$4,'8.13 Bourgeoisie investissement'!$E$3:$R$184,67,0)</f>
        <v>0</v>
      </c>
    </row>
    <row r="73" spans="2:5" x14ac:dyDescent="0.25">
      <c r="C73">
        <v>576</v>
      </c>
      <c r="D73" t="s">
        <v>472</v>
      </c>
      <c r="E73" s="89">
        <f>HLOOKUP($D$4,'8.13 Bourgeoisie investissement'!$E$3:$R$184,68,0)</f>
        <v>0</v>
      </c>
    </row>
    <row r="74" spans="2:5" x14ac:dyDescent="0.25">
      <c r="C74">
        <v>577</v>
      </c>
      <c r="D74" t="s">
        <v>473</v>
      </c>
      <c r="E74" s="89">
        <f>HLOOKUP($D$4,'8.13 Bourgeoisie investissement'!$E$3:$R$184,69,0)</f>
        <v>0</v>
      </c>
    </row>
    <row r="75" spans="2:5" x14ac:dyDescent="0.25">
      <c r="C75">
        <v>578</v>
      </c>
      <c r="D75" t="s">
        <v>474</v>
      </c>
      <c r="E75" s="89">
        <f>HLOOKUP($D$4,'8.13 Bourgeoisie investissement'!$E$3:$R$184,70,0)</f>
        <v>0</v>
      </c>
    </row>
    <row r="76" spans="2:5" x14ac:dyDescent="0.25">
      <c r="E76" s="89"/>
    </row>
    <row r="77" spans="2:5" x14ac:dyDescent="0.25">
      <c r="B77" s="69">
        <v>58</v>
      </c>
      <c r="C77" s="69"/>
      <c r="D77" s="69" t="s">
        <v>477</v>
      </c>
      <c r="E77" s="70">
        <f>HLOOKUP($D$4,'8.13 Bourgeoisie investissement'!$E$3:$R$184,72,0)</f>
        <v>0</v>
      </c>
    </row>
    <row r="78" spans="2:5" x14ac:dyDescent="0.25">
      <c r="C78">
        <v>580</v>
      </c>
      <c r="D78" t="s">
        <v>454</v>
      </c>
      <c r="E78" s="89">
        <f>HLOOKUP($D$4,'8.13 Bourgeoisie investissement'!$E$3:$R$184,73,0)</f>
        <v>0</v>
      </c>
    </row>
    <row r="79" spans="2:5" x14ac:dyDescent="0.25">
      <c r="C79">
        <v>582</v>
      </c>
      <c r="D79" t="s">
        <v>464</v>
      </c>
      <c r="E79" s="89">
        <f>HLOOKUP($D$4,'8.13 Bourgeoisie investissement'!$E$3:$R$184,74,0)</f>
        <v>0</v>
      </c>
    </row>
    <row r="80" spans="2:5" x14ac:dyDescent="0.25">
      <c r="C80">
        <v>584</v>
      </c>
      <c r="D80" t="s">
        <v>250</v>
      </c>
      <c r="E80" s="89">
        <f>HLOOKUP($D$4,'8.13 Bourgeoisie investissement'!$E$3:$R$184,75,0)</f>
        <v>0</v>
      </c>
    </row>
    <row r="81" spans="1:5" x14ac:dyDescent="0.25">
      <c r="C81">
        <v>585</v>
      </c>
      <c r="D81" t="s">
        <v>379</v>
      </c>
      <c r="E81" s="89">
        <f>HLOOKUP($D$4,'8.13 Bourgeoisie investissement'!$E$3:$R$184,76,0)</f>
        <v>0</v>
      </c>
    </row>
    <row r="82" spans="1:5" x14ac:dyDescent="0.25">
      <c r="C82">
        <v>586</v>
      </c>
      <c r="D82" t="s">
        <v>478</v>
      </c>
      <c r="E82" s="89">
        <f>HLOOKUP($D$4,'8.13 Bourgeoisie investissement'!$E$3:$R$184,77,0)</f>
        <v>0</v>
      </c>
    </row>
    <row r="83" spans="1:5" x14ac:dyDescent="0.25">
      <c r="C83">
        <v>589</v>
      </c>
      <c r="D83" t="s">
        <v>479</v>
      </c>
      <c r="E83" s="89">
        <f>HLOOKUP($D$4,'8.13 Bourgeoisie investissement'!$E$3:$R$184,78,0)</f>
        <v>0</v>
      </c>
    </row>
    <row r="84" spans="1:5" x14ac:dyDescent="0.25">
      <c r="E84" s="89"/>
    </row>
    <row r="85" spans="1:5" x14ac:dyDescent="0.25">
      <c r="B85" s="69">
        <v>59</v>
      </c>
      <c r="C85" s="69"/>
      <c r="D85" s="69" t="s">
        <v>480</v>
      </c>
      <c r="E85" s="70">
        <f>HLOOKUP($D$4,'8.13 Bourgeoisie investissement'!$E$3:$R$184,80,0)</f>
        <v>94682.25</v>
      </c>
    </row>
    <row r="86" spans="1:5" x14ac:dyDescent="0.25">
      <c r="C86">
        <v>590</v>
      </c>
      <c r="D86" t="s">
        <v>480</v>
      </c>
      <c r="E86" s="89">
        <f>HLOOKUP($D$4,'8.13 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HLOOKUP($D$4,'8.13 Bourgeoisie investissement'!$E$3:$R$184,85,0)</f>
        <v>94682.25</v>
      </c>
    </row>
    <row r="91" spans="1:5" x14ac:dyDescent="0.25">
      <c r="A91" s="7"/>
      <c r="B91" s="105">
        <v>60</v>
      </c>
      <c r="C91" s="105"/>
      <c r="D91" s="105" t="s">
        <v>482</v>
      </c>
      <c r="E91" s="103">
        <f>HLOOKUP($D$4,'8.13 Bourgeoisie investissement'!$E$3:$R$184,86,0)</f>
        <v>0</v>
      </c>
    </row>
    <row r="92" spans="1:5" x14ac:dyDescent="0.25">
      <c r="C92">
        <v>600</v>
      </c>
      <c r="D92" t="s">
        <v>456</v>
      </c>
      <c r="E92" s="89">
        <f>HLOOKUP($D$4,'8.13 Bourgeoisie investissement'!$E$3:$R$184,87,0)</f>
        <v>0</v>
      </c>
    </row>
    <row r="93" spans="1:5" x14ac:dyDescent="0.25">
      <c r="C93">
        <v>601</v>
      </c>
      <c r="D93" t="s">
        <v>457</v>
      </c>
      <c r="E93" s="89">
        <f>HLOOKUP($D$4,'8.13 Bourgeoisie investissement'!$E$3:$R$184,88,0)</f>
        <v>0</v>
      </c>
    </row>
    <row r="94" spans="1:5" x14ac:dyDescent="0.25">
      <c r="C94">
        <v>602</v>
      </c>
      <c r="D94" t="s">
        <v>458</v>
      </c>
      <c r="E94" s="89">
        <f>HLOOKUP($D$4,'8.13 Bourgeoisie investissement'!$E$3:$R$184,89,0)</f>
        <v>0</v>
      </c>
    </row>
    <row r="95" spans="1:5" x14ac:dyDescent="0.25">
      <c r="C95">
        <v>603</v>
      </c>
      <c r="D95" t="s">
        <v>459</v>
      </c>
      <c r="E95" s="89">
        <f>HLOOKUP($D$4,'8.13 Bourgeoisie investissement'!$E$3:$R$184,90,0)</f>
        <v>0</v>
      </c>
    </row>
    <row r="96" spans="1:5" x14ac:dyDescent="0.25">
      <c r="C96">
        <v>604</v>
      </c>
      <c r="D96" t="s">
        <v>460</v>
      </c>
      <c r="E96" s="89">
        <f>HLOOKUP($D$4,'8.13 Bourgeoisie investissement'!$E$3:$R$184,91,0)</f>
        <v>0</v>
      </c>
    </row>
    <row r="97" spans="2:5" x14ac:dyDescent="0.25">
      <c r="C97">
        <v>605</v>
      </c>
      <c r="D97" t="s">
        <v>461</v>
      </c>
      <c r="E97" s="89">
        <f>HLOOKUP($D$4,'8.13 Bourgeoisie investissement'!$E$3:$R$184,92,0)</f>
        <v>0</v>
      </c>
    </row>
    <row r="98" spans="2:5" x14ac:dyDescent="0.25">
      <c r="C98">
        <v>606</v>
      </c>
      <c r="D98" t="s">
        <v>462</v>
      </c>
      <c r="E98" s="89">
        <f>HLOOKUP($D$4,'8.13 Bourgeoisie investissement'!$E$3:$R$184,93,0)</f>
        <v>0</v>
      </c>
    </row>
    <row r="99" spans="2:5" x14ac:dyDescent="0.25">
      <c r="C99">
        <v>609</v>
      </c>
      <c r="D99" t="s">
        <v>463</v>
      </c>
      <c r="E99" s="89">
        <f>HLOOKUP($D$4,'8.13 Bourgeoisie investissement'!$E$3:$R$184,94,0)</f>
        <v>0</v>
      </c>
    </row>
    <row r="100" spans="2:5" x14ac:dyDescent="0.25">
      <c r="E100" s="89"/>
    </row>
    <row r="101" spans="2:5" x14ac:dyDescent="0.25">
      <c r="B101" s="105">
        <v>61</v>
      </c>
      <c r="C101" s="105"/>
      <c r="D101" s="105" t="s">
        <v>483</v>
      </c>
      <c r="E101" s="103">
        <f>HLOOKUP($D$4,'8.13 Bourgeoisie investissement'!$E$3:$R$184,96,0)</f>
        <v>0</v>
      </c>
    </row>
    <row r="102" spans="2:5" x14ac:dyDescent="0.25">
      <c r="C102">
        <v>610</v>
      </c>
      <c r="D102" t="s">
        <v>456</v>
      </c>
      <c r="E102" s="89">
        <f>HLOOKUP($D$4,'8.13 Bourgeoisie investissement'!$E$3:$R$184,97,0)</f>
        <v>0</v>
      </c>
    </row>
    <row r="103" spans="2:5" x14ac:dyDescent="0.25">
      <c r="C103">
        <v>611</v>
      </c>
      <c r="D103" t="s">
        <v>457</v>
      </c>
      <c r="E103" s="89">
        <f>HLOOKUP($D$4,'8.13 Bourgeoisie investissement'!$E$3:$R$184,98,0)</f>
        <v>0</v>
      </c>
    </row>
    <row r="104" spans="2:5" x14ac:dyDescent="0.25">
      <c r="C104">
        <v>612</v>
      </c>
      <c r="D104" t="s">
        <v>458</v>
      </c>
      <c r="E104" s="89">
        <f>HLOOKUP($D$4,'8.13 Bourgeoisie investissement'!$E$3:$R$184,99,0)</f>
        <v>0</v>
      </c>
    </row>
    <row r="105" spans="2:5" x14ac:dyDescent="0.25">
      <c r="C105">
        <v>613</v>
      </c>
      <c r="D105" t="s">
        <v>459</v>
      </c>
      <c r="E105" s="89">
        <f>HLOOKUP($D$4,'8.13 Bourgeoisie investissement'!$E$3:$R$184,100,0)</f>
        <v>0</v>
      </c>
    </row>
    <row r="106" spans="2:5" x14ac:dyDescent="0.25">
      <c r="C106">
        <v>614</v>
      </c>
      <c r="D106" t="s">
        <v>460</v>
      </c>
      <c r="E106" s="89">
        <f>HLOOKUP($D$4,'8.13 Bourgeoisie investissement'!$E$3:$R$184,101,0)</f>
        <v>0</v>
      </c>
    </row>
    <row r="107" spans="2:5" x14ac:dyDescent="0.25">
      <c r="C107">
        <v>615</v>
      </c>
      <c r="D107" t="s">
        <v>461</v>
      </c>
      <c r="E107" s="89">
        <f>HLOOKUP($D$4,'8.13 Bourgeoisie investissement'!$E$3:$R$184,102,0)</f>
        <v>0</v>
      </c>
    </row>
    <row r="108" spans="2:5" x14ac:dyDescent="0.25">
      <c r="C108">
        <v>616</v>
      </c>
      <c r="D108" t="s">
        <v>462</v>
      </c>
      <c r="E108" s="89">
        <f>HLOOKUP($D$4,'8.13 Bourgeoisie investissement'!$E$3:$R$184,103,0)</f>
        <v>0</v>
      </c>
    </row>
    <row r="109" spans="2:5" x14ac:dyDescent="0.25">
      <c r="C109">
        <v>619</v>
      </c>
      <c r="D109" t="s">
        <v>463</v>
      </c>
      <c r="E109" s="89">
        <f>HLOOKUP($D$4,'8.13 Bourgeoisie investissement'!$E$3:$R$184,104,0)</f>
        <v>0</v>
      </c>
    </row>
    <row r="110" spans="2:5" x14ac:dyDescent="0.25">
      <c r="E110" s="89"/>
    </row>
    <row r="111" spans="2:5" x14ac:dyDescent="0.25">
      <c r="B111" s="105">
        <v>62</v>
      </c>
      <c r="C111" s="105"/>
      <c r="D111" s="105" t="s">
        <v>484</v>
      </c>
      <c r="E111" s="103">
        <f>HLOOKUP($D$4,'8.13 Bourgeoisie investissement'!$E$3:$R$184,106,0)</f>
        <v>0</v>
      </c>
    </row>
    <row r="112" spans="2:5" x14ac:dyDescent="0.25">
      <c r="C112">
        <v>620</v>
      </c>
      <c r="D112" t="s">
        <v>366</v>
      </c>
      <c r="E112" s="89">
        <f>HLOOKUP($D$4,'8.13 Bourgeoisie investissement'!$E$3:$R$184,107,0)</f>
        <v>0</v>
      </c>
    </row>
    <row r="113" spans="2:5" x14ac:dyDescent="0.25">
      <c r="C113">
        <v>621</v>
      </c>
      <c r="D113" t="s">
        <v>367</v>
      </c>
      <c r="E113" s="89">
        <f>HLOOKUP($D$4,'8.13 Bourgeoisie investissement'!$E$3:$R$184,108,0)</f>
        <v>0</v>
      </c>
    </row>
    <row r="114" spans="2:5" x14ac:dyDescent="0.25">
      <c r="C114">
        <v>629</v>
      </c>
      <c r="D114" t="s">
        <v>465</v>
      </c>
      <c r="E114" s="89">
        <f>HLOOKUP($D$4,'8.13 Bourgeoisie investissement'!$E$3:$R$184,109,0)</f>
        <v>0</v>
      </c>
    </row>
    <row r="115" spans="2:5" x14ac:dyDescent="0.25">
      <c r="E115" s="89"/>
    </row>
    <row r="116" spans="2:5" x14ac:dyDescent="0.25">
      <c r="B116" s="105">
        <v>63</v>
      </c>
      <c r="C116" s="105"/>
      <c r="D116" s="105" t="s">
        <v>485</v>
      </c>
      <c r="E116" s="103">
        <f>HLOOKUP($D$4,'8.13 Bourgeoisie investissement'!$E$3:$R$184,111,0)</f>
        <v>94682.25</v>
      </c>
    </row>
    <row r="117" spans="2:5" x14ac:dyDescent="0.25">
      <c r="C117">
        <v>630</v>
      </c>
      <c r="D117" t="s">
        <v>466</v>
      </c>
      <c r="E117" s="89">
        <f>HLOOKUP($D$4,'8.13 Bourgeoisie investissement'!$E$3:$R$184,112,0)</f>
        <v>0</v>
      </c>
    </row>
    <row r="118" spans="2:5" x14ac:dyDescent="0.25">
      <c r="C118">
        <v>631</v>
      </c>
      <c r="D118" t="s">
        <v>467</v>
      </c>
      <c r="E118" s="89">
        <f>HLOOKUP($D$4,'8.13 Bourgeoisie investissement'!$E$3:$R$184,113,0)</f>
        <v>94682.25</v>
      </c>
    </row>
    <row r="119" spans="2:5" x14ac:dyDescent="0.25">
      <c r="C119">
        <v>632</v>
      </c>
      <c r="D119" t="s">
        <v>468</v>
      </c>
      <c r="E119" s="89">
        <f>HLOOKUP($D$4,'8.13 Bourgeoisie investissement'!$E$3:$R$184,114,0)</f>
        <v>0</v>
      </c>
    </row>
    <row r="120" spans="2:5" x14ac:dyDescent="0.25">
      <c r="C120">
        <v>633</v>
      </c>
      <c r="D120" t="s">
        <v>469</v>
      </c>
      <c r="E120" s="89">
        <f>HLOOKUP($D$4,'8.13 Bourgeoisie investissement'!$E$3:$R$184,115,0)</f>
        <v>0</v>
      </c>
    </row>
    <row r="121" spans="2:5" x14ac:dyDescent="0.25">
      <c r="C121">
        <v>634</v>
      </c>
      <c r="D121" t="s">
        <v>470</v>
      </c>
      <c r="E121" s="89">
        <f>HLOOKUP($D$4,'8.13 Bourgeoisie investissement'!$E$3:$R$184,116,0)</f>
        <v>0</v>
      </c>
    </row>
    <row r="122" spans="2:5" x14ac:dyDescent="0.25">
      <c r="C122">
        <v>635</v>
      </c>
      <c r="D122" t="s">
        <v>471</v>
      </c>
      <c r="E122" s="89">
        <f>HLOOKUP($D$4,'8.13 Bourgeoisie investissement'!$E$3:$R$184,117,0)</f>
        <v>0</v>
      </c>
    </row>
    <row r="123" spans="2:5" x14ac:dyDescent="0.25">
      <c r="C123">
        <v>636</v>
      </c>
      <c r="D123" t="s">
        <v>472</v>
      </c>
      <c r="E123" s="89">
        <f>HLOOKUP($D$4,'8.13 Bourgeoisie investissement'!$E$3:$R$184,118,0)</f>
        <v>0</v>
      </c>
    </row>
    <row r="124" spans="2:5" x14ac:dyDescent="0.25">
      <c r="C124">
        <v>637</v>
      </c>
      <c r="D124" t="s">
        <v>473</v>
      </c>
      <c r="E124" s="89">
        <f>HLOOKUP($D$4,'8.13 Bourgeoisie investissement'!$E$3:$R$184,119,0)</f>
        <v>0</v>
      </c>
    </row>
    <row r="125" spans="2:5" x14ac:dyDescent="0.25">
      <c r="C125">
        <v>638</v>
      </c>
      <c r="D125" t="s">
        <v>474</v>
      </c>
      <c r="E125" s="89">
        <f>HLOOKUP($D$4,'8.13 Bourgeoisie investissement'!$E$3:$R$184,120,0)</f>
        <v>0</v>
      </c>
    </row>
    <row r="126" spans="2:5" x14ac:dyDescent="0.25">
      <c r="E126" s="89"/>
    </row>
    <row r="127" spans="2:5" x14ac:dyDescent="0.25">
      <c r="B127" s="105">
        <v>64</v>
      </c>
      <c r="C127" s="105"/>
      <c r="D127" s="105" t="s">
        <v>486</v>
      </c>
      <c r="E127" s="103">
        <f>HLOOKUP($D$4,'8.13 Bourgeoisie investissement'!$E$3:$R$184,122,0)</f>
        <v>0</v>
      </c>
    </row>
    <row r="128" spans="2:5" x14ac:dyDescent="0.25">
      <c r="C128">
        <v>640</v>
      </c>
      <c r="D128" t="s">
        <v>466</v>
      </c>
      <c r="E128" s="89">
        <f>HLOOKUP($D$4,'8.13 Bourgeoisie investissement'!$E$3:$R$184,123,0)</f>
        <v>0</v>
      </c>
    </row>
    <row r="129" spans="2:5" x14ac:dyDescent="0.25">
      <c r="C129">
        <v>641</v>
      </c>
      <c r="D129" t="s">
        <v>467</v>
      </c>
      <c r="E129" s="89">
        <f>HLOOKUP($D$4,'8.13 Bourgeoisie investissement'!$E$3:$R$184,124,0)</f>
        <v>0</v>
      </c>
    </row>
    <row r="130" spans="2:5" x14ac:dyDescent="0.25">
      <c r="C130">
        <v>642</v>
      </c>
      <c r="D130" t="s">
        <v>468</v>
      </c>
      <c r="E130" s="89">
        <f>HLOOKUP($D$4,'8.13 Bourgeoisie investissement'!$E$3:$R$184,125,0)</f>
        <v>0</v>
      </c>
    </row>
    <row r="131" spans="2:5" x14ac:dyDescent="0.25">
      <c r="C131">
        <v>643</v>
      </c>
      <c r="D131" t="s">
        <v>469</v>
      </c>
      <c r="E131" s="89">
        <f>HLOOKUP($D$4,'8.13 Bourgeoisie investissement'!$E$3:$R$184,126,0)</f>
        <v>0</v>
      </c>
    </row>
    <row r="132" spans="2:5" x14ac:dyDescent="0.25">
      <c r="C132">
        <v>644</v>
      </c>
      <c r="D132" t="s">
        <v>470</v>
      </c>
      <c r="E132" s="89">
        <f>HLOOKUP($D$4,'8.13 Bourgeoisie investissement'!$E$3:$R$184,127,0)</f>
        <v>0</v>
      </c>
    </row>
    <row r="133" spans="2:5" x14ac:dyDescent="0.25">
      <c r="C133">
        <v>645</v>
      </c>
      <c r="D133" t="s">
        <v>471</v>
      </c>
      <c r="E133" s="89">
        <f>HLOOKUP($D$4,'8.13 Bourgeoisie investissement'!$E$3:$R$184,128,0)</f>
        <v>0</v>
      </c>
    </row>
    <row r="134" spans="2:5" x14ac:dyDescent="0.25">
      <c r="C134">
        <v>646</v>
      </c>
      <c r="D134" t="s">
        <v>472</v>
      </c>
      <c r="E134" s="89">
        <f>HLOOKUP($D$4,'8.13 Bourgeoisie investissement'!$E$3:$R$184,129,0)</f>
        <v>0</v>
      </c>
    </row>
    <row r="135" spans="2:5" x14ac:dyDescent="0.25">
      <c r="C135">
        <v>647</v>
      </c>
      <c r="D135" t="s">
        <v>473</v>
      </c>
      <c r="E135" s="89">
        <f>HLOOKUP($D$4,'8.13 Bourgeoisie investissement'!$E$3:$R$184,130,0)</f>
        <v>0</v>
      </c>
    </row>
    <row r="136" spans="2:5" x14ac:dyDescent="0.25">
      <c r="C136">
        <v>648</v>
      </c>
      <c r="D136" t="s">
        <v>474</v>
      </c>
      <c r="E136" s="89">
        <f>HLOOKUP($D$4,'8.13 Bourgeoisie investissement'!$E$3:$R$184,131,0)</f>
        <v>0</v>
      </c>
    </row>
    <row r="137" spans="2:5" x14ac:dyDescent="0.25">
      <c r="E137" s="89"/>
    </row>
    <row r="138" spans="2:5" x14ac:dyDescent="0.25">
      <c r="B138" s="105">
        <v>65</v>
      </c>
      <c r="C138" s="105"/>
      <c r="D138" s="105" t="s">
        <v>487</v>
      </c>
      <c r="E138" s="103">
        <f>HLOOKUP($D$4,'8.13 Bourgeoisie investissement'!$E$3:$R$184,133,0)</f>
        <v>0</v>
      </c>
    </row>
    <row r="139" spans="2:5" x14ac:dyDescent="0.25">
      <c r="C139">
        <v>650</v>
      </c>
      <c r="D139" t="s">
        <v>466</v>
      </c>
      <c r="E139" s="89">
        <f>HLOOKUP($D$4,'8.13 Bourgeoisie investissement'!$E$3:$R$184,134,0)</f>
        <v>0</v>
      </c>
    </row>
    <row r="140" spans="2:5" x14ac:dyDescent="0.25">
      <c r="C140">
        <v>651</v>
      </c>
      <c r="D140" t="s">
        <v>467</v>
      </c>
      <c r="E140" s="89">
        <f>HLOOKUP($D$4,'8.13 Bourgeoisie investissement'!$E$3:$R$184,135,0)</f>
        <v>0</v>
      </c>
    </row>
    <row r="141" spans="2:5" x14ac:dyDescent="0.25">
      <c r="C141">
        <v>652</v>
      </c>
      <c r="D141" t="s">
        <v>468</v>
      </c>
      <c r="E141" s="89">
        <f>HLOOKUP($D$4,'8.13 Bourgeoisie investissement'!$E$3:$R$184,136,0)</f>
        <v>0</v>
      </c>
    </row>
    <row r="142" spans="2:5" x14ac:dyDescent="0.25">
      <c r="C142">
        <v>653</v>
      </c>
      <c r="D142" t="s">
        <v>469</v>
      </c>
      <c r="E142" s="89">
        <f>HLOOKUP($D$4,'8.13 Bourgeoisie investissement'!$E$3:$R$184,137,0)</f>
        <v>0</v>
      </c>
    </row>
    <row r="143" spans="2:5" x14ac:dyDescent="0.25">
      <c r="C143">
        <v>654</v>
      </c>
      <c r="D143" t="s">
        <v>470</v>
      </c>
      <c r="E143" s="89">
        <f>HLOOKUP($D$4,'8.13 Bourgeoisie investissement'!$E$3:$R$184,138,0)</f>
        <v>0</v>
      </c>
    </row>
    <row r="144" spans="2:5" x14ac:dyDescent="0.25">
      <c r="C144">
        <v>655</v>
      </c>
      <c r="D144" t="s">
        <v>471</v>
      </c>
      <c r="E144" s="89">
        <f>HLOOKUP($D$4,'8.13 Bourgeoisie investissement'!$E$3:$R$184,139,0)</f>
        <v>0</v>
      </c>
    </row>
    <row r="145" spans="2:5" x14ac:dyDescent="0.25">
      <c r="C145">
        <v>656</v>
      </c>
      <c r="D145" t="s">
        <v>472</v>
      </c>
      <c r="E145" s="89">
        <f>HLOOKUP($D$4,'8.13 Bourgeoisie investissement'!$E$3:$R$184,140,0)</f>
        <v>0</v>
      </c>
    </row>
    <row r="146" spans="2:5" x14ac:dyDescent="0.25">
      <c r="C146">
        <v>657</v>
      </c>
      <c r="D146" t="s">
        <v>473</v>
      </c>
      <c r="E146" s="89">
        <f>HLOOKUP($D$4,'8.13 Bourgeoisie investissement'!$E$3:$R$184,141,0)</f>
        <v>0</v>
      </c>
    </row>
    <row r="147" spans="2:5" x14ac:dyDescent="0.25">
      <c r="C147">
        <v>658</v>
      </c>
      <c r="D147" t="s">
        <v>474</v>
      </c>
      <c r="E147" s="89">
        <f>HLOOKUP($D$4,'8.13 Bourgeoisie investissement'!$E$3:$R$184,142,0)</f>
        <v>0</v>
      </c>
    </row>
    <row r="148" spans="2:5" x14ac:dyDescent="0.25">
      <c r="E148" s="89"/>
    </row>
    <row r="149" spans="2:5" x14ac:dyDescent="0.25">
      <c r="B149" s="105">
        <v>66</v>
      </c>
      <c r="C149" s="105"/>
      <c r="D149" s="105" t="s">
        <v>488</v>
      </c>
      <c r="E149" s="103">
        <f>HLOOKUP($D$4,'8.13 Bourgeoisie investissement'!$E$3:$R$184,144,0)</f>
        <v>0</v>
      </c>
    </row>
    <row r="150" spans="2:5" x14ac:dyDescent="0.25">
      <c r="C150">
        <v>660</v>
      </c>
      <c r="D150" t="s">
        <v>466</v>
      </c>
      <c r="E150" s="89">
        <f>HLOOKUP($D$4,'8.13 Bourgeoisie investissement'!$E$3:$R$184,145,0)</f>
        <v>0</v>
      </c>
    </row>
    <row r="151" spans="2:5" x14ac:dyDescent="0.25">
      <c r="C151">
        <v>661</v>
      </c>
      <c r="D151" t="s">
        <v>467</v>
      </c>
      <c r="E151" s="89">
        <f>HLOOKUP($D$4,'8.13 Bourgeoisie investissement'!$E$3:$R$184,146,0)</f>
        <v>0</v>
      </c>
    </row>
    <row r="152" spans="2:5" x14ac:dyDescent="0.25">
      <c r="C152">
        <v>662</v>
      </c>
      <c r="D152" t="s">
        <v>468</v>
      </c>
      <c r="E152" s="89">
        <f>HLOOKUP($D$4,'8.13 Bourgeoisie investissement'!$E$3:$R$184,147,0)</f>
        <v>0</v>
      </c>
    </row>
    <row r="153" spans="2:5" x14ac:dyDescent="0.25">
      <c r="C153">
        <v>663</v>
      </c>
      <c r="D153" t="s">
        <v>469</v>
      </c>
      <c r="E153" s="89">
        <f>HLOOKUP($D$4,'8.13 Bourgeoisie investissement'!$E$3:$R$184,148,0)</f>
        <v>0</v>
      </c>
    </row>
    <row r="154" spans="2:5" x14ac:dyDescent="0.25">
      <c r="C154">
        <v>664</v>
      </c>
      <c r="D154" t="s">
        <v>470</v>
      </c>
      <c r="E154" s="89">
        <f>HLOOKUP($D$4,'8.13 Bourgeoisie investissement'!$E$3:$R$184,149,0)</f>
        <v>0</v>
      </c>
    </row>
    <row r="155" spans="2:5" x14ac:dyDescent="0.25">
      <c r="C155">
        <v>665</v>
      </c>
      <c r="D155" t="s">
        <v>471</v>
      </c>
      <c r="E155" s="89">
        <f>HLOOKUP($D$4,'8.13 Bourgeoisie investissement'!$E$3:$R$184,150,0)</f>
        <v>0</v>
      </c>
    </row>
    <row r="156" spans="2:5" x14ac:dyDescent="0.25">
      <c r="C156">
        <v>666</v>
      </c>
      <c r="D156" t="s">
        <v>472</v>
      </c>
      <c r="E156" s="89">
        <f>HLOOKUP($D$4,'8.13 Bourgeoisie investissement'!$E$3:$R$184,151,0)</f>
        <v>0</v>
      </c>
    </row>
    <row r="157" spans="2:5" x14ac:dyDescent="0.25">
      <c r="C157">
        <v>667</v>
      </c>
      <c r="D157" t="s">
        <v>473</v>
      </c>
      <c r="E157" s="89">
        <f>HLOOKUP($D$4,'8.13 Bourgeoisie investissement'!$E$3:$R$184,152,0)</f>
        <v>0</v>
      </c>
    </row>
    <row r="158" spans="2:5" x14ac:dyDescent="0.25">
      <c r="C158">
        <v>668</v>
      </c>
      <c r="D158" t="s">
        <v>474</v>
      </c>
      <c r="E158" s="89">
        <f>HLOOKUP($D$4,'8.13 Bourgeoisie investissement'!$E$3:$R$184,153,0)</f>
        <v>0</v>
      </c>
    </row>
    <row r="159" spans="2:5" x14ac:dyDescent="0.25">
      <c r="E159" s="89"/>
    </row>
    <row r="160" spans="2:5" x14ac:dyDescent="0.25">
      <c r="B160" s="105">
        <v>67</v>
      </c>
      <c r="C160" s="105"/>
      <c r="D160" s="105" t="s">
        <v>476</v>
      </c>
      <c r="E160" s="103">
        <f>HLOOKUP($D$4,'8.13 Bourgeoisie investissement'!$E$3:$R$184,155,0)</f>
        <v>0</v>
      </c>
    </row>
    <row r="161" spans="2:5" x14ac:dyDescent="0.25">
      <c r="C161">
        <v>670</v>
      </c>
      <c r="D161" t="s">
        <v>466</v>
      </c>
      <c r="E161" s="89">
        <f>HLOOKUP($D$4,'8.13 Bourgeoisie investissement'!$E$3:$R$184,156,0)</f>
        <v>0</v>
      </c>
    </row>
    <row r="162" spans="2:5" x14ac:dyDescent="0.25">
      <c r="C162">
        <v>671</v>
      </c>
      <c r="D162" t="s">
        <v>467</v>
      </c>
      <c r="E162" s="89">
        <f>HLOOKUP($D$4,'8.13 Bourgeoisie investissement'!$E$3:$R$184,157,0)</f>
        <v>0</v>
      </c>
    </row>
    <row r="163" spans="2:5" x14ac:dyDescent="0.25">
      <c r="C163">
        <v>672</v>
      </c>
      <c r="D163" t="s">
        <v>468</v>
      </c>
      <c r="E163" s="89">
        <f>HLOOKUP($D$4,'8.13 Bourgeoisie investissement'!$E$3:$R$184,158,0)</f>
        <v>0</v>
      </c>
    </row>
    <row r="164" spans="2:5" x14ac:dyDescent="0.25">
      <c r="C164">
        <v>673</v>
      </c>
      <c r="D164" t="s">
        <v>469</v>
      </c>
      <c r="E164" s="89">
        <f>HLOOKUP($D$4,'8.13 Bourgeoisie investissement'!$E$3:$R$184,159,0)</f>
        <v>0</v>
      </c>
    </row>
    <row r="165" spans="2:5" x14ac:dyDescent="0.25">
      <c r="C165">
        <v>674</v>
      </c>
      <c r="D165" t="s">
        <v>470</v>
      </c>
      <c r="E165" s="89">
        <f>HLOOKUP($D$4,'8.13 Bourgeoisie investissement'!$E$3:$R$184,160,0)</f>
        <v>0</v>
      </c>
    </row>
    <row r="166" spans="2:5" x14ac:dyDescent="0.25">
      <c r="C166">
        <v>675</v>
      </c>
      <c r="D166" t="s">
        <v>471</v>
      </c>
      <c r="E166" s="89">
        <f>HLOOKUP($D$4,'8.13 Bourgeoisie investissement'!$E$3:$R$184,161,0)</f>
        <v>0</v>
      </c>
    </row>
    <row r="167" spans="2:5" x14ac:dyDescent="0.25">
      <c r="C167">
        <v>676</v>
      </c>
      <c r="D167" t="s">
        <v>472</v>
      </c>
      <c r="E167" s="89">
        <f>HLOOKUP($D$4,'8.13 Bourgeoisie investissement'!$E$3:$R$184,162,0)</f>
        <v>0</v>
      </c>
    </row>
    <row r="168" spans="2:5" x14ac:dyDescent="0.25">
      <c r="C168">
        <v>677</v>
      </c>
      <c r="D168" t="s">
        <v>473</v>
      </c>
      <c r="E168" s="89">
        <f>HLOOKUP($D$4,'8.13 Bourgeoisie investissement'!$E$3:$R$184,163,0)</f>
        <v>0</v>
      </c>
    </row>
    <row r="169" spans="2:5" x14ac:dyDescent="0.25">
      <c r="C169">
        <v>678</v>
      </c>
      <c r="D169" t="s">
        <v>474</v>
      </c>
      <c r="E169" s="89">
        <f>HLOOKUP($D$4,'8.13 Bourgeoisie investissement'!$E$3:$R$184,164,0)</f>
        <v>0</v>
      </c>
    </row>
    <row r="170" spans="2:5" x14ac:dyDescent="0.25">
      <c r="E170" s="89"/>
    </row>
    <row r="171" spans="2:5" x14ac:dyDescent="0.25">
      <c r="B171" s="105">
        <v>68</v>
      </c>
      <c r="C171" s="105"/>
      <c r="D171" s="105" t="s">
        <v>489</v>
      </c>
      <c r="E171" s="103">
        <f>HLOOKUP($D$4,'8.13 Bourgeoisie investissement'!$E$3:$R$184,166,0)</f>
        <v>0</v>
      </c>
    </row>
    <row r="172" spans="2:5" x14ac:dyDescent="0.25">
      <c r="C172">
        <v>680</v>
      </c>
      <c r="D172" t="s">
        <v>454</v>
      </c>
      <c r="E172" s="89">
        <f>HLOOKUP($D$4,'8.13 Bourgeoisie investissement'!$E$3:$R$184,167,0)</f>
        <v>0</v>
      </c>
    </row>
    <row r="173" spans="2:5" x14ac:dyDescent="0.25">
      <c r="C173">
        <v>682</v>
      </c>
      <c r="D173" t="s">
        <v>464</v>
      </c>
      <c r="E173" s="89">
        <f>HLOOKUP($D$4,'8.13 Bourgeoisie investissement'!$E$3:$R$184,168,0)</f>
        <v>0</v>
      </c>
    </row>
    <row r="174" spans="2:5" x14ac:dyDescent="0.25">
      <c r="C174">
        <v>683</v>
      </c>
      <c r="D174" t="s">
        <v>490</v>
      </c>
      <c r="E174" s="89">
        <f>HLOOKUP($D$4,'8.13 Bourgeoisie investissement'!$E$3:$R$184,169,0)</f>
        <v>0</v>
      </c>
    </row>
    <row r="175" spans="2:5" x14ac:dyDescent="0.25">
      <c r="C175">
        <v>684</v>
      </c>
      <c r="D175" t="s">
        <v>250</v>
      </c>
      <c r="E175" s="89">
        <f>HLOOKUP($D$4,'8.13 Bourgeoisie investissement'!$E$3:$R$184,170,0)</f>
        <v>0</v>
      </c>
    </row>
    <row r="176" spans="2:5" x14ac:dyDescent="0.25">
      <c r="C176">
        <v>685</v>
      </c>
      <c r="D176" t="s">
        <v>379</v>
      </c>
      <c r="E176" s="89">
        <f>HLOOKUP($D$4,'8.13 Bourgeoisie investissement'!$E$3:$R$184,171,0)</f>
        <v>0</v>
      </c>
    </row>
    <row r="177" spans="2:5" x14ac:dyDescent="0.25">
      <c r="C177">
        <v>686</v>
      </c>
      <c r="D177" t="s">
        <v>491</v>
      </c>
      <c r="E177" s="89">
        <f>HLOOKUP($D$4,'8.13 Bourgeoisie investissement'!$E$3:$R$184,172,0)</f>
        <v>0</v>
      </c>
    </row>
    <row r="178" spans="2:5" x14ac:dyDescent="0.25">
      <c r="C178">
        <v>689</v>
      </c>
      <c r="D178" t="s">
        <v>492</v>
      </c>
      <c r="E178" s="89">
        <f>HLOOKUP($D$4,'8.13 Bourgeoisie investissement'!$E$3:$R$184,173,0)</f>
        <v>0</v>
      </c>
    </row>
    <row r="179" spans="2:5" x14ac:dyDescent="0.25">
      <c r="E179" s="89"/>
    </row>
    <row r="180" spans="2:5" x14ac:dyDescent="0.25">
      <c r="B180" s="105">
        <v>69</v>
      </c>
      <c r="C180" s="105"/>
      <c r="D180" s="105" t="s">
        <v>493</v>
      </c>
      <c r="E180" s="103">
        <f>HLOOKUP($D$4,'8.13 Bourgeoisie investissement'!$E$3:$R$184,175,0)</f>
        <v>0</v>
      </c>
    </row>
    <row r="181" spans="2:5" x14ac:dyDescent="0.25">
      <c r="C181">
        <v>690</v>
      </c>
      <c r="D181" t="s">
        <v>493</v>
      </c>
      <c r="E181" s="89">
        <f>HLOOKUP($D$4,'8.13 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HLOOKUP($D$4,'8.13 Bourgeoisie investissement'!$E$3:$R$184,180,0)</f>
        <v>-94682.25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'8.13 Bourgeoisie investissement'!$E$3:$R$3</xm:f>
          </x14:formula1>
          <xm:sqref>D4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P137" activePane="bottomRight" state="frozen"/>
      <selection pane="topRight" activeCell="E1" sqref="E1"/>
      <selection pane="bottomLeft" activeCell="A4" sqref="A4"/>
      <selection pane="bottomRight" activeCell="P156" sqref="P156"/>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35267.050000000003</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0</v>
      </c>
      <c r="AC4" s="93">
        <f t="shared" si="0"/>
        <v>132117.85</v>
      </c>
      <c r="AD4" s="93">
        <f t="shared" si="0"/>
        <v>3101672.9299999997</v>
      </c>
      <c r="AE4" s="93">
        <f t="shared" si="0"/>
        <v>359411.53</v>
      </c>
      <c r="AF4" s="93">
        <f t="shared" si="0"/>
        <v>32335214.139999993</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3750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0</v>
      </c>
      <c r="AC5" s="95">
        <f t="shared" si="1"/>
        <v>15174.75</v>
      </c>
      <c r="AD5" s="95">
        <f t="shared" si="1"/>
        <v>716473.45</v>
      </c>
      <c r="AE5" s="95">
        <f t="shared" si="1"/>
        <v>35560.65</v>
      </c>
      <c r="AF5" s="95">
        <f t="shared" si="1"/>
        <v>5253221.1500000004</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v>1330</v>
      </c>
      <c r="Q6" s="4">
        <v>150</v>
      </c>
      <c r="R6" s="4">
        <v>420</v>
      </c>
      <c r="S6" s="4">
        <v>1375.95</v>
      </c>
      <c r="T6" s="4"/>
      <c r="U6" s="4">
        <v>8532.5</v>
      </c>
      <c r="V6" s="4">
        <v>3262</v>
      </c>
      <c r="W6" s="4">
        <v>3124.35</v>
      </c>
      <c r="X6" s="4">
        <v>20495.900000000001</v>
      </c>
      <c r="Y6" s="4">
        <v>56100</v>
      </c>
      <c r="Z6" s="4">
        <v>7792.05</v>
      </c>
      <c r="AA6" s="4">
        <v>23581.15</v>
      </c>
      <c r="AB6" s="4"/>
      <c r="AC6" s="4">
        <v>5954.1</v>
      </c>
      <c r="AD6" s="4">
        <v>5802.3</v>
      </c>
      <c r="AE6" s="4">
        <v>3150</v>
      </c>
      <c r="AF6" s="4">
        <f t="shared" ref="AF6:AF13" si="2">SUM(E6:AE6)</f>
        <v>252852.39999999997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v>2420</v>
      </c>
      <c r="Q7" s="4">
        <v>1975</v>
      </c>
      <c r="R7" s="4">
        <v>11840</v>
      </c>
      <c r="S7" s="4">
        <v>600</v>
      </c>
      <c r="T7" s="4"/>
      <c r="U7" s="4">
        <v>4400</v>
      </c>
      <c r="V7" s="4">
        <v>81266.95</v>
      </c>
      <c r="W7" s="4">
        <v>1650</v>
      </c>
      <c r="X7" s="4">
        <v>53900.65</v>
      </c>
      <c r="Y7" s="4">
        <v>782171.15</v>
      </c>
      <c r="Z7" s="4">
        <v>32444.1</v>
      </c>
      <c r="AA7" s="4">
        <v>294382.05</v>
      </c>
      <c r="AB7" s="4"/>
      <c r="AC7" s="4">
        <v>7556.25</v>
      </c>
      <c r="AD7" s="4">
        <v>577367.69999999995</v>
      </c>
      <c r="AE7" s="4">
        <v>26831.25</v>
      </c>
      <c r="AF7" s="4">
        <f t="shared" si="2"/>
        <v>4016797.05</v>
      </c>
      <c r="AG7">
        <v>5</v>
      </c>
    </row>
    <row r="8" spans="1:33"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c r="U8" s="4">
        <v>0</v>
      </c>
      <c r="V8" s="4">
        <v>0</v>
      </c>
      <c r="W8" s="4">
        <v>31412.29</v>
      </c>
      <c r="X8" s="4">
        <v>0</v>
      </c>
      <c r="Y8" s="4">
        <v>0</v>
      </c>
      <c r="Z8" s="4">
        <v>0</v>
      </c>
      <c r="AA8" s="4">
        <v>0</v>
      </c>
      <c r="AB8" s="4"/>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v>0</v>
      </c>
      <c r="Q9" s="4">
        <v>0</v>
      </c>
      <c r="R9" s="4">
        <v>0</v>
      </c>
      <c r="S9" s="4">
        <v>0</v>
      </c>
      <c r="T9" s="4"/>
      <c r="U9" s="4">
        <v>0</v>
      </c>
      <c r="V9" s="4">
        <v>0</v>
      </c>
      <c r="W9" s="4">
        <v>0</v>
      </c>
      <c r="X9" s="4">
        <v>0</v>
      </c>
      <c r="Y9" s="4">
        <v>0</v>
      </c>
      <c r="Z9" s="4">
        <v>0</v>
      </c>
      <c r="AA9" s="4">
        <v>0</v>
      </c>
      <c r="AB9" s="4"/>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v>0</v>
      </c>
      <c r="Q10" s="4">
        <v>0</v>
      </c>
      <c r="R10" s="4">
        <v>0</v>
      </c>
      <c r="S10" s="4">
        <v>0</v>
      </c>
      <c r="T10" s="4"/>
      <c r="U10" s="4">
        <v>0</v>
      </c>
      <c r="V10" s="4">
        <v>0</v>
      </c>
      <c r="W10" s="4">
        <v>0</v>
      </c>
      <c r="X10" s="4">
        <v>0</v>
      </c>
      <c r="Y10" s="4">
        <v>0</v>
      </c>
      <c r="Z10" s="4">
        <v>0</v>
      </c>
      <c r="AA10" s="4">
        <v>0</v>
      </c>
      <c r="AB10" s="4"/>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v>0</v>
      </c>
      <c r="Q11" s="4">
        <v>0</v>
      </c>
      <c r="R11" s="4">
        <v>1286.2</v>
      </c>
      <c r="S11" s="4">
        <v>0</v>
      </c>
      <c r="T11" s="4"/>
      <c r="U11" s="4">
        <v>711.15</v>
      </c>
      <c r="V11" s="4">
        <v>19570.400000000001</v>
      </c>
      <c r="W11" s="4">
        <v>5960.84</v>
      </c>
      <c r="X11" s="4">
        <v>5804.85</v>
      </c>
      <c r="Y11" s="4">
        <v>156014.6</v>
      </c>
      <c r="Z11" s="4">
        <v>2355.5</v>
      </c>
      <c r="AA11" s="4">
        <v>59303.1</v>
      </c>
      <c r="AB11" s="4"/>
      <c r="AC11" s="4">
        <v>1092.0999999999999</v>
      </c>
      <c r="AD11" s="4">
        <v>122098.95</v>
      </c>
      <c r="AE11" s="4">
        <v>3903.9</v>
      </c>
      <c r="AF11" s="4">
        <f t="shared" si="2"/>
        <v>854718.24</v>
      </c>
      <c r="AG11">
        <v>9</v>
      </c>
    </row>
    <row r="12" spans="1:33" x14ac:dyDescent="0.25">
      <c r="C12">
        <v>306</v>
      </c>
      <c r="D12" t="s">
        <v>85</v>
      </c>
      <c r="E12" s="4">
        <v>0</v>
      </c>
      <c r="F12" s="4">
        <v>0</v>
      </c>
      <c r="G12" s="4">
        <v>0</v>
      </c>
      <c r="H12" s="4">
        <v>0</v>
      </c>
      <c r="I12" s="4">
        <v>0</v>
      </c>
      <c r="J12" s="4">
        <v>0</v>
      </c>
      <c r="K12" s="4">
        <v>0</v>
      </c>
      <c r="L12" s="4">
        <v>0</v>
      </c>
      <c r="M12" s="4">
        <v>0</v>
      </c>
      <c r="N12" s="4">
        <v>0</v>
      </c>
      <c r="O12" s="4">
        <v>0</v>
      </c>
      <c r="P12" s="4">
        <v>0</v>
      </c>
      <c r="Q12" s="4">
        <v>0</v>
      </c>
      <c r="R12" s="4">
        <v>0</v>
      </c>
      <c r="S12" s="4">
        <v>0</v>
      </c>
      <c r="T12" s="4"/>
      <c r="U12" s="4">
        <v>0</v>
      </c>
      <c r="V12" s="4">
        <v>0</v>
      </c>
      <c r="W12" s="4">
        <v>0</v>
      </c>
      <c r="X12" s="4">
        <v>0</v>
      </c>
      <c r="Y12" s="4">
        <v>3675</v>
      </c>
      <c r="Z12" s="4">
        <v>0</v>
      </c>
      <c r="AA12" s="4">
        <v>0</v>
      </c>
      <c r="AB12" s="4"/>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v>0</v>
      </c>
      <c r="Q13" s="4">
        <v>0</v>
      </c>
      <c r="R13" s="4">
        <v>0</v>
      </c>
      <c r="S13" s="4">
        <v>0</v>
      </c>
      <c r="T13" s="4"/>
      <c r="U13" s="4">
        <v>768.7</v>
      </c>
      <c r="V13" s="4">
        <v>34.5</v>
      </c>
      <c r="W13" s="4">
        <v>771.27</v>
      </c>
      <c r="X13" s="4">
        <v>0</v>
      </c>
      <c r="Y13" s="4">
        <v>11743</v>
      </c>
      <c r="Z13" s="4">
        <v>1221.95</v>
      </c>
      <c r="AA13" s="4">
        <v>2285.75</v>
      </c>
      <c r="AB13" s="4"/>
      <c r="AC13" s="4">
        <v>572.29999999999995</v>
      </c>
      <c r="AD13" s="4">
        <v>11204.5</v>
      </c>
      <c r="AE13" s="4">
        <v>1125.5</v>
      </c>
      <c r="AF13" s="4">
        <f t="shared" si="2"/>
        <v>72954.319999999978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26183.5</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0</v>
      </c>
      <c r="AC15" s="95">
        <f t="shared" si="3"/>
        <v>12127.65</v>
      </c>
      <c r="AD15" s="95">
        <f t="shared" si="3"/>
        <v>1878704.6599999997</v>
      </c>
      <c r="AE15" s="95">
        <f t="shared" si="3"/>
        <v>101238.88</v>
      </c>
      <c r="AF15" s="95">
        <f t="shared" si="3"/>
        <v>14246461.259999998</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v>2623.7</v>
      </c>
      <c r="Q16" s="4">
        <v>482.45</v>
      </c>
      <c r="R16" s="4">
        <v>2136.35</v>
      </c>
      <c r="S16" s="4">
        <v>219.3</v>
      </c>
      <c r="T16" s="4"/>
      <c r="U16" s="4">
        <v>6030.3</v>
      </c>
      <c r="V16" s="4">
        <v>67809.88</v>
      </c>
      <c r="W16" s="4">
        <v>0</v>
      </c>
      <c r="X16" s="4">
        <v>113371.42</v>
      </c>
      <c r="Y16" s="4">
        <v>119732</v>
      </c>
      <c r="Z16" s="4">
        <v>49881.4</v>
      </c>
      <c r="AA16" s="4">
        <v>89966.31</v>
      </c>
      <c r="AB16" s="4"/>
      <c r="AC16" s="4">
        <v>50</v>
      </c>
      <c r="AD16" s="4">
        <v>360048.25</v>
      </c>
      <c r="AE16" s="4">
        <v>2603.3000000000002</v>
      </c>
      <c r="AF16" s="4">
        <f t="shared" ref="AF16:AF25" si="4">SUM(E16:AE16)</f>
        <v>1919204.8099999998</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v>4588</v>
      </c>
      <c r="Q17" s="4">
        <v>0</v>
      </c>
      <c r="R17" s="4">
        <v>0</v>
      </c>
      <c r="S17" s="4">
        <v>0</v>
      </c>
      <c r="T17" s="4"/>
      <c r="U17" s="4">
        <v>129</v>
      </c>
      <c r="V17" s="4">
        <v>22539.3</v>
      </c>
      <c r="W17" s="4">
        <v>0</v>
      </c>
      <c r="X17" s="4">
        <v>0</v>
      </c>
      <c r="Y17" s="4">
        <v>26810.2</v>
      </c>
      <c r="Z17" s="4">
        <v>252.35</v>
      </c>
      <c r="AA17" s="4">
        <v>20177.509999999998</v>
      </c>
      <c r="AB17" s="4"/>
      <c r="AC17" s="4">
        <v>0</v>
      </c>
      <c r="AD17" s="4">
        <v>41284.660000000003</v>
      </c>
      <c r="AE17" s="4">
        <v>9797.35</v>
      </c>
      <c r="AF17" s="4">
        <f t="shared" si="4"/>
        <v>276294.69999999995</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v>0</v>
      </c>
      <c r="Q18" s="4">
        <v>379.4</v>
      </c>
      <c r="R18" s="4">
        <v>2462.5</v>
      </c>
      <c r="S18" s="4">
        <v>286.39999999999998</v>
      </c>
      <c r="T18" s="4"/>
      <c r="U18" s="4">
        <v>0</v>
      </c>
      <c r="V18" s="4">
        <v>54407</v>
      </c>
      <c r="W18" s="4">
        <v>0</v>
      </c>
      <c r="X18" s="4">
        <v>142045.85</v>
      </c>
      <c r="Y18" s="4">
        <v>494900.5</v>
      </c>
      <c r="Z18" s="4">
        <v>25741.45</v>
      </c>
      <c r="AA18" s="4">
        <v>119910.26</v>
      </c>
      <c r="AB18" s="4"/>
      <c r="AC18" s="4">
        <v>6366</v>
      </c>
      <c r="AD18" s="4">
        <v>207912.19</v>
      </c>
      <c r="AE18" s="4">
        <v>21773.55</v>
      </c>
      <c r="AF18" s="4">
        <f t="shared" si="4"/>
        <v>2238588.42</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v>1929.6</v>
      </c>
      <c r="Q19" s="4">
        <v>1265</v>
      </c>
      <c r="R19" s="4">
        <v>9369.6</v>
      </c>
      <c r="S19" s="4">
        <v>16.649999999999999</v>
      </c>
      <c r="T19" s="4"/>
      <c r="U19" s="4">
        <v>33255.14</v>
      </c>
      <c r="V19" s="4">
        <v>14143.75</v>
      </c>
      <c r="W19" s="4">
        <v>0</v>
      </c>
      <c r="X19" s="4">
        <v>66975.3</v>
      </c>
      <c r="Y19" s="4">
        <v>1704608.87</v>
      </c>
      <c r="Z19" s="4">
        <v>46312.44</v>
      </c>
      <c r="AA19" s="4">
        <v>201994.52</v>
      </c>
      <c r="AB19" s="4"/>
      <c r="AC19" s="4">
        <v>4780.8</v>
      </c>
      <c r="AD19" s="4">
        <v>628759.06999999995</v>
      </c>
      <c r="AE19" s="4">
        <v>53855.5</v>
      </c>
      <c r="AF19" s="4">
        <f t="shared" si="4"/>
        <v>7209032.1699999999</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v>17042.2</v>
      </c>
      <c r="Q20" s="4">
        <v>118.15</v>
      </c>
      <c r="R20" s="4">
        <v>15485.5</v>
      </c>
      <c r="S20" s="4">
        <v>2100</v>
      </c>
      <c r="T20" s="4"/>
      <c r="U20" s="4">
        <v>0</v>
      </c>
      <c r="V20" s="4">
        <v>28100.04</v>
      </c>
      <c r="W20" s="4">
        <v>0</v>
      </c>
      <c r="X20" s="4">
        <v>4617.3</v>
      </c>
      <c r="Y20" s="4">
        <v>100791.7</v>
      </c>
      <c r="Z20" s="4">
        <v>90206.5</v>
      </c>
      <c r="AA20" s="4">
        <v>109788.49</v>
      </c>
      <c r="AB20" s="4"/>
      <c r="AC20" s="4">
        <v>0</v>
      </c>
      <c r="AD20" s="4">
        <v>76355.69</v>
      </c>
      <c r="AE20" s="4">
        <v>12399.3</v>
      </c>
      <c r="AF20" s="4">
        <f t="shared" si="4"/>
        <v>1014412.26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v>0</v>
      </c>
      <c r="Q21" s="4">
        <v>0</v>
      </c>
      <c r="R21" s="4">
        <v>0</v>
      </c>
      <c r="S21" s="4">
        <v>0</v>
      </c>
      <c r="T21" s="4"/>
      <c r="U21" s="4">
        <v>0</v>
      </c>
      <c r="V21" s="4">
        <v>11940.5</v>
      </c>
      <c r="W21" s="4">
        <v>0</v>
      </c>
      <c r="X21" s="4">
        <v>28632.1</v>
      </c>
      <c r="Y21" s="4">
        <v>42053.25</v>
      </c>
      <c r="Z21" s="4">
        <v>771.45</v>
      </c>
      <c r="AA21" s="4">
        <v>62939.78</v>
      </c>
      <c r="AB21" s="4"/>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v>0</v>
      </c>
      <c r="Q22" s="4">
        <v>0</v>
      </c>
      <c r="R22" s="4">
        <v>500</v>
      </c>
      <c r="S22" s="4">
        <v>0</v>
      </c>
      <c r="T22" s="4"/>
      <c r="U22" s="4">
        <v>1200</v>
      </c>
      <c r="V22" s="4">
        <v>31200</v>
      </c>
      <c r="W22" s="4">
        <v>0</v>
      </c>
      <c r="X22" s="4">
        <v>0</v>
      </c>
      <c r="Y22" s="4">
        <v>30481.25</v>
      </c>
      <c r="Z22" s="4">
        <v>37214</v>
      </c>
      <c r="AA22" s="4">
        <v>0</v>
      </c>
      <c r="AB22" s="4"/>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v>0</v>
      </c>
      <c r="Q23" s="4">
        <v>0</v>
      </c>
      <c r="R23" s="4">
        <v>0</v>
      </c>
      <c r="S23" s="4">
        <v>0</v>
      </c>
      <c r="T23" s="4"/>
      <c r="U23" s="4">
        <v>0</v>
      </c>
      <c r="V23" s="4">
        <v>16830.5</v>
      </c>
      <c r="W23" s="4">
        <v>0</v>
      </c>
      <c r="X23" s="4">
        <v>0</v>
      </c>
      <c r="Y23" s="4">
        <v>13755.1</v>
      </c>
      <c r="Z23" s="4">
        <v>0</v>
      </c>
      <c r="AA23" s="4">
        <v>1408.01</v>
      </c>
      <c r="AB23" s="4"/>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v>0</v>
      </c>
      <c r="Q24" s="4">
        <v>0</v>
      </c>
      <c r="R24" s="4">
        <v>0</v>
      </c>
      <c r="S24" s="4">
        <v>0</v>
      </c>
      <c r="T24" s="4"/>
      <c r="U24" s="4">
        <v>103</v>
      </c>
      <c r="V24" s="4">
        <v>0</v>
      </c>
      <c r="W24" s="4">
        <v>0</v>
      </c>
      <c r="X24" s="4">
        <v>0</v>
      </c>
      <c r="Y24" s="4">
        <v>191.75</v>
      </c>
      <c r="Z24" s="4">
        <v>0</v>
      </c>
      <c r="AA24" s="4">
        <v>216.9</v>
      </c>
      <c r="AB24" s="4"/>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v>0</v>
      </c>
      <c r="Q25" s="4">
        <v>0</v>
      </c>
      <c r="R25" s="4">
        <v>0</v>
      </c>
      <c r="S25" s="4">
        <v>0</v>
      </c>
      <c r="T25" s="4"/>
      <c r="U25" s="4">
        <v>0</v>
      </c>
      <c r="V25" s="4">
        <v>0</v>
      </c>
      <c r="W25" s="4">
        <v>0</v>
      </c>
      <c r="X25" s="4">
        <v>34290.9</v>
      </c>
      <c r="Y25" s="4">
        <v>0</v>
      </c>
      <c r="Z25" s="4">
        <v>0</v>
      </c>
      <c r="AA25" s="4">
        <v>174.63</v>
      </c>
      <c r="AB25" s="4"/>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5333.55</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7356573.6899999995</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v>5333.55</v>
      </c>
      <c r="Q28" s="4">
        <v>2800</v>
      </c>
      <c r="R28" s="4">
        <v>0</v>
      </c>
      <c r="S28" s="4">
        <v>0</v>
      </c>
      <c r="T28" s="4"/>
      <c r="U28" s="4">
        <v>0</v>
      </c>
      <c r="V28" s="4">
        <v>63285</v>
      </c>
      <c r="W28" s="4">
        <v>0</v>
      </c>
      <c r="X28" s="4">
        <v>282424.71999999997</v>
      </c>
      <c r="Y28" s="4">
        <v>479699.49</v>
      </c>
      <c r="Z28" s="4">
        <v>95000</v>
      </c>
      <c r="AA28" s="4">
        <v>147832.93</v>
      </c>
      <c r="AB28" s="4"/>
      <c r="AC28" s="4">
        <v>0</v>
      </c>
      <c r="AD28" s="4">
        <v>426041.85</v>
      </c>
      <c r="AE28" s="4">
        <v>125000</v>
      </c>
      <c r="AF28" s="4">
        <f>SUM(E28:AE28)</f>
        <v>7311468.6399999997</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v>0</v>
      </c>
      <c r="Q29" s="4">
        <v>0</v>
      </c>
      <c r="R29" s="4">
        <v>0</v>
      </c>
      <c r="S29" s="4">
        <v>0</v>
      </c>
      <c r="T29" s="4"/>
      <c r="U29" s="4">
        <v>0</v>
      </c>
      <c r="V29" s="4">
        <v>0</v>
      </c>
      <c r="W29" s="4">
        <v>0</v>
      </c>
      <c r="X29" s="4">
        <v>0</v>
      </c>
      <c r="Y29" s="4">
        <v>0</v>
      </c>
      <c r="Z29" s="4">
        <v>0</v>
      </c>
      <c r="AA29" s="4">
        <v>0</v>
      </c>
      <c r="AB29" s="4"/>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v>0</v>
      </c>
      <c r="Q32" s="4">
        <v>150.94999999999999</v>
      </c>
      <c r="R32" s="4">
        <v>0</v>
      </c>
      <c r="S32" s="4">
        <v>0</v>
      </c>
      <c r="T32" s="4"/>
      <c r="U32" s="4">
        <v>12971.45</v>
      </c>
      <c r="V32" s="4">
        <v>17500.37</v>
      </c>
      <c r="W32" s="4">
        <v>0</v>
      </c>
      <c r="X32" s="4">
        <v>2739.05</v>
      </c>
      <c r="Y32" s="4">
        <v>217191.88</v>
      </c>
      <c r="Z32" s="4">
        <v>15829.95</v>
      </c>
      <c r="AA32" s="4">
        <v>23939.82</v>
      </c>
      <c r="AB32" s="4"/>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c r="U33" s="4"/>
      <c r="V33" s="4">
        <v>0</v>
      </c>
      <c r="W33" s="4">
        <v>0</v>
      </c>
      <c r="X33" s="4">
        <v>0</v>
      </c>
      <c r="Y33" s="4">
        <v>0</v>
      </c>
      <c r="Z33" s="4">
        <v>0</v>
      </c>
      <c r="AA33" s="4">
        <v>0</v>
      </c>
      <c r="AB33" s="4"/>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v>0</v>
      </c>
      <c r="Q34" s="4">
        <v>0</v>
      </c>
      <c r="R34" s="4">
        <v>0</v>
      </c>
      <c r="S34" s="4">
        <v>0</v>
      </c>
      <c r="T34" s="4"/>
      <c r="U34" s="4">
        <v>0</v>
      </c>
      <c r="V34" s="4">
        <v>0</v>
      </c>
      <c r="W34" s="4">
        <v>0</v>
      </c>
      <c r="X34" s="4">
        <v>0</v>
      </c>
      <c r="Y34" s="4">
        <v>0</v>
      </c>
      <c r="Z34" s="4">
        <v>0</v>
      </c>
      <c r="AA34" s="4">
        <v>0</v>
      </c>
      <c r="AB34" s="4"/>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v>0</v>
      </c>
      <c r="Q35" s="4">
        <v>0</v>
      </c>
      <c r="R35" s="4">
        <v>0</v>
      </c>
      <c r="S35" s="4">
        <v>0</v>
      </c>
      <c r="T35" s="4"/>
      <c r="U35" s="4">
        <v>116400.75</v>
      </c>
      <c r="V35" s="4">
        <v>0</v>
      </c>
      <c r="W35" s="4">
        <v>0</v>
      </c>
      <c r="X35" s="4">
        <v>0</v>
      </c>
      <c r="Y35" s="4">
        <v>0</v>
      </c>
      <c r="Z35" s="4">
        <v>0</v>
      </c>
      <c r="AA35" s="4">
        <v>0</v>
      </c>
      <c r="AB35" s="4"/>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v>0</v>
      </c>
      <c r="Q36" s="4">
        <v>0</v>
      </c>
      <c r="R36" s="4">
        <v>0</v>
      </c>
      <c r="S36" s="4">
        <v>0</v>
      </c>
      <c r="T36" s="4"/>
      <c r="U36" s="4">
        <v>0</v>
      </c>
      <c r="V36" s="4">
        <v>0</v>
      </c>
      <c r="W36" s="4">
        <v>0</v>
      </c>
      <c r="X36" s="4">
        <v>0</v>
      </c>
      <c r="Y36" s="4">
        <v>0</v>
      </c>
      <c r="Z36" s="4">
        <v>0</v>
      </c>
      <c r="AA36" s="4">
        <v>0</v>
      </c>
      <c r="AB36" s="4"/>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v>0</v>
      </c>
      <c r="Q37" s="4">
        <v>0</v>
      </c>
      <c r="R37" s="4">
        <v>0</v>
      </c>
      <c r="S37" s="4">
        <v>0</v>
      </c>
      <c r="T37" s="4"/>
      <c r="U37" s="4">
        <v>0</v>
      </c>
      <c r="V37" s="4">
        <v>0</v>
      </c>
      <c r="W37" s="4">
        <v>0</v>
      </c>
      <c r="X37" s="4">
        <v>0</v>
      </c>
      <c r="Y37" s="4">
        <v>0</v>
      </c>
      <c r="Z37" s="4">
        <v>0</v>
      </c>
      <c r="AA37" s="4">
        <v>0</v>
      </c>
      <c r="AB37" s="4"/>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v>0</v>
      </c>
      <c r="Q40" s="4">
        <v>0</v>
      </c>
      <c r="R40" s="4">
        <v>0</v>
      </c>
      <c r="S40" s="4">
        <v>0</v>
      </c>
      <c r="T40" s="4"/>
      <c r="U40" s="4">
        <v>0</v>
      </c>
      <c r="V40" s="4">
        <v>0</v>
      </c>
      <c r="W40" s="4">
        <v>0</v>
      </c>
      <c r="X40" s="4">
        <v>0</v>
      </c>
      <c r="Y40" s="4">
        <v>0</v>
      </c>
      <c r="Z40" s="4">
        <v>0</v>
      </c>
      <c r="AA40" s="4">
        <v>0</v>
      </c>
      <c r="AB40" s="4"/>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v>0</v>
      </c>
      <c r="Q41" s="4">
        <v>0</v>
      </c>
      <c r="R41" s="4">
        <v>0</v>
      </c>
      <c r="S41" s="4">
        <v>0</v>
      </c>
      <c r="T41" s="4"/>
      <c r="U41" s="4">
        <v>0</v>
      </c>
      <c r="V41" s="4">
        <v>0</v>
      </c>
      <c r="W41" s="4">
        <v>0</v>
      </c>
      <c r="X41" s="4">
        <v>0</v>
      </c>
      <c r="Y41" s="4">
        <v>0</v>
      </c>
      <c r="Z41" s="4">
        <v>0</v>
      </c>
      <c r="AA41" s="4">
        <v>415500</v>
      </c>
      <c r="AB41" s="4"/>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0</v>
      </c>
      <c r="AC43" s="95">
        <f t="shared" si="10"/>
        <v>89637.75</v>
      </c>
      <c r="AD43" s="95">
        <f t="shared" si="10"/>
        <v>0</v>
      </c>
      <c r="AE43" s="95">
        <f t="shared" si="10"/>
        <v>9612</v>
      </c>
      <c r="AF43" s="95">
        <f t="shared" si="10"/>
        <v>1627835.82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v>0</v>
      </c>
      <c r="Q44" s="4">
        <v>0</v>
      </c>
      <c r="R44" s="4">
        <v>0</v>
      </c>
      <c r="S44" s="4">
        <v>0</v>
      </c>
      <c r="T44" s="4"/>
      <c r="U44" s="4">
        <v>0</v>
      </c>
      <c r="V44" s="4">
        <v>0</v>
      </c>
      <c r="W44" s="4">
        <v>0</v>
      </c>
      <c r="X44" s="4">
        <v>0</v>
      </c>
      <c r="Y44" s="4">
        <v>0</v>
      </c>
      <c r="Z44" s="4">
        <v>0</v>
      </c>
      <c r="AA44" s="4">
        <v>0</v>
      </c>
      <c r="AB44" s="4"/>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v>0</v>
      </c>
      <c r="Q45" s="4">
        <v>0</v>
      </c>
      <c r="R45" s="4">
        <v>0</v>
      </c>
      <c r="S45" s="4">
        <v>0</v>
      </c>
      <c r="T45" s="4"/>
      <c r="U45" s="4">
        <v>0</v>
      </c>
      <c r="V45" s="4">
        <v>19079.849999999999</v>
      </c>
      <c r="W45" s="4">
        <v>0</v>
      </c>
      <c r="X45" s="4">
        <v>0</v>
      </c>
      <c r="Y45" s="4">
        <v>474195.12</v>
      </c>
      <c r="Z45" s="4">
        <v>0</v>
      </c>
      <c r="AA45" s="4">
        <v>0</v>
      </c>
      <c r="AB45" s="4"/>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v>0</v>
      </c>
      <c r="Q46" s="4">
        <v>0</v>
      </c>
      <c r="R46" s="4">
        <v>0</v>
      </c>
      <c r="S46" s="4">
        <v>0</v>
      </c>
      <c r="T46" s="4"/>
      <c r="U46" s="4">
        <v>0</v>
      </c>
      <c r="V46" s="4">
        <v>0</v>
      </c>
      <c r="W46" s="4">
        <v>0</v>
      </c>
      <c r="X46" s="4">
        <v>0</v>
      </c>
      <c r="Y46" s="4">
        <v>0</v>
      </c>
      <c r="Z46" s="4">
        <v>0</v>
      </c>
      <c r="AA46" s="4">
        <v>0</v>
      </c>
      <c r="AB46" s="4"/>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v>0</v>
      </c>
      <c r="Q47" s="4">
        <v>0</v>
      </c>
      <c r="R47" s="4">
        <v>0</v>
      </c>
      <c r="S47" s="4">
        <v>0</v>
      </c>
      <c r="T47" s="4"/>
      <c r="U47" s="4">
        <v>0</v>
      </c>
      <c r="V47" s="4">
        <v>0</v>
      </c>
      <c r="W47" s="4">
        <v>0</v>
      </c>
      <c r="X47" s="4">
        <v>0</v>
      </c>
      <c r="Y47" s="4">
        <v>6000</v>
      </c>
      <c r="Z47" s="4">
        <v>0</v>
      </c>
      <c r="AA47" s="4">
        <v>0</v>
      </c>
      <c r="AB47" s="4"/>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c r="U48" s="4">
        <v>0</v>
      </c>
      <c r="V48" s="4">
        <v>0</v>
      </c>
      <c r="W48" s="4">
        <v>0</v>
      </c>
      <c r="X48" s="4">
        <v>0</v>
      </c>
      <c r="Y48" s="4">
        <v>0</v>
      </c>
      <c r="Z48" s="4">
        <v>0</v>
      </c>
      <c r="AA48" s="4">
        <v>0</v>
      </c>
      <c r="AB48" s="4"/>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c r="U49" s="4">
        <v>0</v>
      </c>
      <c r="V49" s="4">
        <v>0</v>
      </c>
      <c r="W49" s="4">
        <v>0</v>
      </c>
      <c r="X49" s="4">
        <v>0</v>
      </c>
      <c r="Y49" s="4">
        <v>0</v>
      </c>
      <c r="Z49" s="4">
        <v>0</v>
      </c>
      <c r="AA49" s="4">
        <v>0</v>
      </c>
      <c r="AB49" s="4"/>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v>0</v>
      </c>
      <c r="Q50" s="4">
        <v>0</v>
      </c>
      <c r="R50" s="4">
        <v>0</v>
      </c>
      <c r="S50" s="4">
        <v>0</v>
      </c>
      <c r="T50" s="4"/>
      <c r="U50" s="4">
        <v>0</v>
      </c>
      <c r="V50" s="4">
        <v>0</v>
      </c>
      <c r="W50" s="4">
        <v>0</v>
      </c>
      <c r="X50" s="4">
        <v>0</v>
      </c>
      <c r="Y50" s="4">
        <v>0</v>
      </c>
      <c r="Z50" s="4">
        <v>0</v>
      </c>
      <c r="AA50" s="4">
        <v>0</v>
      </c>
      <c r="AB50" s="4"/>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v>0</v>
      </c>
      <c r="Q51" s="4">
        <v>0</v>
      </c>
      <c r="R51" s="4">
        <v>0</v>
      </c>
      <c r="S51" s="4">
        <v>0</v>
      </c>
      <c r="T51" s="4"/>
      <c r="U51" s="4">
        <v>0</v>
      </c>
      <c r="V51" s="4">
        <v>0</v>
      </c>
      <c r="W51" s="4">
        <v>0</v>
      </c>
      <c r="X51" s="4">
        <v>0</v>
      </c>
      <c r="Y51" s="4">
        <v>0</v>
      </c>
      <c r="Z51" s="4">
        <v>0</v>
      </c>
      <c r="AA51" s="4">
        <v>0</v>
      </c>
      <c r="AB51" s="4"/>
      <c r="AC51" s="4">
        <v>0</v>
      </c>
      <c r="AD51" s="4">
        <v>0</v>
      </c>
      <c r="AE51" s="4">
        <v>9612</v>
      </c>
      <c r="AF51" s="4">
        <f t="shared" si="11"/>
        <v>337968</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c r="U54" s="4">
        <v>0</v>
      </c>
      <c r="V54" s="4">
        <v>0</v>
      </c>
      <c r="W54" s="4">
        <v>0</v>
      </c>
      <c r="X54" s="4">
        <v>0</v>
      </c>
      <c r="Y54" s="4">
        <v>0</v>
      </c>
      <c r="Z54" s="4">
        <v>0</v>
      </c>
      <c r="AA54" s="4">
        <v>0</v>
      </c>
      <c r="AB54" s="4"/>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c r="U57" s="4">
        <v>0</v>
      </c>
      <c r="V57" s="4">
        <v>0</v>
      </c>
      <c r="W57" s="4">
        <v>0</v>
      </c>
      <c r="X57" s="4">
        <v>0</v>
      </c>
      <c r="Y57" s="4">
        <v>0</v>
      </c>
      <c r="Z57" s="4">
        <v>0</v>
      </c>
      <c r="AA57" s="4">
        <v>0</v>
      </c>
      <c r="AB57" s="4"/>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v>0</v>
      </c>
      <c r="Q58" s="4">
        <v>0</v>
      </c>
      <c r="R58" s="4">
        <v>0</v>
      </c>
      <c r="S58" s="4">
        <v>0</v>
      </c>
      <c r="T58" s="4"/>
      <c r="U58" s="4">
        <v>0</v>
      </c>
      <c r="V58" s="4">
        <v>0</v>
      </c>
      <c r="W58" s="4">
        <v>0</v>
      </c>
      <c r="X58" s="4">
        <v>0</v>
      </c>
      <c r="Y58" s="4">
        <v>0</v>
      </c>
      <c r="Z58" s="4">
        <v>0</v>
      </c>
      <c r="AA58" s="4">
        <v>0</v>
      </c>
      <c r="AB58" s="4"/>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v>0</v>
      </c>
      <c r="Q59" s="4">
        <v>0</v>
      </c>
      <c r="R59" s="4">
        <v>0</v>
      </c>
      <c r="S59" s="4">
        <v>0</v>
      </c>
      <c r="T59" s="4"/>
      <c r="U59" s="4">
        <v>0</v>
      </c>
      <c r="V59" s="4">
        <v>0</v>
      </c>
      <c r="W59" s="4">
        <v>0</v>
      </c>
      <c r="X59" s="4">
        <v>0</v>
      </c>
      <c r="Y59" s="4">
        <v>0</v>
      </c>
      <c r="Z59" s="4">
        <v>0</v>
      </c>
      <c r="AA59" s="4">
        <v>0</v>
      </c>
      <c r="AB59" s="4"/>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c r="U60" s="4">
        <v>0</v>
      </c>
      <c r="V60" s="4">
        <v>0</v>
      </c>
      <c r="W60" s="4">
        <v>0</v>
      </c>
      <c r="X60" s="4">
        <v>0</v>
      </c>
      <c r="Y60" s="4">
        <v>0</v>
      </c>
      <c r="Z60" s="4">
        <v>0</v>
      </c>
      <c r="AA60" s="4">
        <v>0</v>
      </c>
      <c r="AB60" s="4"/>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c r="U61" s="4">
        <v>0</v>
      </c>
      <c r="V61" s="4">
        <v>0</v>
      </c>
      <c r="W61" s="4">
        <v>0</v>
      </c>
      <c r="X61" s="4">
        <v>0</v>
      </c>
      <c r="Y61" s="4">
        <v>0</v>
      </c>
      <c r="Z61" s="4">
        <v>0</v>
      </c>
      <c r="AA61" s="4">
        <v>0</v>
      </c>
      <c r="AB61" s="4"/>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v>0</v>
      </c>
      <c r="Q62" s="4">
        <v>0</v>
      </c>
      <c r="R62" s="4">
        <v>0</v>
      </c>
      <c r="S62" s="4">
        <v>0</v>
      </c>
      <c r="T62" s="4"/>
      <c r="U62" s="4">
        <v>0</v>
      </c>
      <c r="V62" s="4">
        <v>0</v>
      </c>
      <c r="W62" s="4">
        <v>0</v>
      </c>
      <c r="X62" s="4">
        <v>203000</v>
      </c>
      <c r="Y62" s="4">
        <v>0</v>
      </c>
      <c r="Z62" s="4">
        <v>0</v>
      </c>
      <c r="AA62" s="4">
        <v>0</v>
      </c>
      <c r="AB62" s="4"/>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v>0</v>
      </c>
      <c r="Q65" s="4">
        <v>0</v>
      </c>
      <c r="R65" s="4">
        <v>0</v>
      </c>
      <c r="S65" s="4">
        <v>0</v>
      </c>
      <c r="T65" s="4"/>
      <c r="U65" s="4">
        <v>0</v>
      </c>
      <c r="V65" s="4">
        <v>0</v>
      </c>
      <c r="W65" s="4">
        <v>0</v>
      </c>
      <c r="X65" s="4">
        <v>0</v>
      </c>
      <c r="Y65" s="4">
        <v>0</v>
      </c>
      <c r="Z65" s="4">
        <v>0</v>
      </c>
      <c r="AA65" s="4">
        <v>0</v>
      </c>
      <c r="AB65" s="4"/>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v>0</v>
      </c>
      <c r="Q66" s="4">
        <v>0</v>
      </c>
      <c r="R66" s="4">
        <v>0</v>
      </c>
      <c r="S66" s="4">
        <v>0</v>
      </c>
      <c r="T66" s="4"/>
      <c r="U66" s="4">
        <v>350</v>
      </c>
      <c r="V66" s="4">
        <v>0</v>
      </c>
      <c r="W66" s="4">
        <v>0</v>
      </c>
      <c r="X66" s="4">
        <v>0</v>
      </c>
      <c r="Y66" s="4">
        <v>0</v>
      </c>
      <c r="Z66" s="4">
        <v>0</v>
      </c>
      <c r="AA66" s="4">
        <v>0</v>
      </c>
      <c r="AB66" s="4"/>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v>0</v>
      </c>
      <c r="Q67" s="4">
        <v>0</v>
      </c>
      <c r="R67" s="4">
        <v>0</v>
      </c>
      <c r="S67" s="4">
        <v>0</v>
      </c>
      <c r="T67" s="4"/>
      <c r="U67" s="4">
        <v>0</v>
      </c>
      <c r="V67" s="4">
        <v>0</v>
      </c>
      <c r="W67" s="4">
        <v>0</v>
      </c>
      <c r="X67" s="4">
        <v>0</v>
      </c>
      <c r="Y67" s="4">
        <v>0</v>
      </c>
      <c r="Z67" s="4">
        <v>0</v>
      </c>
      <c r="AA67" s="4">
        <v>0</v>
      </c>
      <c r="AB67" s="4"/>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v>0</v>
      </c>
      <c r="Q68" s="4">
        <v>0</v>
      </c>
      <c r="R68" s="4">
        <v>0</v>
      </c>
      <c r="S68" s="4">
        <v>0</v>
      </c>
      <c r="T68" s="4"/>
      <c r="U68" s="4">
        <v>0</v>
      </c>
      <c r="V68" s="4">
        <v>0</v>
      </c>
      <c r="W68" s="4">
        <v>0</v>
      </c>
      <c r="X68" s="4">
        <v>0</v>
      </c>
      <c r="Y68" s="4">
        <v>0</v>
      </c>
      <c r="Z68" s="4">
        <v>0</v>
      </c>
      <c r="AA68" s="4">
        <v>0</v>
      </c>
      <c r="AB68" s="4"/>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v>0</v>
      </c>
      <c r="Q69" s="4">
        <v>0</v>
      </c>
      <c r="R69" s="4">
        <v>0</v>
      </c>
      <c r="S69" s="4">
        <v>0</v>
      </c>
      <c r="T69" s="4"/>
      <c r="U69" s="4">
        <v>0</v>
      </c>
      <c r="V69" s="4">
        <v>0</v>
      </c>
      <c r="W69" s="4">
        <v>0</v>
      </c>
      <c r="X69" s="4">
        <v>0</v>
      </c>
      <c r="Y69" s="4">
        <v>0</v>
      </c>
      <c r="Z69" s="4">
        <v>15829.95</v>
      </c>
      <c r="AA69" s="4">
        <v>0</v>
      </c>
      <c r="AB69" s="4"/>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v>0</v>
      </c>
      <c r="Q70" s="4">
        <v>0</v>
      </c>
      <c r="R70" s="4">
        <v>0</v>
      </c>
      <c r="S70" s="4">
        <v>0</v>
      </c>
      <c r="T70" s="4"/>
      <c r="U70" s="4">
        <v>0</v>
      </c>
      <c r="V70" s="4">
        <v>0</v>
      </c>
      <c r="W70" s="4">
        <v>0</v>
      </c>
      <c r="X70" s="4">
        <v>0</v>
      </c>
      <c r="Y70" s="4">
        <v>0</v>
      </c>
      <c r="Z70" s="4">
        <v>0</v>
      </c>
      <c r="AA70" s="4">
        <v>0</v>
      </c>
      <c r="AB70" s="4"/>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v>0</v>
      </c>
      <c r="Q71" s="4">
        <v>0</v>
      </c>
      <c r="R71" s="4">
        <v>0</v>
      </c>
      <c r="S71" s="4">
        <v>0</v>
      </c>
      <c r="T71" s="4"/>
      <c r="U71" s="4">
        <v>0</v>
      </c>
      <c r="V71" s="4">
        <v>176047.54</v>
      </c>
      <c r="W71" s="4">
        <v>0</v>
      </c>
      <c r="X71" s="4">
        <v>0</v>
      </c>
      <c r="Y71" s="4">
        <v>0</v>
      </c>
      <c r="Z71" s="4">
        <v>0</v>
      </c>
      <c r="AA71" s="4">
        <v>0</v>
      </c>
      <c r="AB71" s="4"/>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v>0</v>
      </c>
      <c r="Q72" s="4">
        <v>0</v>
      </c>
      <c r="R72" s="4">
        <v>0</v>
      </c>
      <c r="S72" s="4">
        <v>0</v>
      </c>
      <c r="T72" s="4"/>
      <c r="U72" s="4">
        <v>0</v>
      </c>
      <c r="V72" s="4">
        <v>0</v>
      </c>
      <c r="W72" s="4">
        <v>0</v>
      </c>
      <c r="X72" s="4">
        <v>0</v>
      </c>
      <c r="Y72" s="4">
        <v>0</v>
      </c>
      <c r="Z72" s="4">
        <v>0</v>
      </c>
      <c r="AA72" s="4">
        <v>0</v>
      </c>
      <c r="AB72" s="4"/>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35267.050000000003</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0</v>
      </c>
      <c r="AC75" s="97">
        <f t="shared" si="17"/>
        <v>132117.85</v>
      </c>
      <c r="AD75" s="97">
        <f t="shared" si="17"/>
        <v>3138006.2499999995</v>
      </c>
      <c r="AE75" s="97">
        <f t="shared" si="17"/>
        <v>325122.65000000002</v>
      </c>
      <c r="AF75" s="97">
        <f t="shared" si="17"/>
        <v>32589993.309999999</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v>0</v>
      </c>
      <c r="Q77" s="4">
        <v>0</v>
      </c>
      <c r="R77" s="4">
        <v>0</v>
      </c>
      <c r="S77" s="4">
        <v>0</v>
      </c>
      <c r="T77" s="4"/>
      <c r="U77" s="4">
        <v>0</v>
      </c>
      <c r="V77" s="4">
        <v>0</v>
      </c>
      <c r="W77" s="4">
        <v>0</v>
      </c>
      <c r="X77" s="4">
        <v>0</v>
      </c>
      <c r="Y77" s="4">
        <v>0</v>
      </c>
      <c r="Z77" s="4">
        <v>0</v>
      </c>
      <c r="AA77" s="4">
        <v>0</v>
      </c>
      <c r="AB77" s="4"/>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v>0</v>
      </c>
      <c r="Q78" s="4">
        <v>0</v>
      </c>
      <c r="R78" s="4">
        <v>0</v>
      </c>
      <c r="S78" s="4">
        <v>0</v>
      </c>
      <c r="T78" s="4"/>
      <c r="U78" s="4">
        <v>0</v>
      </c>
      <c r="V78" s="4">
        <v>0</v>
      </c>
      <c r="W78" s="4">
        <v>0</v>
      </c>
      <c r="X78" s="4">
        <v>0</v>
      </c>
      <c r="Y78" s="4">
        <v>0</v>
      </c>
      <c r="Z78" s="4">
        <v>0</v>
      </c>
      <c r="AA78" s="4">
        <v>0</v>
      </c>
      <c r="AB78" s="4"/>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v>0</v>
      </c>
      <c r="Q79" s="4">
        <v>0</v>
      </c>
      <c r="R79" s="4">
        <v>0</v>
      </c>
      <c r="S79" s="4">
        <v>0</v>
      </c>
      <c r="T79" s="4"/>
      <c r="U79" s="4">
        <v>0</v>
      </c>
      <c r="V79" s="4">
        <v>0</v>
      </c>
      <c r="W79" s="4">
        <v>0</v>
      </c>
      <c r="X79" s="4">
        <v>0</v>
      </c>
      <c r="Y79" s="4">
        <v>0</v>
      </c>
      <c r="Z79" s="4">
        <v>0</v>
      </c>
      <c r="AA79" s="4">
        <v>0</v>
      </c>
      <c r="AB79" s="4"/>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v>0</v>
      </c>
      <c r="Q80" s="4">
        <v>0</v>
      </c>
      <c r="R80" s="4">
        <v>0</v>
      </c>
      <c r="S80" s="4">
        <v>0</v>
      </c>
      <c r="T80" s="4"/>
      <c r="U80" s="4">
        <v>0</v>
      </c>
      <c r="V80" s="4">
        <v>0</v>
      </c>
      <c r="W80" s="4">
        <v>0</v>
      </c>
      <c r="X80" s="4">
        <v>0</v>
      </c>
      <c r="Y80" s="4">
        <v>0</v>
      </c>
      <c r="Z80" s="4">
        <v>0</v>
      </c>
      <c r="AA80" s="4">
        <v>0</v>
      </c>
      <c r="AB80" s="4"/>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c r="U83" s="4">
        <v>0</v>
      </c>
      <c r="V83" s="4">
        <v>0</v>
      </c>
      <c r="W83" s="4">
        <v>0</v>
      </c>
      <c r="X83" s="4">
        <v>0</v>
      </c>
      <c r="Y83" s="4">
        <v>0</v>
      </c>
      <c r="Z83" s="4">
        <v>0</v>
      </c>
      <c r="AA83" s="4">
        <v>0</v>
      </c>
      <c r="AB83" s="4"/>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c r="U84" s="4">
        <v>0</v>
      </c>
      <c r="V84" s="4">
        <v>0</v>
      </c>
      <c r="W84" s="4">
        <v>0</v>
      </c>
      <c r="X84" s="4">
        <v>0</v>
      </c>
      <c r="Y84" s="4">
        <v>0</v>
      </c>
      <c r="Z84" s="4">
        <v>0</v>
      </c>
      <c r="AA84" s="4">
        <v>0</v>
      </c>
      <c r="AB84" s="4"/>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v>0</v>
      </c>
      <c r="Q85" s="4">
        <v>0</v>
      </c>
      <c r="R85" s="4">
        <v>0</v>
      </c>
      <c r="S85" s="4">
        <v>0</v>
      </c>
      <c r="T85" s="4"/>
      <c r="U85" s="4">
        <v>0</v>
      </c>
      <c r="V85" s="4">
        <v>0</v>
      </c>
      <c r="W85" s="4">
        <v>0</v>
      </c>
      <c r="X85" s="4">
        <v>0</v>
      </c>
      <c r="Y85" s="4">
        <v>0</v>
      </c>
      <c r="Z85" s="4">
        <v>0</v>
      </c>
      <c r="AA85" s="4">
        <v>0</v>
      </c>
      <c r="AB85" s="4"/>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c r="U86" s="4">
        <v>0</v>
      </c>
      <c r="V86" s="4">
        <v>0</v>
      </c>
      <c r="W86" s="4">
        <v>0</v>
      </c>
      <c r="X86" s="4">
        <v>0</v>
      </c>
      <c r="Y86" s="4">
        <v>0</v>
      </c>
      <c r="Z86" s="4">
        <v>0</v>
      </c>
      <c r="AA86" s="4">
        <v>0</v>
      </c>
      <c r="AB86" s="4"/>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10450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12856917.250000002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v>0</v>
      </c>
      <c r="Q89" s="4">
        <v>0</v>
      </c>
      <c r="R89" s="4">
        <v>0</v>
      </c>
      <c r="S89" s="4">
        <v>0</v>
      </c>
      <c r="T89" s="4"/>
      <c r="U89" s="4">
        <v>0</v>
      </c>
      <c r="V89" s="4">
        <v>0</v>
      </c>
      <c r="W89" s="4">
        <v>0</v>
      </c>
      <c r="X89" s="4">
        <v>0</v>
      </c>
      <c r="Y89" s="4">
        <v>0</v>
      </c>
      <c r="Z89" s="4">
        <v>0</v>
      </c>
      <c r="AA89" s="4">
        <v>0</v>
      </c>
      <c r="AB89" s="4"/>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v>0</v>
      </c>
      <c r="Q90" s="4">
        <v>0</v>
      </c>
      <c r="R90" s="4">
        <v>0</v>
      </c>
      <c r="S90" s="4">
        <v>0</v>
      </c>
      <c r="T90" s="4"/>
      <c r="U90" s="4">
        <v>0</v>
      </c>
      <c r="V90" s="4">
        <v>0</v>
      </c>
      <c r="W90" s="4">
        <v>0</v>
      </c>
      <c r="X90" s="4">
        <v>0</v>
      </c>
      <c r="Y90" s="4">
        <v>0</v>
      </c>
      <c r="Z90" s="4">
        <v>0</v>
      </c>
      <c r="AA90" s="4">
        <v>4800</v>
      </c>
      <c r="AB90" s="4"/>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c r="U91" s="4">
        <v>0</v>
      </c>
      <c r="V91" s="4">
        <v>0</v>
      </c>
      <c r="W91" s="4">
        <v>0</v>
      </c>
      <c r="X91" s="4">
        <v>0</v>
      </c>
      <c r="Y91" s="4">
        <v>0</v>
      </c>
      <c r="Z91" s="4">
        <v>0</v>
      </c>
      <c r="AA91" s="4">
        <v>0</v>
      </c>
      <c r="AB91" s="4"/>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v>0</v>
      </c>
      <c r="Q92" s="4">
        <v>0</v>
      </c>
      <c r="R92" s="4">
        <v>0</v>
      </c>
      <c r="S92" s="4">
        <v>0</v>
      </c>
      <c r="T92" s="4"/>
      <c r="U92" s="4">
        <v>0</v>
      </c>
      <c r="V92" s="4">
        <v>2940</v>
      </c>
      <c r="W92" s="4">
        <v>0</v>
      </c>
      <c r="X92" s="4">
        <v>0</v>
      </c>
      <c r="Y92" s="4">
        <v>0</v>
      </c>
      <c r="Z92" s="4">
        <v>0</v>
      </c>
      <c r="AA92" s="4">
        <v>0</v>
      </c>
      <c r="AB92" s="4"/>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v>10450</v>
      </c>
      <c r="Q93" s="4">
        <v>2400</v>
      </c>
      <c r="R93" s="4">
        <v>25302</v>
      </c>
      <c r="S93" s="4">
        <v>4345</v>
      </c>
      <c r="T93" s="4"/>
      <c r="U93" s="4">
        <v>0</v>
      </c>
      <c r="V93" s="4">
        <v>0</v>
      </c>
      <c r="W93" s="4">
        <v>0</v>
      </c>
      <c r="X93" s="4">
        <v>718177.56</v>
      </c>
      <c r="Y93" s="4">
        <v>785073.1</v>
      </c>
      <c r="Z93" s="4">
        <v>331879.15000000002</v>
      </c>
      <c r="AA93" s="4">
        <v>4232.75</v>
      </c>
      <c r="AB93" s="4"/>
      <c r="AC93" s="4">
        <v>0</v>
      </c>
      <c r="AD93" s="4">
        <v>264339.40000000002</v>
      </c>
      <c r="AE93" s="4">
        <v>0</v>
      </c>
      <c r="AF93" s="4">
        <f t="shared" si="21"/>
        <v>10959504.660000002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v>0</v>
      </c>
      <c r="Q94" s="4">
        <v>0</v>
      </c>
      <c r="R94" s="4">
        <v>0</v>
      </c>
      <c r="S94" s="4">
        <v>0</v>
      </c>
      <c r="T94" s="4"/>
      <c r="U94" s="4">
        <v>22255.45</v>
      </c>
      <c r="V94" s="4">
        <v>0</v>
      </c>
      <c r="W94" s="4">
        <v>0</v>
      </c>
      <c r="X94" s="4">
        <v>0</v>
      </c>
      <c r="Y94" s="4">
        <v>1117469.55</v>
      </c>
      <c r="Z94" s="4">
        <v>0</v>
      </c>
      <c r="AA94" s="4">
        <v>8912.9500000000007</v>
      </c>
      <c r="AB94" s="4"/>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v>0</v>
      </c>
      <c r="Q95" s="4">
        <v>0</v>
      </c>
      <c r="R95" s="4">
        <v>0</v>
      </c>
      <c r="S95" s="4">
        <v>0</v>
      </c>
      <c r="T95" s="4"/>
      <c r="U95" s="4">
        <v>11738</v>
      </c>
      <c r="V95" s="4">
        <v>3294</v>
      </c>
      <c r="W95" s="4">
        <v>0</v>
      </c>
      <c r="X95" s="4">
        <v>0</v>
      </c>
      <c r="Y95" s="4">
        <v>4075.95</v>
      </c>
      <c r="Z95" s="4">
        <v>0</v>
      </c>
      <c r="AA95" s="4">
        <v>147931.51999999999</v>
      </c>
      <c r="AB95" s="4"/>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v>0</v>
      </c>
      <c r="Q96" s="4">
        <v>0</v>
      </c>
      <c r="R96" s="4">
        <v>0</v>
      </c>
      <c r="S96" s="4">
        <v>0</v>
      </c>
      <c r="T96" s="4"/>
      <c r="U96" s="4">
        <v>0</v>
      </c>
      <c r="V96" s="4">
        <v>0</v>
      </c>
      <c r="W96" s="4">
        <v>0</v>
      </c>
      <c r="X96" s="4">
        <v>0</v>
      </c>
      <c r="Y96" s="4">
        <v>0</v>
      </c>
      <c r="Z96" s="4">
        <v>0</v>
      </c>
      <c r="AA96" s="4">
        <v>0</v>
      </c>
      <c r="AB96" s="4"/>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v>0</v>
      </c>
      <c r="Q97" s="4">
        <v>0</v>
      </c>
      <c r="R97" s="4">
        <v>0</v>
      </c>
      <c r="S97" s="4">
        <v>0</v>
      </c>
      <c r="T97" s="4"/>
      <c r="U97" s="4">
        <v>0</v>
      </c>
      <c r="V97" s="4"/>
      <c r="W97" s="4">
        <v>0</v>
      </c>
      <c r="X97" s="4">
        <v>0</v>
      </c>
      <c r="Y97" s="4">
        <v>0</v>
      </c>
      <c r="Z97" s="4">
        <v>0</v>
      </c>
      <c r="AA97" s="4">
        <v>0</v>
      </c>
      <c r="AB97" s="4"/>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v>0</v>
      </c>
      <c r="Q100" s="4">
        <v>0</v>
      </c>
      <c r="R100" s="4">
        <v>0</v>
      </c>
      <c r="S100" s="4">
        <v>0</v>
      </c>
      <c r="T100" s="4"/>
      <c r="U100" s="4">
        <v>0</v>
      </c>
      <c r="V100" s="4">
        <v>0</v>
      </c>
      <c r="W100" s="4">
        <v>0</v>
      </c>
      <c r="X100" s="4">
        <v>0</v>
      </c>
      <c r="Y100" s="4">
        <v>0</v>
      </c>
      <c r="Z100" s="4">
        <v>0</v>
      </c>
      <c r="AA100" s="4">
        <v>25635</v>
      </c>
      <c r="AB100" s="4"/>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v>0</v>
      </c>
      <c r="S101" s="4">
        <v>0</v>
      </c>
      <c r="T101" s="4"/>
      <c r="U101" s="4">
        <v>0</v>
      </c>
      <c r="V101" s="4">
        <v>0</v>
      </c>
      <c r="W101" s="4">
        <v>0</v>
      </c>
      <c r="X101" s="4">
        <v>0</v>
      </c>
      <c r="Y101" s="4">
        <v>63743.44</v>
      </c>
      <c r="Z101" s="4">
        <v>0</v>
      </c>
      <c r="AA101" s="4">
        <v>0</v>
      </c>
      <c r="AB101" s="4"/>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v>0</v>
      </c>
      <c r="Q102" s="4">
        <v>0</v>
      </c>
      <c r="R102" s="4">
        <v>0</v>
      </c>
      <c r="S102" s="4">
        <v>0</v>
      </c>
      <c r="T102" s="4"/>
      <c r="U102" s="4">
        <v>0</v>
      </c>
      <c r="V102" s="4">
        <v>0</v>
      </c>
      <c r="W102" s="4">
        <v>0</v>
      </c>
      <c r="X102" s="4">
        <v>0</v>
      </c>
      <c r="Y102" s="4">
        <v>0</v>
      </c>
      <c r="Z102" s="4">
        <v>0</v>
      </c>
      <c r="AA102" s="4">
        <v>0</v>
      </c>
      <c r="AB102" s="4"/>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v>0</v>
      </c>
      <c r="Q103" s="4">
        <v>0</v>
      </c>
      <c r="R103" s="4">
        <v>0</v>
      </c>
      <c r="S103" s="4">
        <v>0</v>
      </c>
      <c r="T103" s="4"/>
      <c r="U103" s="4">
        <v>0</v>
      </c>
      <c r="V103" s="4">
        <v>0</v>
      </c>
      <c r="W103" s="4">
        <v>0</v>
      </c>
      <c r="X103" s="4">
        <v>0</v>
      </c>
      <c r="Y103" s="4">
        <v>2297</v>
      </c>
      <c r="Z103" s="4">
        <v>0</v>
      </c>
      <c r="AA103" s="4">
        <v>0</v>
      </c>
      <c r="AB103" s="4"/>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0</v>
      </c>
      <c r="AC105" s="91">
        <f t="shared" si="23"/>
        <v>3.25</v>
      </c>
      <c r="AD105" s="91">
        <f t="shared" si="23"/>
        <v>16400.95</v>
      </c>
      <c r="AE105" s="91">
        <f t="shared" si="23"/>
        <v>0</v>
      </c>
      <c r="AF105" s="91">
        <f t="shared" si="23"/>
        <v>653944.5</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v>0</v>
      </c>
      <c r="Q106" s="4">
        <v>0</v>
      </c>
      <c r="R106" s="4">
        <v>0</v>
      </c>
      <c r="S106" s="4">
        <v>0</v>
      </c>
      <c r="T106" s="4"/>
      <c r="U106" s="4">
        <v>4.87</v>
      </c>
      <c r="V106" s="4">
        <v>0</v>
      </c>
      <c r="W106" s="4">
        <v>0</v>
      </c>
      <c r="X106" s="4">
        <v>3091.27</v>
      </c>
      <c r="Y106" s="4">
        <v>0</v>
      </c>
      <c r="Z106" s="4">
        <v>21.44</v>
      </c>
      <c r="AA106" s="4">
        <v>0</v>
      </c>
      <c r="AB106" s="4"/>
      <c r="AC106" s="4">
        <v>3.25</v>
      </c>
      <c r="AD106" s="4">
        <v>0</v>
      </c>
      <c r="AE106" s="4">
        <v>0</v>
      </c>
      <c r="AF106" s="4">
        <f t="shared" ref="AF106:AF115" si="24">SUM(E106:AE106)</f>
        <v>11977.150000000001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v>0</v>
      </c>
      <c r="Q107" s="4">
        <v>0</v>
      </c>
      <c r="R107" s="4">
        <v>0</v>
      </c>
      <c r="S107" s="4">
        <v>0</v>
      </c>
      <c r="T107" s="4"/>
      <c r="U107" s="4">
        <v>0</v>
      </c>
      <c r="V107" s="4">
        <v>0</v>
      </c>
      <c r="W107" s="4">
        <v>0</v>
      </c>
      <c r="X107" s="4">
        <v>0</v>
      </c>
      <c r="Y107" s="4">
        <v>0</v>
      </c>
      <c r="Z107" s="4">
        <v>0</v>
      </c>
      <c r="AA107" s="4">
        <v>0</v>
      </c>
      <c r="AB107" s="4"/>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v>0</v>
      </c>
      <c r="Q108" s="4">
        <v>0</v>
      </c>
      <c r="R108" s="4">
        <v>0</v>
      </c>
      <c r="S108" s="4">
        <v>0</v>
      </c>
      <c r="T108" s="4"/>
      <c r="U108" s="4">
        <v>0</v>
      </c>
      <c r="V108" s="4">
        <v>0</v>
      </c>
      <c r="W108" s="4">
        <v>0</v>
      </c>
      <c r="X108" s="4">
        <v>0</v>
      </c>
      <c r="Y108" s="4">
        <v>0</v>
      </c>
      <c r="Z108" s="4">
        <v>0</v>
      </c>
      <c r="AA108" s="4">
        <v>0</v>
      </c>
      <c r="AB108" s="4"/>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v>0</v>
      </c>
      <c r="Q109" s="4">
        <v>0</v>
      </c>
      <c r="R109" s="4">
        <v>0</v>
      </c>
      <c r="S109" s="4">
        <v>0</v>
      </c>
      <c r="T109" s="4"/>
      <c r="U109" s="4">
        <v>146750</v>
      </c>
      <c r="V109" s="4">
        <v>0</v>
      </c>
      <c r="W109" s="4">
        <v>0</v>
      </c>
      <c r="X109" s="4">
        <v>0</v>
      </c>
      <c r="Y109" s="4">
        <v>0</v>
      </c>
      <c r="Z109" s="4">
        <v>0</v>
      </c>
      <c r="AA109" s="4">
        <v>0</v>
      </c>
      <c r="AB109" s="4"/>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v>0</v>
      </c>
      <c r="Q110" s="4">
        <v>0</v>
      </c>
      <c r="R110" s="4">
        <v>0</v>
      </c>
      <c r="S110" s="4">
        <v>0</v>
      </c>
      <c r="T110" s="4"/>
      <c r="U110" s="4">
        <v>0</v>
      </c>
      <c r="V110" s="4">
        <v>0</v>
      </c>
      <c r="W110" s="4">
        <v>0</v>
      </c>
      <c r="X110" s="4">
        <v>0</v>
      </c>
      <c r="Y110" s="4">
        <v>0</v>
      </c>
      <c r="Z110" s="4">
        <v>0</v>
      </c>
      <c r="AA110" s="4">
        <v>0</v>
      </c>
      <c r="AB110" s="4"/>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v>0</v>
      </c>
      <c r="S111" s="4">
        <v>0</v>
      </c>
      <c r="T111" s="4"/>
      <c r="U111" s="4">
        <v>0</v>
      </c>
      <c r="V111" s="4">
        <v>0</v>
      </c>
      <c r="W111" s="4">
        <v>0</v>
      </c>
      <c r="X111" s="4">
        <v>0</v>
      </c>
      <c r="Y111" s="4">
        <v>0</v>
      </c>
      <c r="Z111" s="4">
        <v>0</v>
      </c>
      <c r="AA111" s="4">
        <v>0</v>
      </c>
      <c r="AB111" s="4"/>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c r="U112" s="4">
        <v>0</v>
      </c>
      <c r="V112" s="4">
        <v>0</v>
      </c>
      <c r="W112" s="4">
        <v>0</v>
      </c>
      <c r="X112" s="4">
        <v>0</v>
      </c>
      <c r="Y112" s="4">
        <v>0</v>
      </c>
      <c r="Z112" s="4">
        <v>0</v>
      </c>
      <c r="AA112" s="4">
        <v>0</v>
      </c>
      <c r="AB112" s="4"/>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v>0</v>
      </c>
      <c r="Q113" s="4">
        <v>0</v>
      </c>
      <c r="R113" s="4">
        <v>0</v>
      </c>
      <c r="S113" s="4">
        <v>0</v>
      </c>
      <c r="T113" s="4"/>
      <c r="U113" s="4">
        <v>0</v>
      </c>
      <c r="V113" s="4">
        <v>0</v>
      </c>
      <c r="W113" s="4">
        <v>0</v>
      </c>
      <c r="X113" s="4">
        <v>1130</v>
      </c>
      <c r="Y113" s="4">
        <v>443166.15</v>
      </c>
      <c r="Z113" s="4">
        <v>0</v>
      </c>
      <c r="AA113" s="4">
        <v>0</v>
      </c>
      <c r="AB113" s="4"/>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c r="U114" s="4">
        <v>0</v>
      </c>
      <c r="V114" s="4">
        <v>0</v>
      </c>
      <c r="W114" s="4">
        <v>0</v>
      </c>
      <c r="X114" s="4">
        <v>0</v>
      </c>
      <c r="Y114" s="4">
        <v>0</v>
      </c>
      <c r="Z114" s="4">
        <v>0</v>
      </c>
      <c r="AA114" s="4">
        <v>0</v>
      </c>
      <c r="AB114" s="4"/>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v>0</v>
      </c>
      <c r="Q115" s="4">
        <v>0</v>
      </c>
      <c r="R115" s="4">
        <v>0</v>
      </c>
      <c r="S115" s="4">
        <v>0</v>
      </c>
      <c r="T115" s="4"/>
      <c r="U115" s="4">
        <v>0</v>
      </c>
      <c r="V115" s="4">
        <v>0</v>
      </c>
      <c r="W115" s="4">
        <v>0</v>
      </c>
      <c r="X115" s="4">
        <v>0</v>
      </c>
      <c r="Y115" s="4">
        <v>0</v>
      </c>
      <c r="Z115" s="4">
        <v>0</v>
      </c>
      <c r="AA115" s="4">
        <v>0</v>
      </c>
      <c r="AB115" s="4"/>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v>0</v>
      </c>
      <c r="Q118" s="4">
        <v>0</v>
      </c>
      <c r="R118" s="4">
        <v>0</v>
      </c>
      <c r="S118" s="4">
        <v>0</v>
      </c>
      <c r="T118" s="4"/>
      <c r="U118" s="4">
        <v>0</v>
      </c>
      <c r="V118" s="4">
        <v>0</v>
      </c>
      <c r="W118" s="4">
        <v>0</v>
      </c>
      <c r="X118" s="4">
        <v>0</v>
      </c>
      <c r="Y118" s="4">
        <v>0</v>
      </c>
      <c r="Z118" s="4">
        <v>0</v>
      </c>
      <c r="AA118" s="4">
        <v>0</v>
      </c>
      <c r="AB118" s="4"/>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v>0</v>
      </c>
      <c r="Q119" s="4">
        <v>0</v>
      </c>
      <c r="R119" s="4">
        <v>0.85</v>
      </c>
      <c r="S119" s="4">
        <v>0</v>
      </c>
      <c r="T119" s="4"/>
      <c r="U119" s="4">
        <v>0</v>
      </c>
      <c r="V119" s="4">
        <v>16386.650000000001</v>
      </c>
      <c r="W119" s="4">
        <v>0</v>
      </c>
      <c r="X119" s="4">
        <v>230015.29</v>
      </c>
      <c r="Y119" s="4">
        <v>0</v>
      </c>
      <c r="Z119" s="4">
        <v>0</v>
      </c>
      <c r="AA119" s="4">
        <v>132986.89000000001</v>
      </c>
      <c r="AB119" s="4"/>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24817.05</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0</v>
      </c>
      <c r="AC121" s="91">
        <f t="shared" si="26"/>
        <v>131844.6</v>
      </c>
      <c r="AD121" s="91">
        <f t="shared" si="26"/>
        <v>2806775.0999999996</v>
      </c>
      <c r="AE121" s="91">
        <f t="shared" si="26"/>
        <v>200026.65</v>
      </c>
      <c r="AF121" s="91">
        <f t="shared" si="26"/>
        <v>14172605.699999999</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v>0</v>
      </c>
      <c r="S122" s="4">
        <v>0</v>
      </c>
      <c r="T122" s="4"/>
      <c r="U122" s="4">
        <v>0</v>
      </c>
      <c r="V122" s="4">
        <v>0</v>
      </c>
      <c r="W122" s="4">
        <v>0</v>
      </c>
      <c r="X122" s="4">
        <v>0</v>
      </c>
      <c r="Y122" s="4">
        <v>0</v>
      </c>
      <c r="Z122" s="4">
        <v>0</v>
      </c>
      <c r="AA122" s="4">
        <v>0</v>
      </c>
      <c r="AB122" s="4"/>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v>24817.05</v>
      </c>
      <c r="Q123" s="4">
        <v>4920.95</v>
      </c>
      <c r="R123" s="4">
        <v>19800</v>
      </c>
      <c r="S123" s="4">
        <v>1718</v>
      </c>
      <c r="T123" s="4"/>
      <c r="U123" s="4">
        <v>15000</v>
      </c>
      <c r="V123" s="4">
        <v>428326.44</v>
      </c>
      <c r="W123" s="4">
        <v>46043.1</v>
      </c>
      <c r="X123" s="4">
        <v>0</v>
      </c>
      <c r="Y123" s="4">
        <v>1884038.23</v>
      </c>
      <c r="Z123" s="4">
        <v>0</v>
      </c>
      <c r="AA123" s="4">
        <v>1409420</v>
      </c>
      <c r="AB123" s="4"/>
      <c r="AC123" s="4">
        <v>131844.6</v>
      </c>
      <c r="AD123" s="4">
        <v>2568236.2999999998</v>
      </c>
      <c r="AE123" s="4">
        <v>190414.65</v>
      </c>
      <c r="AF123" s="4">
        <f>SUM(E123:AE123)</f>
        <v>13501573.049999999</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v>0</v>
      </c>
      <c r="S124" s="4">
        <v>0</v>
      </c>
      <c r="T124" s="4"/>
      <c r="U124" s="4">
        <v>0</v>
      </c>
      <c r="V124" s="4">
        <v>0</v>
      </c>
      <c r="W124" s="4">
        <v>0</v>
      </c>
      <c r="X124" s="4">
        <v>0</v>
      </c>
      <c r="Y124" s="4">
        <v>0</v>
      </c>
      <c r="Z124" s="4">
        <v>0</v>
      </c>
      <c r="AA124" s="4">
        <v>0</v>
      </c>
      <c r="AB124" s="4"/>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v>0</v>
      </c>
      <c r="Q125" s="4">
        <v>0</v>
      </c>
      <c r="R125" s="4">
        <v>0</v>
      </c>
      <c r="S125" s="4">
        <v>0</v>
      </c>
      <c r="T125" s="4"/>
      <c r="U125" s="4">
        <v>23112.799999999999</v>
      </c>
      <c r="V125" s="4">
        <v>0</v>
      </c>
      <c r="W125" s="4">
        <v>0</v>
      </c>
      <c r="X125" s="4">
        <v>15953</v>
      </c>
      <c r="Y125" s="4">
        <v>244502.95</v>
      </c>
      <c r="Z125" s="4">
        <v>0</v>
      </c>
      <c r="AA125" s="4">
        <v>0</v>
      </c>
      <c r="AB125" s="4"/>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v>0</v>
      </c>
      <c r="Q126" s="4">
        <v>0</v>
      </c>
      <c r="R126" s="4">
        <v>0</v>
      </c>
      <c r="S126" s="4">
        <v>0</v>
      </c>
      <c r="T126" s="4"/>
      <c r="U126" s="4">
        <v>0</v>
      </c>
      <c r="V126" s="4">
        <v>22.95</v>
      </c>
      <c r="W126" s="4">
        <v>0</v>
      </c>
      <c r="X126" s="4">
        <v>0</v>
      </c>
      <c r="Y126" s="4">
        <v>36000</v>
      </c>
      <c r="Z126" s="4">
        <v>0</v>
      </c>
      <c r="AA126" s="4">
        <v>100.65</v>
      </c>
      <c r="AB126" s="4"/>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c r="U129" s="4">
        <v>0</v>
      </c>
      <c r="V129" s="4">
        <v>0</v>
      </c>
      <c r="W129" s="4">
        <v>0</v>
      </c>
      <c r="X129" s="4">
        <v>0</v>
      </c>
      <c r="Y129" s="4">
        <v>0</v>
      </c>
      <c r="Z129" s="4">
        <v>0</v>
      </c>
      <c r="AA129" s="4">
        <v>0</v>
      </c>
      <c r="AB129" s="4"/>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c r="U132" s="4">
        <v>0</v>
      </c>
      <c r="V132" s="4">
        <v>0</v>
      </c>
      <c r="W132" s="4">
        <v>0</v>
      </c>
      <c r="X132" s="4">
        <v>0</v>
      </c>
      <c r="Y132" s="4">
        <v>0</v>
      </c>
      <c r="Z132" s="4">
        <v>0</v>
      </c>
      <c r="AA132" s="4">
        <v>0</v>
      </c>
      <c r="AB132" s="4"/>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v>0</v>
      </c>
      <c r="S133" s="4">
        <v>0</v>
      </c>
      <c r="T133" s="4"/>
      <c r="U133" s="4">
        <v>0</v>
      </c>
      <c r="V133" s="4">
        <v>0</v>
      </c>
      <c r="W133" s="4">
        <v>0</v>
      </c>
      <c r="X133" s="4">
        <v>0</v>
      </c>
      <c r="Y133" s="4">
        <v>0</v>
      </c>
      <c r="Z133" s="4">
        <v>0</v>
      </c>
      <c r="AA133" s="4">
        <v>0</v>
      </c>
      <c r="AB133" s="4"/>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c r="U134" s="4">
        <v>0</v>
      </c>
      <c r="V134" s="4">
        <v>0</v>
      </c>
      <c r="W134" s="4">
        <v>0</v>
      </c>
      <c r="X134" s="4">
        <v>0</v>
      </c>
      <c r="Y134" s="4">
        <v>3408.3</v>
      </c>
      <c r="Z134" s="4">
        <v>0</v>
      </c>
      <c r="AA134" s="4">
        <v>0</v>
      </c>
      <c r="AB134" s="4"/>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v>0</v>
      </c>
      <c r="Q135" s="4">
        <v>0</v>
      </c>
      <c r="R135" s="4">
        <v>0</v>
      </c>
      <c r="S135" s="4">
        <v>0</v>
      </c>
      <c r="T135" s="4"/>
      <c r="U135" s="4">
        <v>0</v>
      </c>
      <c r="V135" s="4">
        <v>0</v>
      </c>
      <c r="W135" s="4">
        <v>0</v>
      </c>
      <c r="X135" s="4">
        <v>0</v>
      </c>
      <c r="Y135" s="4">
        <v>0</v>
      </c>
      <c r="Z135" s="4">
        <v>0</v>
      </c>
      <c r="AA135" s="4">
        <v>0</v>
      </c>
      <c r="AB135" s="4"/>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c r="U136" s="4">
        <v>0</v>
      </c>
      <c r="V136" s="4">
        <v>0</v>
      </c>
      <c r="W136" s="4">
        <v>0</v>
      </c>
      <c r="X136" s="4">
        <v>0</v>
      </c>
      <c r="Y136" s="4">
        <v>0</v>
      </c>
      <c r="Z136" s="4">
        <v>0</v>
      </c>
      <c r="AA136" s="4">
        <v>0</v>
      </c>
      <c r="AB136" s="4"/>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c r="U137" s="4">
        <v>0</v>
      </c>
      <c r="V137" s="4">
        <v>0</v>
      </c>
      <c r="W137" s="4">
        <v>0</v>
      </c>
      <c r="X137" s="4">
        <v>0</v>
      </c>
      <c r="Y137" s="4">
        <v>0</v>
      </c>
      <c r="Z137" s="4">
        <v>0</v>
      </c>
      <c r="AA137" s="4">
        <v>0</v>
      </c>
      <c r="AB137" s="4"/>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v>0</v>
      </c>
      <c r="Q138" s="4">
        <v>0</v>
      </c>
      <c r="R138" s="4">
        <v>0</v>
      </c>
      <c r="S138" s="4">
        <v>0</v>
      </c>
      <c r="T138" s="4"/>
      <c r="U138" s="4">
        <v>0</v>
      </c>
      <c r="V138" s="4">
        <v>0</v>
      </c>
      <c r="W138" s="4">
        <v>0</v>
      </c>
      <c r="X138" s="4">
        <v>0</v>
      </c>
      <c r="Y138" s="4">
        <v>0</v>
      </c>
      <c r="Z138" s="4">
        <v>0</v>
      </c>
      <c r="AA138" s="4">
        <v>0</v>
      </c>
      <c r="AB138" s="4"/>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v>0</v>
      </c>
      <c r="Q141" s="4">
        <v>0</v>
      </c>
      <c r="R141" s="4">
        <v>0</v>
      </c>
      <c r="S141" s="4">
        <v>0</v>
      </c>
      <c r="T141" s="4"/>
      <c r="U141" s="4">
        <v>0</v>
      </c>
      <c r="V141" s="4">
        <v>0</v>
      </c>
      <c r="W141" s="4">
        <v>0</v>
      </c>
      <c r="X141" s="4">
        <v>0</v>
      </c>
      <c r="Y141" s="4">
        <v>0</v>
      </c>
      <c r="Z141" s="4">
        <v>0</v>
      </c>
      <c r="AA141" s="4">
        <v>0</v>
      </c>
      <c r="AB141" s="4"/>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v>0</v>
      </c>
      <c r="Q142" s="4">
        <v>0</v>
      </c>
      <c r="R142" s="4">
        <v>0</v>
      </c>
      <c r="S142" s="4">
        <v>0</v>
      </c>
      <c r="T142" s="4"/>
      <c r="U142" s="4">
        <v>350</v>
      </c>
      <c r="V142" s="4">
        <v>0</v>
      </c>
      <c r="W142" s="4">
        <v>0</v>
      </c>
      <c r="X142" s="4">
        <v>0</v>
      </c>
      <c r="Y142" s="4">
        <v>0</v>
      </c>
      <c r="Z142" s="4">
        <v>0</v>
      </c>
      <c r="AA142" s="4">
        <v>0</v>
      </c>
      <c r="AB142" s="4"/>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v>0</v>
      </c>
      <c r="Q143" s="4">
        <v>0</v>
      </c>
      <c r="R143" s="4">
        <v>0</v>
      </c>
      <c r="S143" s="4">
        <v>0</v>
      </c>
      <c r="T143" s="4"/>
      <c r="U143" s="4">
        <v>0</v>
      </c>
      <c r="V143" s="4">
        <v>0</v>
      </c>
      <c r="W143" s="4">
        <v>0</v>
      </c>
      <c r="X143" s="4">
        <v>0</v>
      </c>
      <c r="Y143" s="4">
        <v>0</v>
      </c>
      <c r="Z143" s="4">
        <v>0</v>
      </c>
      <c r="AA143" s="4">
        <v>0</v>
      </c>
      <c r="AB143" s="4"/>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v>0</v>
      </c>
      <c r="S144" s="4">
        <v>0</v>
      </c>
      <c r="T144" s="4"/>
      <c r="U144" s="4">
        <v>0</v>
      </c>
      <c r="V144" s="4">
        <v>0</v>
      </c>
      <c r="W144" s="4">
        <v>0</v>
      </c>
      <c r="X144" s="4">
        <v>0</v>
      </c>
      <c r="Y144" s="4">
        <v>0</v>
      </c>
      <c r="Z144" s="4">
        <v>0</v>
      </c>
      <c r="AA144" s="4">
        <v>0</v>
      </c>
      <c r="AB144" s="4"/>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v>0</v>
      </c>
      <c r="S145" s="4">
        <v>0</v>
      </c>
      <c r="T145" s="4"/>
      <c r="U145" s="4">
        <v>0</v>
      </c>
      <c r="V145" s="4">
        <v>0</v>
      </c>
      <c r="W145" s="4">
        <v>0</v>
      </c>
      <c r="X145" s="4">
        <v>0</v>
      </c>
      <c r="Y145" s="4">
        <v>0</v>
      </c>
      <c r="Z145" s="4">
        <v>15829.95</v>
      </c>
      <c r="AA145" s="4">
        <v>0</v>
      </c>
      <c r="AB145" s="4"/>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v>0</v>
      </c>
      <c r="S146" s="4">
        <v>0</v>
      </c>
      <c r="T146" s="4"/>
      <c r="U146" s="4">
        <v>0</v>
      </c>
      <c r="V146" s="4">
        <v>0</v>
      </c>
      <c r="W146" s="4">
        <v>0</v>
      </c>
      <c r="X146" s="4">
        <v>0</v>
      </c>
      <c r="Y146" s="4">
        <v>0</v>
      </c>
      <c r="Z146" s="4">
        <v>0</v>
      </c>
      <c r="AA146" s="4">
        <v>0</v>
      </c>
      <c r="AB146" s="4"/>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v>0</v>
      </c>
      <c r="S147" s="4">
        <v>0</v>
      </c>
      <c r="T147" s="4"/>
      <c r="U147" s="4">
        <v>0</v>
      </c>
      <c r="V147" s="4">
        <v>176047.54</v>
      </c>
      <c r="W147" s="4">
        <v>0</v>
      </c>
      <c r="X147" s="4">
        <v>0</v>
      </c>
      <c r="Y147" s="4">
        <v>0</v>
      </c>
      <c r="Z147" s="4">
        <v>0</v>
      </c>
      <c r="AA147" s="4">
        <v>0</v>
      </c>
      <c r="AB147" s="4"/>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v>0</v>
      </c>
      <c r="S148" s="4">
        <v>0</v>
      </c>
      <c r="T148" s="4"/>
      <c r="U148" s="4">
        <v>0</v>
      </c>
      <c r="V148" s="4">
        <v>0</v>
      </c>
      <c r="W148" s="4">
        <v>0</v>
      </c>
      <c r="X148" s="4">
        <v>0</v>
      </c>
      <c r="Y148" s="4">
        <v>0</v>
      </c>
      <c r="Z148" s="4">
        <v>0</v>
      </c>
      <c r="AA148" s="4">
        <v>0</v>
      </c>
      <c r="AB148" s="4"/>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0</v>
      </c>
      <c r="AC153" s="108">
        <f t="shared" si="32"/>
        <v>0</v>
      </c>
      <c r="AD153" s="108">
        <f t="shared" si="32"/>
        <v>36333.32</v>
      </c>
      <c r="AE153" s="108">
        <f t="shared" si="32"/>
        <v>-34288.879999999997</v>
      </c>
      <c r="AF153" s="108">
        <f t="shared" si="32"/>
        <v>254779.16999999995</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v>0</v>
      </c>
      <c r="Q154" s="4">
        <v>0</v>
      </c>
      <c r="R154" s="4">
        <v>1602.7</v>
      </c>
      <c r="S154" s="4">
        <v>1464.7</v>
      </c>
      <c r="T154" s="4"/>
      <c r="U154" s="4">
        <v>34359.129999999997</v>
      </c>
      <c r="V154" s="4">
        <v>0</v>
      </c>
      <c r="W154" s="4">
        <v>3124.35</v>
      </c>
      <c r="X154" s="4">
        <v>10069.08</v>
      </c>
      <c r="Y154" s="4">
        <v>-75161</v>
      </c>
      <c r="Z154" s="4">
        <v>-73122.55</v>
      </c>
      <c r="AA154" s="4">
        <v>160618.54999999999</v>
      </c>
      <c r="AB154" s="4"/>
      <c r="AC154" s="4">
        <v>0</v>
      </c>
      <c r="AD154" s="4">
        <v>36333.32</v>
      </c>
      <c r="AE154" s="4">
        <v>-34288.879999999997</v>
      </c>
      <c r="AF154" s="4">
        <f>SUM(E154:AE154)</f>
        <v>171133.39999999997</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v>0</v>
      </c>
      <c r="Q155" s="4">
        <v>0</v>
      </c>
      <c r="R155" s="4">
        <v>0</v>
      </c>
      <c r="S155" s="4">
        <v>0</v>
      </c>
      <c r="T155" s="4"/>
      <c r="U155" s="4">
        <v>0</v>
      </c>
      <c r="V155" s="4">
        <v>0</v>
      </c>
      <c r="W155" s="4">
        <v>0</v>
      </c>
      <c r="X155" s="4">
        <v>0</v>
      </c>
      <c r="Y155" s="4">
        <v>-61179.19</v>
      </c>
      <c r="Z155" s="4">
        <v>0</v>
      </c>
      <c r="AA155" s="4">
        <v>0</v>
      </c>
      <c r="AB155" s="4"/>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0</v>
      </c>
      <c r="AC157" s="41">
        <f t="shared" si="33"/>
        <v>0</v>
      </c>
      <c r="AD157" s="41">
        <f t="shared" si="33"/>
        <v>36333.32</v>
      </c>
      <c r="AE157" s="41">
        <f t="shared" si="33"/>
        <v>-34288.879999999997</v>
      </c>
      <c r="AF157" s="41">
        <f t="shared" si="33"/>
        <v>254779.16999999995</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0</v>
      </c>
      <c r="AC161" s="41">
        <f t="shared" si="34"/>
        <v>0</v>
      </c>
      <c r="AD161" s="41">
        <f t="shared" si="34"/>
        <v>36333.319999999832</v>
      </c>
      <c r="AE161" s="41">
        <f t="shared" si="34"/>
        <v>-34288.880000000005</v>
      </c>
      <c r="AF161" s="41">
        <f t="shared" si="34"/>
        <v>254779.17000000551</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-5.5588316172361374E-9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35267.050000000003</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0</v>
      </c>
      <c r="AC166" s="4">
        <f t="shared" si="38"/>
        <v>132117.85</v>
      </c>
      <c r="AD166" s="4">
        <f t="shared" si="38"/>
        <v>3021219.9599999995</v>
      </c>
      <c r="AE166" s="4">
        <f t="shared" si="38"/>
        <v>359411.53</v>
      </c>
      <c r="AF166" s="4">
        <f t="shared" si="38"/>
        <v>30217769.619999994</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35267.050000000003</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0</v>
      </c>
      <c r="AC167" s="4">
        <f t="shared" si="39"/>
        <v>132114.6</v>
      </c>
      <c r="AD167" s="4">
        <f t="shared" si="39"/>
        <v>3121605.3</v>
      </c>
      <c r="AE167" s="4">
        <f t="shared" si="39"/>
        <v>325122.65000000002</v>
      </c>
      <c r="AF167" s="4">
        <f t="shared" si="39"/>
        <v>31740413.02</v>
      </c>
      <c r="AG167">
        <v>165</v>
      </c>
    </row>
    <row r="169" spans="4:33" x14ac:dyDescent="0.25">
      <c r="L169" s="4"/>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811</v>
      </c>
    </row>
    <row r="7" spans="1:5" x14ac:dyDescent="0.25">
      <c r="E7" s="65" t="s">
        <v>202</v>
      </c>
    </row>
    <row r="8" spans="1:5" ht="21" x14ac:dyDescent="0.35">
      <c r="A8" s="92">
        <v>3</v>
      </c>
      <c r="B8" s="92"/>
      <c r="C8" s="92"/>
      <c r="D8" s="92" t="s">
        <v>60</v>
      </c>
      <c r="E8" s="171">
        <f>HLOOKUP($D$5,'9.1 Syndicats comptes 2021'!$E$3:$AF$167,2,0)</f>
        <v>35267.050000000003</v>
      </c>
    </row>
    <row r="9" spans="1:5" x14ac:dyDescent="0.25">
      <c r="A9" s="94"/>
      <c r="B9" s="94">
        <v>30</v>
      </c>
      <c r="C9" s="94"/>
      <c r="D9" s="94" t="s">
        <v>61</v>
      </c>
      <c r="E9" s="95">
        <f>HLOOKUP($D$5,'9.1 Syndicats comptes 2021'!$E$3:$AF$167,3,0)</f>
        <v>3750</v>
      </c>
    </row>
    <row r="10" spans="1:5" x14ac:dyDescent="0.25">
      <c r="C10">
        <v>300</v>
      </c>
      <c r="D10" t="s">
        <v>80</v>
      </c>
      <c r="E10" s="4">
        <f>HLOOKUP($D$5,'9.1 Syndicats comptes 2021'!$E$3:$AF$167,4,0)</f>
        <v>1330</v>
      </c>
    </row>
    <row r="11" spans="1:5" x14ac:dyDescent="0.25">
      <c r="C11">
        <v>301</v>
      </c>
      <c r="D11" t="s">
        <v>81</v>
      </c>
      <c r="E11" s="4">
        <f>HLOOKUP($D$5,'9.1 Syndicats comptes 2021'!$E$3:$AF$167,5,0)</f>
        <v>2420</v>
      </c>
    </row>
    <row r="12" spans="1:5" x14ac:dyDescent="0.25">
      <c r="C12">
        <v>302</v>
      </c>
      <c r="D12" t="s">
        <v>82</v>
      </c>
      <c r="E12" s="4">
        <f>HLOOKUP($D$5,'9.1 Syndicats comptes 2021'!$E$3:$AF$167,6,0)</f>
        <v>0</v>
      </c>
    </row>
    <row r="13" spans="1:5" x14ac:dyDescent="0.25">
      <c r="C13">
        <v>303</v>
      </c>
      <c r="D13" t="s">
        <v>83</v>
      </c>
      <c r="E13" s="4">
        <f>HLOOKUP($D$5,'9.1 Syndicats comptes 2021'!$E$3:$AF$167,7,0)</f>
        <v>0</v>
      </c>
    </row>
    <row r="14" spans="1:5" x14ac:dyDescent="0.25">
      <c r="C14">
        <v>304</v>
      </c>
      <c r="D14" t="s">
        <v>583</v>
      </c>
      <c r="E14" s="4">
        <f>HLOOKUP($D$5,'9.1 Syndicats comptes 2021'!$E$3:$AF$167,8,0)</f>
        <v>0</v>
      </c>
    </row>
    <row r="15" spans="1:5" x14ac:dyDescent="0.25">
      <c r="C15">
        <v>305</v>
      </c>
      <c r="D15" t="s">
        <v>84</v>
      </c>
      <c r="E15" s="4">
        <f>HLOOKUP($D$5,'9.1 Syndicats comptes 2021'!$E$3:$AF$167,9,0)</f>
        <v>0</v>
      </c>
    </row>
    <row r="16" spans="1:5" x14ac:dyDescent="0.25">
      <c r="C16">
        <v>306</v>
      </c>
      <c r="D16" t="s">
        <v>85</v>
      </c>
      <c r="E16" s="4">
        <f>HLOOKUP($D$5,'9.1 Syndicats comptes 2021'!$E$3:$AF$167,10,0)</f>
        <v>0</v>
      </c>
    </row>
    <row r="17" spans="2:5" x14ac:dyDescent="0.25">
      <c r="C17">
        <v>309</v>
      </c>
      <c r="D17" t="s">
        <v>86</v>
      </c>
      <c r="E17" s="4">
        <f>HLOOKUP($D$5,'9.1 Syndicats comptes 2021'!$E$3:$AF$167,11,0)</f>
        <v>0</v>
      </c>
    </row>
    <row r="18" spans="2:5" x14ac:dyDescent="0.25">
      <c r="E18" s="4"/>
    </row>
    <row r="19" spans="2:5" x14ac:dyDescent="0.25">
      <c r="B19" s="94">
        <v>31</v>
      </c>
      <c r="C19" s="94"/>
      <c r="D19" s="94" t="s">
        <v>87</v>
      </c>
      <c r="E19" s="95">
        <f>HLOOKUP($D$5,'9.1 Syndicats comptes 2021'!$E$3:$AF$167,13,0)</f>
        <v>26183.5</v>
      </c>
    </row>
    <row r="20" spans="2:5" x14ac:dyDescent="0.25">
      <c r="C20">
        <v>310</v>
      </c>
      <c r="D20" t="s">
        <v>88</v>
      </c>
      <c r="E20" s="4">
        <f>HLOOKUP($D$5,'9.1 Syndicats comptes 2021'!$E$3:$AF$167,14,0)</f>
        <v>2623.7</v>
      </c>
    </row>
    <row r="21" spans="2:5" x14ac:dyDescent="0.25">
      <c r="C21">
        <v>311</v>
      </c>
      <c r="D21" t="s">
        <v>452</v>
      </c>
      <c r="E21" s="4">
        <f>HLOOKUP($D$5,'9.1 Syndicats comptes 2021'!$E$3:$AF$167,15,0)</f>
        <v>4588</v>
      </c>
    </row>
    <row r="22" spans="2:5" x14ac:dyDescent="0.25">
      <c r="C22">
        <v>312</v>
      </c>
      <c r="D22" t="s">
        <v>90</v>
      </c>
      <c r="E22" s="4">
        <f>HLOOKUP($D$5,'9.1 Syndicats comptes 2021'!$E$3:$AF$167,16,0)</f>
        <v>0</v>
      </c>
    </row>
    <row r="23" spans="2:5" x14ac:dyDescent="0.25">
      <c r="C23">
        <v>313</v>
      </c>
      <c r="D23" t="s">
        <v>91</v>
      </c>
      <c r="E23" s="4">
        <f>HLOOKUP($D$5,'9.1 Syndicats comptes 2021'!$E$3:$AF$167,17,0)</f>
        <v>1929.6</v>
      </c>
    </row>
    <row r="24" spans="2:5" x14ac:dyDescent="0.25">
      <c r="C24">
        <v>314</v>
      </c>
      <c r="D24" t="s">
        <v>92</v>
      </c>
      <c r="E24" s="4">
        <f>HLOOKUP($D$5,'9.1 Syndicats comptes 2021'!$E$3:$AF$167,18,0)</f>
        <v>17042.2</v>
      </c>
    </row>
    <row r="25" spans="2:5" x14ac:dyDescent="0.25">
      <c r="C25">
        <v>315</v>
      </c>
      <c r="D25" t="s">
        <v>93</v>
      </c>
      <c r="E25" s="4">
        <f>HLOOKUP($D$5,'9.1 Syndicats comptes 2021'!$E$3:$AF$167,19,0)</f>
        <v>0</v>
      </c>
    </row>
    <row r="26" spans="2:5" x14ac:dyDescent="0.25">
      <c r="C26">
        <v>316</v>
      </c>
      <c r="D26" t="s">
        <v>94</v>
      </c>
      <c r="E26" s="4">
        <f>HLOOKUP($D$5,'9.1 Syndicats comptes 2021'!$E$3:$AF$167,20,0)</f>
        <v>0</v>
      </c>
    </row>
    <row r="27" spans="2:5" x14ac:dyDescent="0.25">
      <c r="C27">
        <v>317</v>
      </c>
      <c r="D27" t="s">
        <v>95</v>
      </c>
      <c r="E27" s="4">
        <f>HLOOKUP($D$5,'9.1 Syndicats comptes 2021'!$E$3:$AF$167,21,0)</f>
        <v>0</v>
      </c>
    </row>
    <row r="28" spans="2:5" x14ac:dyDescent="0.25">
      <c r="C28">
        <v>318</v>
      </c>
      <c r="D28" t="s">
        <v>96</v>
      </c>
      <c r="E28" s="4">
        <f>HLOOKUP($D$5,'9.1 Syndicats comptes 2021'!$E$3:$AF$167,22,0)</f>
        <v>0</v>
      </c>
    </row>
    <row r="29" spans="2:5" x14ac:dyDescent="0.25">
      <c r="C29">
        <v>319</v>
      </c>
      <c r="D29" t="s">
        <v>97</v>
      </c>
      <c r="E29" s="4">
        <f>HLOOKUP($D$5,'9.1 Syndicats comptes 2021'!$E$3:$AF$167,23,0)</f>
        <v>0</v>
      </c>
    </row>
    <row r="30" spans="2:5" x14ac:dyDescent="0.25">
      <c r="E30" s="4"/>
    </row>
    <row r="31" spans="2:5" x14ac:dyDescent="0.25">
      <c r="B31" s="94">
        <v>33</v>
      </c>
      <c r="C31" s="94"/>
      <c r="D31" s="94" t="s">
        <v>98</v>
      </c>
      <c r="E31" s="95">
        <f>HLOOKUP($D$5,'9.1 Syndicats comptes 2021'!$E$3:$AF$167,25,0)</f>
        <v>5333.55</v>
      </c>
    </row>
    <row r="32" spans="2:5" x14ac:dyDescent="0.25">
      <c r="C32">
        <v>330</v>
      </c>
      <c r="D32" t="s">
        <v>100</v>
      </c>
      <c r="E32" s="4">
        <f>HLOOKUP($D$5,'9.1 Syndicats comptes 2021'!$E$3:$AF$167,26,0)</f>
        <v>5333.55</v>
      </c>
    </row>
    <row r="33" spans="2:5" x14ac:dyDescent="0.25">
      <c r="C33">
        <v>332</v>
      </c>
      <c r="D33" t="s">
        <v>99</v>
      </c>
      <c r="E33" s="4">
        <f>HLOOKUP($D$5,'9.1 Syndicats comptes 2021'!$E$3:$AF$167,27,0)</f>
        <v>0</v>
      </c>
    </row>
    <row r="34" spans="2:5" x14ac:dyDescent="0.25">
      <c r="E34" s="4"/>
    </row>
    <row r="35" spans="2:5" x14ac:dyDescent="0.25">
      <c r="B35" s="94">
        <v>34</v>
      </c>
      <c r="C35" s="94"/>
      <c r="D35" s="94" t="s">
        <v>101</v>
      </c>
      <c r="E35" s="95">
        <f>HLOOKUP($D$5,'9.1 Syndicats comptes 2021'!$E$3:$AF$167,29,0)</f>
        <v>0</v>
      </c>
    </row>
    <row r="36" spans="2:5" x14ac:dyDescent="0.25">
      <c r="C36">
        <v>340</v>
      </c>
      <c r="D36" t="s">
        <v>102</v>
      </c>
      <c r="E36" s="4">
        <f>HLOOKUP($D$5,'9.1 Syndicats comptes 2021'!$E$3:$AF$167,30,0)</f>
        <v>0</v>
      </c>
    </row>
    <row r="37" spans="2:5" x14ac:dyDescent="0.25">
      <c r="C37">
        <v>341</v>
      </c>
      <c r="D37" t="s">
        <v>103</v>
      </c>
      <c r="E37" s="4">
        <f>HLOOKUP($D$5,'9.1 Syndicats comptes 2021'!$E$3:$AF$167,31,0)</f>
        <v>0</v>
      </c>
    </row>
    <row r="38" spans="2:5" x14ac:dyDescent="0.25">
      <c r="C38">
        <v>342</v>
      </c>
      <c r="D38" t="s">
        <v>104</v>
      </c>
      <c r="E38" s="4">
        <f>HLOOKUP($D$5,'9.1 Syndicats comptes 2021'!$E$3:$AF$167,32,0)</f>
        <v>0</v>
      </c>
    </row>
    <row r="39" spans="2:5" x14ac:dyDescent="0.25">
      <c r="C39">
        <v>343</v>
      </c>
      <c r="D39" t="s">
        <v>105</v>
      </c>
      <c r="E39" s="4">
        <f>HLOOKUP($D$5,'9.1 Syndicats comptes 2021'!$E$3:$AF$167,33,0)</f>
        <v>0</v>
      </c>
    </row>
    <row r="40" spans="2:5" x14ac:dyDescent="0.25">
      <c r="C40">
        <v>344</v>
      </c>
      <c r="D40" t="s">
        <v>106</v>
      </c>
      <c r="E40" s="4">
        <f>HLOOKUP($D$5,'9.1 Syndicats comptes 2021'!$E$3:$AF$167,34,0)</f>
        <v>0</v>
      </c>
    </row>
    <row r="41" spans="2:5" x14ac:dyDescent="0.25">
      <c r="C41">
        <v>349</v>
      </c>
      <c r="D41" t="s">
        <v>107</v>
      </c>
      <c r="E41" s="4">
        <f>HLOOKUP($D$5,'9.1 Syndicats comptes 2021'!$E$3:$AF$167,35,0)</f>
        <v>0</v>
      </c>
    </row>
    <row r="42" spans="2:5" x14ac:dyDescent="0.25">
      <c r="E42" s="4"/>
    </row>
    <row r="43" spans="2:5" x14ac:dyDescent="0.25">
      <c r="B43" s="94">
        <v>35</v>
      </c>
      <c r="C43" s="94"/>
      <c r="D43" s="94" t="s">
        <v>109</v>
      </c>
      <c r="E43" s="95">
        <f>HLOOKUP($D$5,'9.1 Syndicats comptes 2021'!$E$3:$AF$167,37,0)</f>
        <v>0</v>
      </c>
    </row>
    <row r="44" spans="2:5" x14ac:dyDescent="0.25">
      <c r="C44">
        <v>350</v>
      </c>
      <c r="D44" t="s">
        <v>109</v>
      </c>
      <c r="E44" s="4">
        <f>HLOOKUP($D$5,'9.1 Syndicats comptes 2021'!$E$3:$AF$167,38,0)</f>
        <v>0</v>
      </c>
    </row>
    <row r="45" spans="2:5" x14ac:dyDescent="0.25">
      <c r="C45">
        <v>351</v>
      </c>
      <c r="D45" t="s">
        <v>108</v>
      </c>
      <c r="E45" s="4">
        <f>HLOOKUP($D$5,'9.1 Syndicats comptes 2021'!$E$3:$AF$167,39,0)</f>
        <v>0</v>
      </c>
    </row>
    <row r="46" spans="2:5" x14ac:dyDescent="0.25">
      <c r="E46" s="4"/>
    </row>
    <row r="47" spans="2:5" x14ac:dyDescent="0.25">
      <c r="B47" s="94">
        <v>36</v>
      </c>
      <c r="C47" s="94"/>
      <c r="D47" s="94" t="s">
        <v>110</v>
      </c>
      <c r="E47" s="95">
        <f>HLOOKUP($D$5,'9.1 Syndicats comptes 2021'!$E$3:$AF$167,41,0)</f>
        <v>0</v>
      </c>
    </row>
    <row r="48" spans="2:5" x14ac:dyDescent="0.25">
      <c r="C48">
        <v>360</v>
      </c>
      <c r="D48" t="s">
        <v>111</v>
      </c>
      <c r="E48" s="4">
        <f>HLOOKUP($D$5,'9.1 Syndicats comptes 2021'!$E$3:$AF$167,42,0)</f>
        <v>0</v>
      </c>
    </row>
    <row r="49" spans="2:5" x14ac:dyDescent="0.25">
      <c r="C49">
        <v>361</v>
      </c>
      <c r="D49" t="s">
        <v>112</v>
      </c>
      <c r="E49" s="4">
        <f>HLOOKUP($D$5,'9.1 Syndicats comptes 2021'!$E$3:$AF$167,43,0)</f>
        <v>0</v>
      </c>
    </row>
    <row r="50" spans="2:5" x14ac:dyDescent="0.25">
      <c r="C50">
        <v>362</v>
      </c>
      <c r="D50" t="s">
        <v>113</v>
      </c>
      <c r="E50" s="4">
        <f>HLOOKUP($D$5,'9.1 Syndicats comptes 2021'!$E$3:$AF$167,44,0)</f>
        <v>0</v>
      </c>
    </row>
    <row r="51" spans="2:5" x14ac:dyDescent="0.25">
      <c r="C51">
        <v>363</v>
      </c>
      <c r="D51" t="s">
        <v>114</v>
      </c>
      <c r="E51" s="4">
        <f>HLOOKUP($D$5,'9.1 Syndicats comptes 2021'!$E$3:$AF$167,45,0)</f>
        <v>0</v>
      </c>
    </row>
    <row r="52" spans="2:5" x14ac:dyDescent="0.25">
      <c r="C52">
        <v>364</v>
      </c>
      <c r="D52" t="s">
        <v>115</v>
      </c>
      <c r="E52" s="4">
        <f>HLOOKUP($D$5,'9.1 Syndicats comptes 2021'!$E$3:$AF$167,46,0)</f>
        <v>0</v>
      </c>
    </row>
    <row r="53" spans="2:5" x14ac:dyDescent="0.25">
      <c r="C53">
        <v>365</v>
      </c>
      <c r="D53" t="s">
        <v>116</v>
      </c>
      <c r="E53" s="4">
        <f>HLOOKUP($D$5,'9.1 Syndicats comptes 2021'!$E$3:$AF$167,47,0)</f>
        <v>0</v>
      </c>
    </row>
    <row r="54" spans="2:5" x14ac:dyDescent="0.25">
      <c r="C54">
        <v>366</v>
      </c>
      <c r="D54" t="s">
        <v>117</v>
      </c>
      <c r="E54" s="4">
        <f>HLOOKUP($D$5,'9.1 Syndicats comptes 2021'!$E$3:$AF$167,48,0)</f>
        <v>0</v>
      </c>
    </row>
    <row r="55" spans="2:5" x14ac:dyDescent="0.25">
      <c r="C55">
        <v>369</v>
      </c>
      <c r="D55" t="s">
        <v>118</v>
      </c>
      <c r="E55" s="4">
        <f>HLOOKUP($D$5,'9.1 Syndicats comptes 2021'!$E$3:$AF$167,49,0)</f>
        <v>0</v>
      </c>
    </row>
    <row r="56" spans="2:5" x14ac:dyDescent="0.25">
      <c r="E56" s="4"/>
    </row>
    <row r="57" spans="2:5" x14ac:dyDescent="0.25">
      <c r="B57" s="94">
        <v>37</v>
      </c>
      <c r="C57" s="94"/>
      <c r="D57" s="94" t="s">
        <v>119</v>
      </c>
      <c r="E57" s="95">
        <f>HLOOKUP($D$5,'9.1 Syndicats comptes 2021'!$E$3:$AF$167,51,0)</f>
        <v>0</v>
      </c>
    </row>
    <row r="58" spans="2:5" x14ac:dyDescent="0.25">
      <c r="C58">
        <v>370</v>
      </c>
      <c r="D58" t="s">
        <v>120</v>
      </c>
      <c r="E58" s="4">
        <f>HLOOKUP($D$5,'9.1 Syndicats comptes 2021'!$E$3:$AF$167,52,0)</f>
        <v>0</v>
      </c>
    </row>
    <row r="59" spans="2:5" x14ac:dyDescent="0.25">
      <c r="E59" s="4"/>
    </row>
    <row r="60" spans="2:5" x14ac:dyDescent="0.25">
      <c r="B60" s="94">
        <v>38</v>
      </c>
      <c r="C60" s="94"/>
      <c r="D60" s="94" t="s">
        <v>121</v>
      </c>
      <c r="E60" s="95">
        <f>HLOOKUP($D$5,'9.1 Syndicats comptes 2021'!$E$3:$AF$167,54,0)</f>
        <v>0</v>
      </c>
    </row>
    <row r="61" spans="2:5" x14ac:dyDescent="0.25">
      <c r="C61">
        <v>380</v>
      </c>
      <c r="D61" t="s">
        <v>122</v>
      </c>
      <c r="E61" s="4">
        <f>HLOOKUP($D$5,'9.1 Syndicats comptes 2021'!$E$3:$AF$167,55,0)</f>
        <v>0</v>
      </c>
    </row>
    <row r="62" spans="2:5" x14ac:dyDescent="0.25">
      <c r="C62">
        <v>381</v>
      </c>
      <c r="D62" t="s">
        <v>123</v>
      </c>
      <c r="E62" s="4">
        <f>HLOOKUP($D$5,'9.1 Syndicats comptes 2021'!$E$3:$AF$167,56,0)</f>
        <v>0</v>
      </c>
    </row>
    <row r="63" spans="2:5" x14ac:dyDescent="0.25">
      <c r="C63">
        <v>384</v>
      </c>
      <c r="D63" t="s">
        <v>124</v>
      </c>
      <c r="E63" s="4">
        <f>HLOOKUP($D$5,'9.1 Syndicats comptes 2021'!$E$3:$AF$167,57,0)</f>
        <v>0</v>
      </c>
    </row>
    <row r="64" spans="2:5" x14ac:dyDescent="0.25">
      <c r="C64">
        <v>385</v>
      </c>
      <c r="D64" t="s">
        <v>125</v>
      </c>
      <c r="E64" s="4">
        <f>HLOOKUP($D$5,'9.1 Syndicats comptes 2021'!$E$3:$AF$167,58,0)</f>
        <v>0</v>
      </c>
    </row>
    <row r="65" spans="1:5" x14ac:dyDescent="0.25">
      <c r="C65">
        <v>386</v>
      </c>
      <c r="D65" t="s">
        <v>126</v>
      </c>
      <c r="E65" s="4">
        <f>HLOOKUP($D$5,'9.1 Syndicats comptes 2021'!$E$3:$AF$167,59,0)</f>
        <v>0</v>
      </c>
    </row>
    <row r="66" spans="1:5" x14ac:dyDescent="0.25">
      <c r="C66">
        <v>389</v>
      </c>
      <c r="D66" t="s">
        <v>290</v>
      </c>
      <c r="E66" s="4">
        <f>HLOOKUP($D$5,'9.1 Syndicats comptes 2021'!$E$3:$AF$167,60,0)</f>
        <v>0</v>
      </c>
    </row>
    <row r="67" spans="1:5" x14ac:dyDescent="0.25">
      <c r="E67" s="4"/>
    </row>
    <row r="68" spans="1:5" x14ac:dyDescent="0.25">
      <c r="B68" s="94">
        <v>39</v>
      </c>
      <c r="C68" s="94"/>
      <c r="D68" s="94" t="s">
        <v>128</v>
      </c>
      <c r="E68" s="95">
        <f>HLOOKUP($D$5,'9.1 Syndicats comptes 2021'!$E$3:$AF$167,62,0)</f>
        <v>0</v>
      </c>
    </row>
    <row r="69" spans="1:5" x14ac:dyDescent="0.25">
      <c r="C69">
        <v>390</v>
      </c>
      <c r="D69" t="s">
        <v>129</v>
      </c>
      <c r="E69" s="4">
        <f>HLOOKUP($D$5,'9.1 Syndicats comptes 2021'!$E$3:$AF$167,63,0)</f>
        <v>0</v>
      </c>
    </row>
    <row r="70" spans="1:5" x14ac:dyDescent="0.25">
      <c r="C70">
        <v>391</v>
      </c>
      <c r="D70" t="s">
        <v>130</v>
      </c>
      <c r="E70" s="4">
        <f>HLOOKUP($D$5,'9.1 Syndicats comptes 2021'!$E$3:$AF$167,64,0)</f>
        <v>0</v>
      </c>
    </row>
    <row r="71" spans="1:5" x14ac:dyDescent="0.25">
      <c r="C71">
        <v>392</v>
      </c>
      <c r="D71" t="s">
        <v>131</v>
      </c>
      <c r="E71" s="4">
        <f>HLOOKUP($D$5,'9.1 Syndicats comptes 2021'!$E$3:$AF$167,65,0)</f>
        <v>0</v>
      </c>
    </row>
    <row r="72" spans="1:5" x14ac:dyDescent="0.25">
      <c r="C72">
        <v>393</v>
      </c>
      <c r="D72" t="s">
        <v>132</v>
      </c>
      <c r="E72" s="4">
        <f>HLOOKUP($D$5,'9.1 Syndicats comptes 2021'!$E$3:$AF$167,66,0)</f>
        <v>0</v>
      </c>
    </row>
    <row r="73" spans="1:5" x14ac:dyDescent="0.25">
      <c r="C73">
        <v>394</v>
      </c>
      <c r="D73" t="s">
        <v>133</v>
      </c>
      <c r="E73" s="4">
        <f>HLOOKUP($D$5,'9.1 Syndicats comptes 2021'!$E$3:$AF$167,67,0)</f>
        <v>0</v>
      </c>
    </row>
    <row r="74" spans="1:5" x14ac:dyDescent="0.25">
      <c r="C74">
        <v>395</v>
      </c>
      <c r="D74" t="s">
        <v>134</v>
      </c>
      <c r="E74" s="4">
        <f>HLOOKUP($D$5,'9.1 Syndicats comptes 2021'!$E$3:$AF$167,68,0)</f>
        <v>0</v>
      </c>
    </row>
    <row r="75" spans="1:5" x14ac:dyDescent="0.25">
      <c r="C75">
        <v>398</v>
      </c>
      <c r="D75" t="s">
        <v>135</v>
      </c>
      <c r="E75" s="4">
        <f>HLOOKUP($D$5,'9.1 Syndicats comptes 2021'!$E$3:$AF$167,69,0)</f>
        <v>0</v>
      </c>
    </row>
    <row r="76" spans="1:5" x14ac:dyDescent="0.25">
      <c r="C76">
        <v>399</v>
      </c>
      <c r="D76" t="s">
        <v>136</v>
      </c>
      <c r="E76" s="4">
        <f>HLOOKUP($D$5,'9.1 Syndicats comptes 2021'!$E$3:$AF$167,70,0)</f>
        <v>0</v>
      </c>
    </row>
    <row r="77" spans="1:5" x14ac:dyDescent="0.25">
      <c r="E77" s="4"/>
    </row>
    <row r="78" spans="1:5" x14ac:dyDescent="0.25">
      <c r="E78" s="4"/>
    </row>
    <row r="79" spans="1:5" ht="21" x14ac:dyDescent="0.35">
      <c r="A79" s="98">
        <v>4</v>
      </c>
      <c r="B79" s="98"/>
      <c r="C79" s="98"/>
      <c r="D79" s="98" t="s">
        <v>137</v>
      </c>
      <c r="E79" s="172">
        <f>HLOOKUP($D$5,'9.1 Syndicats comptes 2021'!$E$3:$AF$167,73,0)</f>
        <v>35267.050000000003</v>
      </c>
    </row>
    <row r="80" spans="1:5" x14ac:dyDescent="0.25">
      <c r="A80" s="7"/>
      <c r="B80" s="96">
        <v>40</v>
      </c>
      <c r="C80" s="96"/>
      <c r="D80" s="96" t="s">
        <v>79</v>
      </c>
      <c r="E80" s="91">
        <f>HLOOKUP($D$5,'9.1 Syndicats comptes 2021'!$E$3:$AF$167,74,0)</f>
        <v>0</v>
      </c>
    </row>
    <row r="81" spans="2:5" x14ac:dyDescent="0.25">
      <c r="C81">
        <v>400</v>
      </c>
      <c r="D81" t="s">
        <v>138</v>
      </c>
      <c r="E81" s="4">
        <f>HLOOKUP($D$5,'9.1 Syndicats comptes 2021'!$E$3:$AF$167,75,0)</f>
        <v>0</v>
      </c>
    </row>
    <row r="82" spans="2:5" x14ac:dyDescent="0.25">
      <c r="C82">
        <v>401</v>
      </c>
      <c r="D82" t="s">
        <v>139</v>
      </c>
      <c r="E82" s="4">
        <f>HLOOKUP($D$5,'9.1 Syndicats comptes 2021'!$E$3:$AF$167,76,0)</f>
        <v>0</v>
      </c>
    </row>
    <row r="83" spans="2:5" x14ac:dyDescent="0.25">
      <c r="C83">
        <v>402</v>
      </c>
      <c r="D83" t="s">
        <v>140</v>
      </c>
      <c r="E83" s="4">
        <f>HLOOKUP($D$5,'9.1 Syndicats comptes 2021'!$E$3:$AF$167,77,0)</f>
        <v>0</v>
      </c>
    </row>
    <row r="84" spans="2:5" x14ac:dyDescent="0.25">
      <c r="C84">
        <v>403</v>
      </c>
      <c r="D84" t="s">
        <v>141</v>
      </c>
      <c r="E84" s="4">
        <f>HLOOKUP($D$5,'9.1 Syndicats comptes 2021'!$E$3:$AF$167,78,0)</f>
        <v>0</v>
      </c>
    </row>
    <row r="85" spans="2:5" x14ac:dyDescent="0.25">
      <c r="E85" s="4"/>
    </row>
    <row r="86" spans="2:5" x14ac:dyDescent="0.25">
      <c r="B86" s="96">
        <v>41</v>
      </c>
      <c r="C86" s="96"/>
      <c r="D86" s="96" t="s">
        <v>142</v>
      </c>
      <c r="E86" s="91">
        <f>HLOOKUP($D$5,'9.1 Syndicats comptes 2021'!$E$3:$AF$167,80,0)</f>
        <v>0</v>
      </c>
    </row>
    <row r="87" spans="2:5" x14ac:dyDescent="0.25">
      <c r="C87">
        <v>410</v>
      </c>
      <c r="D87" t="s">
        <v>143</v>
      </c>
      <c r="E87" s="4">
        <f>HLOOKUP($D$5,'9.1 Syndicats comptes 2021'!$E$3:$AF$167,81,0)</f>
        <v>0</v>
      </c>
    </row>
    <row r="88" spans="2:5" x14ac:dyDescent="0.25">
      <c r="C88">
        <v>411</v>
      </c>
      <c r="D88" t="s">
        <v>144</v>
      </c>
      <c r="E88" s="4">
        <f>HLOOKUP($D$5,'9.1 Syndicats comptes 2021'!$E$3:$AF$167,82,0)</f>
        <v>0</v>
      </c>
    </row>
    <row r="89" spans="2:5" x14ac:dyDescent="0.25">
      <c r="C89">
        <v>412</v>
      </c>
      <c r="D89" t="s">
        <v>145</v>
      </c>
      <c r="E89" s="4">
        <f>HLOOKUP($D$5,'9.1 Syndicats comptes 2021'!$E$3:$AF$167,83,0)</f>
        <v>0</v>
      </c>
    </row>
    <row r="90" spans="2:5" x14ac:dyDescent="0.25">
      <c r="C90">
        <v>413</v>
      </c>
      <c r="D90" t="s">
        <v>146</v>
      </c>
      <c r="E90" s="4">
        <f>HLOOKUP($D$5,'9.1 Syndicats comptes 2021'!$E$3:$AF$167,84,0)</f>
        <v>0</v>
      </c>
    </row>
    <row r="91" spans="2:5" x14ac:dyDescent="0.25">
      <c r="E91" s="4"/>
    </row>
    <row r="92" spans="2:5" x14ac:dyDescent="0.25">
      <c r="B92" s="96">
        <v>42</v>
      </c>
      <c r="C92" s="96"/>
      <c r="D92" s="96" t="s">
        <v>147</v>
      </c>
      <c r="E92" s="91">
        <f>HLOOKUP($D$5,'9.1 Syndicats comptes 2021'!$E$3:$AF$167,86,0)</f>
        <v>10450</v>
      </c>
    </row>
    <row r="93" spans="2:5" x14ac:dyDescent="0.25">
      <c r="C93">
        <v>420</v>
      </c>
      <c r="D93" t="s">
        <v>148</v>
      </c>
      <c r="E93" s="4">
        <f>HLOOKUP($D$5,'9.1 Syndicats comptes 2021'!$E$3:$AF$167,87,0)</f>
        <v>0</v>
      </c>
    </row>
    <row r="94" spans="2:5" x14ac:dyDescent="0.25">
      <c r="C94">
        <v>421</v>
      </c>
      <c r="D94" t="s">
        <v>149</v>
      </c>
      <c r="E94" s="4">
        <f>HLOOKUP($D$5,'9.1 Syndicats comptes 2021'!$E$3:$AF$167,88,0)</f>
        <v>0</v>
      </c>
    </row>
    <row r="95" spans="2:5" x14ac:dyDescent="0.25">
      <c r="C95">
        <v>422</v>
      </c>
      <c r="D95" t="s">
        <v>150</v>
      </c>
      <c r="E95" s="4">
        <f>HLOOKUP($D$5,'9.1 Syndicats comptes 2021'!$E$3:$AF$167,89,0)</f>
        <v>0</v>
      </c>
    </row>
    <row r="96" spans="2:5" x14ac:dyDescent="0.25">
      <c r="C96">
        <v>423</v>
      </c>
      <c r="D96" t="s">
        <v>151</v>
      </c>
      <c r="E96" s="4">
        <f>HLOOKUP($D$5,'9.1 Syndicats comptes 2021'!$E$3:$AF$167,90,0)</f>
        <v>0</v>
      </c>
    </row>
    <row r="97" spans="2:5" x14ac:dyDescent="0.25">
      <c r="C97">
        <v>424</v>
      </c>
      <c r="D97" t="s">
        <v>152</v>
      </c>
      <c r="E97" s="4">
        <f>HLOOKUP($D$5,'9.1 Syndicats comptes 2021'!$E$3:$AF$167,91,0)</f>
        <v>10450</v>
      </c>
    </row>
    <row r="98" spans="2:5" x14ac:dyDescent="0.25">
      <c r="C98">
        <v>425</v>
      </c>
      <c r="D98" t="s">
        <v>153</v>
      </c>
      <c r="E98" s="4">
        <f>HLOOKUP($D$5,'9.1 Syndicats comptes 2021'!$E$3:$AF$167,92,0)</f>
        <v>0</v>
      </c>
    </row>
    <row r="99" spans="2:5" x14ac:dyDescent="0.25">
      <c r="C99">
        <v>426</v>
      </c>
      <c r="D99" t="s">
        <v>154</v>
      </c>
      <c r="E99" s="4">
        <f>HLOOKUP($D$5,'9.1 Syndicats comptes 2021'!$E$3:$AF$167,93,0)</f>
        <v>0</v>
      </c>
    </row>
    <row r="100" spans="2:5" x14ac:dyDescent="0.25">
      <c r="C100">
        <v>427</v>
      </c>
      <c r="D100" t="s">
        <v>155</v>
      </c>
      <c r="E100" s="4">
        <f>HLOOKUP($D$5,'9.1 Syndicats comptes 2021'!$E$3:$AF$167,94,0)</f>
        <v>0</v>
      </c>
    </row>
    <row r="101" spans="2:5" x14ac:dyDescent="0.25">
      <c r="C101">
        <v>429</v>
      </c>
      <c r="D101" t="s">
        <v>156</v>
      </c>
      <c r="E101" s="4">
        <f>HLOOKUP($D$5,'9.1 Syndicats comptes 2021'!$E$3:$AF$167,95,0)</f>
        <v>0</v>
      </c>
    </row>
    <row r="102" spans="2:5" x14ac:dyDescent="0.25">
      <c r="E102" s="4"/>
    </row>
    <row r="103" spans="2:5" x14ac:dyDescent="0.25">
      <c r="B103" s="96">
        <v>43</v>
      </c>
      <c r="C103" s="96"/>
      <c r="D103" s="96" t="s">
        <v>157</v>
      </c>
      <c r="E103" s="91">
        <f>HLOOKUP($D$5,'9.1 Syndicats comptes 2021'!$E$3:$AF$167,97,0)</f>
        <v>0</v>
      </c>
    </row>
    <row r="104" spans="2:5" x14ac:dyDescent="0.25">
      <c r="C104">
        <v>430</v>
      </c>
      <c r="D104" t="s">
        <v>158</v>
      </c>
      <c r="E104" s="4">
        <f>HLOOKUP($D$5,'9.1 Syndicats comptes 2021'!$E$3:$AF$167,98,0)</f>
        <v>0</v>
      </c>
    </row>
    <row r="105" spans="2:5" x14ac:dyDescent="0.25">
      <c r="C105">
        <v>431</v>
      </c>
      <c r="D105" t="s">
        <v>159</v>
      </c>
      <c r="E105" s="4">
        <f>HLOOKUP($D$5,'9.1 Syndicats comptes 2021'!$E$3:$AF$167,99,0)</f>
        <v>0</v>
      </c>
    </row>
    <row r="106" spans="2:5" x14ac:dyDescent="0.25">
      <c r="C106">
        <v>432</v>
      </c>
      <c r="D106" t="s">
        <v>160</v>
      </c>
      <c r="E106" s="4">
        <f>HLOOKUP($D$5,'9.1 Syndicats comptes 2021'!$E$3:$AF$167,100,0)</f>
        <v>0</v>
      </c>
    </row>
    <row r="107" spans="2:5" x14ac:dyDescent="0.25">
      <c r="C107">
        <v>439</v>
      </c>
      <c r="D107" t="s">
        <v>161</v>
      </c>
      <c r="E107" s="4">
        <f>HLOOKUP($D$5,'9.1 Syndicats comptes 2021'!$E$3:$AF$167,101,0)</f>
        <v>0</v>
      </c>
    </row>
    <row r="108" spans="2:5" x14ac:dyDescent="0.25">
      <c r="E108" s="4"/>
    </row>
    <row r="109" spans="2:5" x14ac:dyDescent="0.25">
      <c r="B109" s="96">
        <v>44</v>
      </c>
      <c r="C109" s="96"/>
      <c r="D109" s="96" t="s">
        <v>162</v>
      </c>
      <c r="E109" s="91">
        <f>HLOOKUP($D$5,'9.1 Syndicats comptes 2021'!$E$3:$AF$167,103,0)</f>
        <v>0</v>
      </c>
    </row>
    <row r="110" spans="2:5" x14ac:dyDescent="0.25">
      <c r="C110">
        <v>440</v>
      </c>
      <c r="D110" t="s">
        <v>163</v>
      </c>
      <c r="E110" s="4">
        <f>HLOOKUP($D$5,'9.1 Syndicats comptes 2021'!$E$3:$AF$167,104,0)</f>
        <v>0</v>
      </c>
    </row>
    <row r="111" spans="2:5" x14ac:dyDescent="0.25">
      <c r="C111">
        <v>441</v>
      </c>
      <c r="D111" t="s">
        <v>164</v>
      </c>
      <c r="E111" s="4">
        <f>HLOOKUP($D$5,'9.1 Syndicats comptes 2021'!$E$3:$AF$167,105,0)</f>
        <v>0</v>
      </c>
    </row>
    <row r="112" spans="2:5" x14ac:dyDescent="0.25">
      <c r="C112">
        <v>442</v>
      </c>
      <c r="D112" t="s">
        <v>165</v>
      </c>
      <c r="E112" s="4">
        <f>HLOOKUP($D$5,'9.1 Syndicats comptes 2021'!$E$3:$AF$167,106,0)</f>
        <v>0</v>
      </c>
    </row>
    <row r="113" spans="2:5" x14ac:dyDescent="0.25">
      <c r="C113">
        <v>443</v>
      </c>
      <c r="D113" t="s">
        <v>166</v>
      </c>
      <c r="E113" s="4">
        <f>HLOOKUP($D$5,'9.1 Syndicats comptes 2021'!$E$3:$AF$167,107,0)</f>
        <v>0</v>
      </c>
    </row>
    <row r="114" spans="2:5" x14ac:dyDescent="0.25">
      <c r="C114">
        <v>444</v>
      </c>
      <c r="D114" t="s">
        <v>106</v>
      </c>
      <c r="E114" s="4">
        <f>HLOOKUP($D$5,'9.1 Syndicats comptes 2021'!$E$3:$AF$167,108,0)</f>
        <v>0</v>
      </c>
    </row>
    <row r="115" spans="2:5" x14ac:dyDescent="0.25">
      <c r="C115">
        <v>445</v>
      </c>
      <c r="D115" t="s">
        <v>167</v>
      </c>
      <c r="E115" s="4">
        <f>HLOOKUP($D$5,'9.1 Syndicats comptes 2021'!$E$3:$AF$167,109,0)</f>
        <v>0</v>
      </c>
    </row>
    <row r="116" spans="2:5" x14ac:dyDescent="0.25">
      <c r="C116">
        <v>446</v>
      </c>
      <c r="D116" t="s">
        <v>168</v>
      </c>
      <c r="E116" s="4">
        <f>HLOOKUP($D$5,'9.1 Syndicats comptes 2021'!$E$3:$AF$167,110,0)</f>
        <v>0</v>
      </c>
    </row>
    <row r="117" spans="2:5" x14ac:dyDescent="0.25">
      <c r="C117">
        <v>447</v>
      </c>
      <c r="D117" t="s">
        <v>169</v>
      </c>
      <c r="E117" s="4">
        <f>HLOOKUP($D$5,'9.1 Syndicats comptes 2021'!$E$3:$AF$167,111,0)</f>
        <v>0</v>
      </c>
    </row>
    <row r="118" spans="2:5" x14ac:dyDescent="0.25">
      <c r="C118">
        <v>448</v>
      </c>
      <c r="D118" t="s">
        <v>170</v>
      </c>
      <c r="E118" s="4">
        <f>HLOOKUP($D$5,'9.1 Syndicats comptes 2021'!$E$3:$AF$167,112,0)</f>
        <v>0</v>
      </c>
    </row>
    <row r="119" spans="2:5" x14ac:dyDescent="0.25">
      <c r="C119">
        <v>449</v>
      </c>
      <c r="D119" t="s">
        <v>171</v>
      </c>
      <c r="E119" s="4">
        <f>HLOOKUP($D$5,'9.1 Syndicats comptes 2021'!$E$3:$AF$167,113,0)</f>
        <v>0</v>
      </c>
    </row>
    <row r="120" spans="2:5" x14ac:dyDescent="0.25">
      <c r="E120" s="4"/>
    </row>
    <row r="121" spans="2:5" x14ac:dyDescent="0.25">
      <c r="B121" s="96">
        <v>45</v>
      </c>
      <c r="C121" s="96"/>
      <c r="D121" s="96" t="s">
        <v>174</v>
      </c>
      <c r="E121" s="91">
        <f>HLOOKUP($D$5,'9.1 Syndicats comptes 2021'!$E$3:$AF$167,115,0)</f>
        <v>0</v>
      </c>
    </row>
    <row r="122" spans="2:5" x14ac:dyDescent="0.25">
      <c r="C122">
        <v>450</v>
      </c>
      <c r="D122" t="s">
        <v>172</v>
      </c>
      <c r="E122" s="4">
        <f>HLOOKUP($D$5,'9.1 Syndicats comptes 2021'!$E$3:$AF$167,116,0)</f>
        <v>0</v>
      </c>
    </row>
    <row r="123" spans="2:5" x14ac:dyDescent="0.25">
      <c r="C123">
        <v>451</v>
      </c>
      <c r="D123" t="s">
        <v>173</v>
      </c>
      <c r="E123" s="4">
        <f>HLOOKUP($D$5,'9.1 Syndicats comptes 2021'!$E$3:$AF$167,117,0)</f>
        <v>0</v>
      </c>
    </row>
    <row r="124" spans="2:5" x14ac:dyDescent="0.25">
      <c r="E124" s="4"/>
    </row>
    <row r="125" spans="2:5" x14ac:dyDescent="0.25">
      <c r="B125" s="96">
        <v>46</v>
      </c>
      <c r="C125" s="96"/>
      <c r="D125" s="96" t="s">
        <v>175</v>
      </c>
      <c r="E125" s="91">
        <f>HLOOKUP($D$5,'9.1 Syndicats comptes 2021'!$E$3:$AF$167,119,0)</f>
        <v>24817.05</v>
      </c>
    </row>
    <row r="126" spans="2:5" x14ac:dyDescent="0.25">
      <c r="C126">
        <v>460</v>
      </c>
      <c r="D126" t="s">
        <v>176</v>
      </c>
      <c r="E126" s="4">
        <f>HLOOKUP($D$5,'9.1 Syndicats comptes 2021'!$E$3:$AF$167,120,0)</f>
        <v>0</v>
      </c>
    </row>
    <row r="127" spans="2:5" x14ac:dyDescent="0.25">
      <c r="C127">
        <v>461</v>
      </c>
      <c r="D127" t="s">
        <v>177</v>
      </c>
      <c r="E127" s="4">
        <f>HLOOKUP($D$5,'9.1 Syndicats comptes 2021'!$E$3:$AF$167,121,0)</f>
        <v>24817.05</v>
      </c>
    </row>
    <row r="128" spans="2:5" x14ac:dyDescent="0.25">
      <c r="C128">
        <v>462</v>
      </c>
      <c r="D128" t="s">
        <v>113</v>
      </c>
      <c r="E128" s="4">
        <f>HLOOKUP($D$5,'9.1 Syndicats comptes 2021'!$E$3:$AF$167,122,0)</f>
        <v>0</v>
      </c>
    </row>
    <row r="129" spans="2:5" x14ac:dyDescent="0.25">
      <c r="C129">
        <v>463</v>
      </c>
      <c r="D129" t="s">
        <v>178</v>
      </c>
      <c r="E129" s="4">
        <f>HLOOKUP($D$5,'9.1 Syndicats comptes 2021'!$E$3:$AF$167,123,0)</f>
        <v>0</v>
      </c>
    </row>
    <row r="130" spans="2:5" x14ac:dyDescent="0.25">
      <c r="C130">
        <v>469</v>
      </c>
      <c r="D130" t="s">
        <v>179</v>
      </c>
      <c r="E130" s="4">
        <f>HLOOKUP($D$5,'9.1 Syndicats comptes 2021'!$E$3:$AF$167,124,0)</f>
        <v>0</v>
      </c>
    </row>
    <row r="131" spans="2:5" x14ac:dyDescent="0.25">
      <c r="E131" s="4"/>
    </row>
    <row r="132" spans="2:5" x14ac:dyDescent="0.25">
      <c r="B132" s="96">
        <v>47</v>
      </c>
      <c r="C132" s="96"/>
      <c r="D132" s="96" t="s">
        <v>119</v>
      </c>
      <c r="E132" s="91">
        <f>HLOOKUP($D$5,'9.1 Syndicats comptes 2021'!$E$3:$AF$167,126,0)</f>
        <v>0</v>
      </c>
    </row>
    <row r="133" spans="2:5" x14ac:dyDescent="0.25">
      <c r="C133">
        <v>470</v>
      </c>
      <c r="D133" t="s">
        <v>180</v>
      </c>
      <c r="E133" s="4">
        <f>HLOOKUP($D$5,'9.1 Syndicats comptes 2021'!$E$3:$AF$167,127,0)</f>
        <v>0</v>
      </c>
    </row>
    <row r="134" spans="2:5" x14ac:dyDescent="0.25">
      <c r="E134" s="4"/>
    </row>
    <row r="135" spans="2:5" x14ac:dyDescent="0.25">
      <c r="B135" s="96">
        <v>48</v>
      </c>
      <c r="C135" s="96"/>
      <c r="D135" s="96" t="s">
        <v>181</v>
      </c>
      <c r="E135" s="91">
        <f>HLOOKUP($D$5,'9.1 Syndicats comptes 2021'!$E$3:$AF$167,129,0)</f>
        <v>0</v>
      </c>
    </row>
    <row r="136" spans="2:5" x14ac:dyDescent="0.25">
      <c r="C136">
        <v>481</v>
      </c>
      <c r="D136" t="s">
        <v>182</v>
      </c>
      <c r="E136" s="4">
        <f>HLOOKUP($D$5,'9.1 Syndicats comptes 2021'!$E$3:$AF$167,130,0)</f>
        <v>0</v>
      </c>
    </row>
    <row r="137" spans="2:5" x14ac:dyDescent="0.25">
      <c r="C137">
        <v>482</v>
      </c>
      <c r="D137" t="s">
        <v>183</v>
      </c>
      <c r="E137" s="4">
        <f>HLOOKUP($D$5,'9.1 Syndicats comptes 2021'!$E$3:$AF$167,131,0)</f>
        <v>0</v>
      </c>
    </row>
    <row r="138" spans="2:5" x14ac:dyDescent="0.25">
      <c r="C138">
        <v>483</v>
      </c>
      <c r="D138" t="s">
        <v>184</v>
      </c>
      <c r="E138" s="4">
        <f>HLOOKUP($D$5,'9.1 Syndicats comptes 2021'!$E$3:$AF$167,132,0)</f>
        <v>0</v>
      </c>
    </row>
    <row r="139" spans="2:5" x14ac:dyDescent="0.25">
      <c r="C139">
        <v>484</v>
      </c>
      <c r="D139" t="s">
        <v>185</v>
      </c>
      <c r="E139" s="4">
        <f>HLOOKUP($D$5,'9.1 Syndicats comptes 2021'!$E$3:$AF$167,133,0)</f>
        <v>0</v>
      </c>
    </row>
    <row r="140" spans="2:5" x14ac:dyDescent="0.25">
      <c r="C140">
        <v>485</v>
      </c>
      <c r="D140" t="s">
        <v>186</v>
      </c>
      <c r="E140" s="4">
        <f>HLOOKUP($D$5,'9.1 Syndicats comptes 2021'!$E$3:$AF$167,134,0)</f>
        <v>0</v>
      </c>
    </row>
    <row r="141" spans="2:5" x14ac:dyDescent="0.25">
      <c r="C141">
        <v>486</v>
      </c>
      <c r="D141" t="s">
        <v>187</v>
      </c>
      <c r="E141" s="4">
        <f>HLOOKUP($D$5,'9.1 Syndicats comptes 2021'!$E$3:$AF$167,135,0)</f>
        <v>0</v>
      </c>
    </row>
    <row r="142" spans="2:5" x14ac:dyDescent="0.25">
      <c r="C142">
        <v>489</v>
      </c>
      <c r="D142" t="s">
        <v>188</v>
      </c>
      <c r="E142" s="4">
        <f>HLOOKUP($D$5,'9.1 Syndicats comptes 2021'!$E$3:$AF$167,136,0)</f>
        <v>0</v>
      </c>
    </row>
    <row r="143" spans="2:5" x14ac:dyDescent="0.25">
      <c r="E143" s="4"/>
    </row>
    <row r="144" spans="2:5" x14ac:dyDescent="0.25">
      <c r="B144" s="96">
        <v>49</v>
      </c>
      <c r="C144" s="96"/>
      <c r="D144" s="96" t="s">
        <v>128</v>
      </c>
      <c r="E144" s="91">
        <f>HLOOKUP($D$5,'9.1 Syndicats comptes 2021'!$E$3:$AF$167,138,0)</f>
        <v>0</v>
      </c>
    </row>
    <row r="145" spans="1:5" x14ac:dyDescent="0.25">
      <c r="C145">
        <v>490</v>
      </c>
      <c r="D145" t="s">
        <v>129</v>
      </c>
      <c r="E145" s="4">
        <f>HLOOKUP($D$5,'9.1 Syndicats comptes 2021'!$E$3:$AF$167,139,0)</f>
        <v>0</v>
      </c>
    </row>
    <row r="146" spans="1:5" x14ac:dyDescent="0.25">
      <c r="C146">
        <v>491</v>
      </c>
      <c r="D146" t="s">
        <v>130</v>
      </c>
      <c r="E146" s="4">
        <f>HLOOKUP($D$5,'9.1 Syndicats comptes 2021'!$E$3:$AF$167,140,0)</f>
        <v>0</v>
      </c>
    </row>
    <row r="147" spans="1:5" x14ac:dyDescent="0.25">
      <c r="C147">
        <v>492</v>
      </c>
      <c r="D147" t="s">
        <v>189</v>
      </c>
      <c r="E147" s="4">
        <f>HLOOKUP($D$5,'9.1 Syndicats comptes 2021'!$E$3:$AF$167,141,0)</f>
        <v>0</v>
      </c>
    </row>
    <row r="148" spans="1:5" x14ac:dyDescent="0.25">
      <c r="C148">
        <v>493</v>
      </c>
      <c r="D148" t="s">
        <v>190</v>
      </c>
      <c r="E148" s="4">
        <f>HLOOKUP($D$5,'9.1 Syndicats comptes 2021'!$E$3:$AF$167,142,0)</f>
        <v>0</v>
      </c>
    </row>
    <row r="149" spans="1:5" x14ac:dyDescent="0.25">
      <c r="C149">
        <v>494</v>
      </c>
      <c r="D149" t="s">
        <v>133</v>
      </c>
      <c r="E149" s="4">
        <f>HLOOKUP($D$5,'9.1 Syndicats comptes 2021'!$E$3:$AF$167,143,0)</f>
        <v>0</v>
      </c>
    </row>
    <row r="150" spans="1:5" x14ac:dyDescent="0.25">
      <c r="C150">
        <v>495</v>
      </c>
      <c r="D150" t="s">
        <v>191</v>
      </c>
      <c r="E150" s="4">
        <f>HLOOKUP($D$5,'9.1 Syndicats comptes 2021'!$E$3:$AF$167,144,0)</f>
        <v>0</v>
      </c>
    </row>
    <row r="151" spans="1:5" x14ac:dyDescent="0.25">
      <c r="C151">
        <v>498</v>
      </c>
      <c r="D151" t="s">
        <v>192</v>
      </c>
      <c r="E151" s="4">
        <f>HLOOKUP($D$5,'9.1 Syndicats comptes 2021'!$E$3:$AF$167,145,0)</f>
        <v>0</v>
      </c>
    </row>
    <row r="152" spans="1:5" x14ac:dyDescent="0.25">
      <c r="C152">
        <v>499</v>
      </c>
      <c r="D152" t="s">
        <v>136</v>
      </c>
      <c r="E152" s="4">
        <f>HLOOKUP($D$5,'9.1 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HLOOKUP($D$5,'9.1 Syndicats comptes 2021'!$E$3:$AF$167,151,0)</f>
        <v>0</v>
      </c>
    </row>
    <row r="158" spans="1:5" x14ac:dyDescent="0.25">
      <c r="C158">
        <v>900</v>
      </c>
      <c r="D158" t="s">
        <v>196</v>
      </c>
      <c r="E158" s="4">
        <f>HLOOKUP($D$5,'9.1 Syndicats comptes 2021'!$E$3:$AF$167,152,0)</f>
        <v>0</v>
      </c>
    </row>
    <row r="159" spans="1:5" x14ac:dyDescent="0.25">
      <c r="C159">
        <v>901</v>
      </c>
      <c r="D159" t="s">
        <v>197</v>
      </c>
      <c r="E159" s="4">
        <f>HLOOKUP($D$5,'9.1 Syndicats comptes 2021'!$E$3:$AF$167,153,0)</f>
        <v>0</v>
      </c>
    </row>
    <row r="160" spans="1:5" x14ac:dyDescent="0.25">
      <c r="E160" s="4"/>
    </row>
    <row r="161" spans="4:5" x14ac:dyDescent="0.25">
      <c r="D161" s="7" t="s">
        <v>198</v>
      </c>
      <c r="E161" s="4">
        <f>HLOOKUP($D$5,'9.1 Syndicats comptes 2021'!$E$3:$AF$167,155,0)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'9.1 Syndicats comptes 2021'!AF153</f>
        <v>254779.16999999995</v>
      </c>
    </row>
    <row r="7" spans="1:3" x14ac:dyDescent="0.25">
      <c r="A7" s="52">
        <v>900</v>
      </c>
      <c r="B7" s="53" t="s">
        <v>219</v>
      </c>
      <c r="C7" s="56">
        <f>'9.1 Syndicats comptes 2021'!AF154</f>
        <v>171133.39999999997</v>
      </c>
    </row>
    <row r="8" spans="1:3" x14ac:dyDescent="0.25">
      <c r="A8" s="52">
        <v>901</v>
      </c>
      <c r="B8" s="53" t="s">
        <v>220</v>
      </c>
      <c r="C8" s="56">
        <f>'9.1 Syndicats comptes 2021'!AF155</f>
        <v>83645.76999999999</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C18" sqref="C18"/>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s="215" t="s">
        <v>828</v>
      </c>
    </row>
    <row r="5" spans="1:3" ht="15.75" thickBot="1" x14ac:dyDescent="0.3">
      <c r="B5" s="174" t="s">
        <v>811</v>
      </c>
    </row>
    <row r="8" spans="1:3" x14ac:dyDescent="0.25">
      <c r="A8" s="51" t="s">
        <v>216</v>
      </c>
      <c r="B8" s="51" t="s">
        <v>201</v>
      </c>
      <c r="C8" s="51" t="s">
        <v>840</v>
      </c>
    </row>
    <row r="9" spans="1:3" x14ac:dyDescent="0.25">
      <c r="A9" s="52">
        <v>90</v>
      </c>
      <c r="B9" s="53" t="s">
        <v>218</v>
      </c>
      <c r="C9" s="56">
        <f>HLOOKUP($B$5,'9.1 Syndicats comptes 2021'!$E$3:$AF$168,151,0)</f>
        <v>0</v>
      </c>
    </row>
    <row r="10" spans="1:3" x14ac:dyDescent="0.25">
      <c r="A10" s="52">
        <v>900</v>
      </c>
      <c r="B10" s="53" t="s">
        <v>219</v>
      </c>
      <c r="C10" s="56">
        <f>HLOOKUP($B$5,'9.1 Syndicats comptes 2021'!$E$3:$AF$168,152,0)</f>
        <v>0</v>
      </c>
    </row>
    <row r="11" spans="1:3" x14ac:dyDescent="0.25">
      <c r="A11" s="52">
        <v>901</v>
      </c>
      <c r="B11" s="53" t="s">
        <v>220</v>
      </c>
      <c r="C11" s="56">
        <f>HLOOKUP($B$5,'9.1 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'9.1 Syndicats comptes 2021'!AF5+'9.1 Syndicats comptes 2021'!AF15+'9.1 Syndicats comptes 2021'!AF27+'9.1 Syndicats comptes 2021'!AF39+'9.1 Syndicats comptes 2021'!AF43+'9.1 Syndicats comptes 2021'!AF53</f>
        <v>30217769.619999994</v>
      </c>
    </row>
    <row r="9" spans="1:3" x14ac:dyDescent="0.25">
      <c r="A9" s="52" t="s">
        <v>210</v>
      </c>
      <c r="B9" s="53" t="s">
        <v>204</v>
      </c>
      <c r="C9" s="56">
        <f>'9.1 Syndicats comptes 2021'!AF76+'9.1 Syndicats comptes 2021'!AF82+'9.1 Syndicats comptes 2021'!AF88+'9.1 Syndicats comptes 2021'!AF99+'9.1 Syndicats comptes 2021'!AF117+'9.1 Syndicats comptes 2021'!AF121+'9.1 Syndicats comptes 2021'!AF128</f>
        <v>31740413.02</v>
      </c>
    </row>
    <row r="10" spans="1:3" x14ac:dyDescent="0.25">
      <c r="A10" s="53"/>
      <c r="B10" s="55" t="s">
        <v>205</v>
      </c>
      <c r="C10" s="62">
        <f>C9-C8</f>
        <v>1522643.400000006</v>
      </c>
    </row>
    <row r="11" spans="1:3" x14ac:dyDescent="0.25">
      <c r="A11" s="53"/>
      <c r="B11" s="53"/>
      <c r="C11" s="53"/>
    </row>
    <row r="12" spans="1:3" x14ac:dyDescent="0.25">
      <c r="A12" s="53">
        <v>34</v>
      </c>
      <c r="B12" s="53" t="s">
        <v>101</v>
      </c>
      <c r="C12" s="56">
        <f>'9.1 Syndicats comptes 2021'!AF31</f>
        <v>791164.11999999988</v>
      </c>
    </row>
    <row r="13" spans="1:3" x14ac:dyDescent="0.25">
      <c r="A13" s="53">
        <v>44</v>
      </c>
      <c r="B13" s="53" t="s">
        <v>162</v>
      </c>
      <c r="C13" s="56">
        <f>'9.1 Syndicats comptes 2021'!AF105</f>
        <v>653944.5</v>
      </c>
    </row>
    <row r="14" spans="1:3" x14ac:dyDescent="0.25">
      <c r="A14" s="53"/>
      <c r="B14" s="55" t="s">
        <v>238</v>
      </c>
      <c r="C14" s="62">
        <f>C13-C12</f>
        <v>-137219.61999999988</v>
      </c>
    </row>
    <row r="15" spans="1:3" x14ac:dyDescent="0.25">
      <c r="A15" s="53"/>
      <c r="B15" s="53"/>
      <c r="C15" s="53"/>
    </row>
    <row r="16" spans="1:3" x14ac:dyDescent="0.25">
      <c r="A16" s="53"/>
      <c r="B16" s="55" t="s">
        <v>206</v>
      </c>
      <c r="C16" s="62">
        <f>C10+C14</f>
        <v>1385423.7800000061</v>
      </c>
    </row>
    <row r="17" spans="1:3" x14ac:dyDescent="0.25">
      <c r="A17" s="53"/>
      <c r="B17" s="53"/>
      <c r="C17" s="53"/>
    </row>
    <row r="18" spans="1:3" x14ac:dyDescent="0.25">
      <c r="A18" s="53">
        <v>38</v>
      </c>
      <c r="B18" s="53" t="s">
        <v>121</v>
      </c>
      <c r="C18" s="56">
        <f>'9.1 Syndicats comptes 2021'!AF56</f>
        <v>1134052.9100000001</v>
      </c>
    </row>
    <row r="19" spans="1:3" x14ac:dyDescent="0.25">
      <c r="A19" s="53">
        <v>48</v>
      </c>
      <c r="B19" s="53" t="s">
        <v>181</v>
      </c>
      <c r="C19" s="56">
        <f>'9.1 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254779.17000000598</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C4" sqref="C4"/>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828</v>
      </c>
    </row>
    <row r="5" spans="1:3" ht="15.75" thickBot="1" x14ac:dyDescent="0.3">
      <c r="B5" s="174" t="s">
        <v>811</v>
      </c>
    </row>
    <row r="7" spans="1:3" x14ac:dyDescent="0.25">
      <c r="A7" s="51" t="s">
        <v>200</v>
      </c>
      <c r="B7" s="51" t="s">
        <v>201</v>
      </c>
      <c r="C7" s="51" t="s">
        <v>202</v>
      </c>
    </row>
    <row r="8" spans="1:3" x14ac:dyDescent="0.25">
      <c r="A8" s="52" t="s">
        <v>209</v>
      </c>
      <c r="B8" s="53" t="s">
        <v>203</v>
      </c>
      <c r="C8" s="56">
        <f>HLOOKUP($B$5,'9.1 Syndicats comptes 2021'!$E$3:$AF$167,164,0)</f>
        <v>35267.050000000003</v>
      </c>
    </row>
    <row r="9" spans="1:3" x14ac:dyDescent="0.25">
      <c r="A9" s="52" t="s">
        <v>210</v>
      </c>
      <c r="B9" s="53" t="s">
        <v>204</v>
      </c>
      <c r="C9" s="56">
        <f>HLOOKUP($B$5,'9.1 Syndicats comptes 2021'!$E$3:$AF$167,165,0)</f>
        <v>35267.050000000003</v>
      </c>
    </row>
    <row r="10" spans="1:3" x14ac:dyDescent="0.25">
      <c r="A10" s="53"/>
      <c r="B10" s="55" t="s">
        <v>205</v>
      </c>
      <c r="C10" s="62">
        <f>C9-C8</f>
        <v>0</v>
      </c>
    </row>
    <row r="11" spans="1:3" x14ac:dyDescent="0.25">
      <c r="A11" s="53"/>
      <c r="B11" s="53"/>
      <c r="C11" s="53"/>
    </row>
    <row r="12" spans="1:3" x14ac:dyDescent="0.25">
      <c r="A12" s="53">
        <v>34</v>
      </c>
      <c r="B12" s="53" t="s">
        <v>101</v>
      </c>
      <c r="C12" s="56">
        <f>HLOOKUP($B$5,'9.1 Syndicats comptes 2021'!$E$3:$AF$167,29,0)</f>
        <v>0</v>
      </c>
    </row>
    <row r="13" spans="1:3" x14ac:dyDescent="0.25">
      <c r="A13" s="53">
        <v>44</v>
      </c>
      <c r="B13" s="53" t="s">
        <v>162</v>
      </c>
      <c r="C13" s="56">
        <f>HLOOKUP($B$5,'9.1 Syndicats comptes 2021'!$E$3:$AF$167,103,0)</f>
        <v>0</v>
      </c>
    </row>
    <row r="14" spans="1:3" x14ac:dyDescent="0.25">
      <c r="A14" s="53"/>
      <c r="B14" s="55" t="s">
        <v>238</v>
      </c>
      <c r="C14" s="62">
        <f>C13-C12</f>
        <v>0</v>
      </c>
    </row>
    <row r="15" spans="1:3" x14ac:dyDescent="0.25">
      <c r="A15" s="53"/>
      <c r="B15" s="53"/>
      <c r="C15" s="53"/>
    </row>
    <row r="16" spans="1:3" x14ac:dyDescent="0.25">
      <c r="A16" s="53"/>
      <c r="B16" s="55" t="s">
        <v>206</v>
      </c>
      <c r="C16" s="62">
        <f>C10+C14</f>
        <v>0</v>
      </c>
    </row>
    <row r="17" spans="1:3" x14ac:dyDescent="0.25">
      <c r="A17" s="53"/>
      <c r="B17" s="53"/>
      <c r="C17" s="53"/>
    </row>
    <row r="18" spans="1:3" x14ac:dyDescent="0.25">
      <c r="A18" s="53">
        <v>38</v>
      </c>
      <c r="B18" s="53" t="s">
        <v>121</v>
      </c>
      <c r="C18" s="56">
        <f>HLOOKUP($B$5,'9.1 Syndicats comptes 2021'!$E$3:$AF$167,54,0)</f>
        <v>0</v>
      </c>
    </row>
    <row r="19" spans="1:3" x14ac:dyDescent="0.25">
      <c r="A19" s="53">
        <v>48</v>
      </c>
      <c r="B19" s="53" t="s">
        <v>181</v>
      </c>
      <c r="C19" s="56">
        <f>HLOOKUP($B$5,'9.1 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0</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Q196" activePane="bottomRight" state="frozen"/>
      <selection pane="topRight" activeCell="F1" sqref="F1"/>
      <selection pane="bottomLeft" activeCell="A4" sqref="A4"/>
      <selection pane="bottomRight" activeCell="Q218" sqref="Q218"/>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81750.53</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0</v>
      </c>
      <c r="AD4" s="87">
        <f t="shared" si="0"/>
        <v>150475.90000000002</v>
      </c>
      <c r="AE4" s="87">
        <f t="shared" si="0"/>
        <v>8747101.1699999999</v>
      </c>
      <c r="AF4" s="87">
        <f t="shared" si="0"/>
        <v>755282.5</v>
      </c>
      <c r="AG4" s="87">
        <f t="shared" ref="AG4:AG12" si="1">SUM(F4:AF4)</f>
        <v>153492882.36000001</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40453.33</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0</v>
      </c>
      <c r="AD5" s="75">
        <f t="shared" si="2"/>
        <v>150475.90000000002</v>
      </c>
      <c r="AE5" s="75">
        <f t="shared" si="2"/>
        <v>590901.02</v>
      </c>
      <c r="AF5" s="75">
        <f t="shared" si="2"/>
        <v>751902.5</v>
      </c>
      <c r="AG5" s="75">
        <f t="shared" si="1"/>
        <v>33576352.059999987</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15636.279999999999</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0</v>
      </c>
      <c r="AD6" s="70">
        <f t="shared" si="3"/>
        <v>133658.34000000003</v>
      </c>
      <c r="AE6" s="70">
        <f t="shared" si="3"/>
        <v>516112.57</v>
      </c>
      <c r="AF6" s="70">
        <f t="shared" si="3"/>
        <v>530004.9</v>
      </c>
      <c r="AG6" s="70">
        <f t="shared" si="1"/>
        <v>19461544.199999996</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v>20</v>
      </c>
      <c r="R7" s="4">
        <v>0</v>
      </c>
      <c r="S7" s="4">
        <v>60.95</v>
      </c>
      <c r="T7" s="4">
        <v>0</v>
      </c>
      <c r="U7" s="4"/>
      <c r="V7" s="4">
        <v>47.85</v>
      </c>
      <c r="W7" s="4">
        <v>0</v>
      </c>
      <c r="X7" s="4">
        <v>38.1</v>
      </c>
      <c r="Y7" s="4">
        <v>0</v>
      </c>
      <c r="Z7" s="4">
        <v>7111.46</v>
      </c>
      <c r="AA7" s="4">
        <v>583.20000000000005</v>
      </c>
      <c r="AB7" s="4">
        <v>0</v>
      </c>
      <c r="AC7" s="4"/>
      <c r="AD7" s="4">
        <v>39.200000000000003</v>
      </c>
      <c r="AE7" s="4">
        <v>1590.75</v>
      </c>
      <c r="AF7" s="4">
        <v>105</v>
      </c>
      <c r="AG7" s="80">
        <f t="shared" si="1"/>
        <v>15382.610000000002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v>11452.55</v>
      </c>
      <c r="R8" s="4">
        <v>0</v>
      </c>
      <c r="S8" s="4">
        <v>32415.5</v>
      </c>
      <c r="T8" s="4">
        <v>0</v>
      </c>
      <c r="U8" s="4"/>
      <c r="V8" s="4">
        <v>0</v>
      </c>
      <c r="W8" s="4">
        <v>0</v>
      </c>
      <c r="X8" s="4">
        <v>0</v>
      </c>
      <c r="Y8" s="4">
        <v>266771.14</v>
      </c>
      <c r="Z8" s="4">
        <v>43700</v>
      </c>
      <c r="AA8" s="4">
        <v>0</v>
      </c>
      <c r="AB8" s="4">
        <v>0</v>
      </c>
      <c r="AC8" s="4"/>
      <c r="AD8" s="4">
        <v>0</v>
      </c>
      <c r="AE8" s="4">
        <v>124857.26</v>
      </c>
      <c r="AF8" s="4">
        <v>0</v>
      </c>
      <c r="AG8" s="80">
        <f t="shared" si="1"/>
        <v>1285390.58</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v>4163.7299999999996</v>
      </c>
      <c r="R9" s="4">
        <v>1716.24</v>
      </c>
      <c r="S9" s="4">
        <v>6813.1</v>
      </c>
      <c r="T9" s="4">
        <v>5669.75</v>
      </c>
      <c r="U9" s="4"/>
      <c r="V9" s="4">
        <v>156905.51</v>
      </c>
      <c r="W9" s="4">
        <v>0</v>
      </c>
      <c r="X9" s="4">
        <v>32419.25</v>
      </c>
      <c r="Y9" s="4">
        <v>1817897.6</v>
      </c>
      <c r="Z9" s="4">
        <v>1653731.41</v>
      </c>
      <c r="AA9" s="4">
        <v>235664.68</v>
      </c>
      <c r="AB9" s="4">
        <v>1637916.55</v>
      </c>
      <c r="AC9" s="4"/>
      <c r="AD9" s="4">
        <v>133619.14000000001</v>
      </c>
      <c r="AE9" s="4">
        <v>361378.46</v>
      </c>
      <c r="AF9" s="4">
        <v>529899.9</v>
      </c>
      <c r="AG9" s="80">
        <f t="shared" si="1"/>
        <v>15797710.65</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v>0</v>
      </c>
      <c r="R10" s="4">
        <v>0</v>
      </c>
      <c r="S10" s="4">
        <v>0</v>
      </c>
      <c r="T10" s="4">
        <v>0</v>
      </c>
      <c r="U10" s="4"/>
      <c r="V10" s="4">
        <v>0</v>
      </c>
      <c r="W10" s="4">
        <v>0</v>
      </c>
      <c r="X10" s="4">
        <v>0</v>
      </c>
      <c r="Y10" s="4">
        <v>0</v>
      </c>
      <c r="Z10" s="4">
        <v>0</v>
      </c>
      <c r="AA10" s="4">
        <v>0</v>
      </c>
      <c r="AB10" s="4">
        <v>0</v>
      </c>
      <c r="AC10" s="4"/>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c r="V11" s="4">
        <v>0</v>
      </c>
      <c r="W11" s="4">
        <v>0</v>
      </c>
      <c r="X11" s="4">
        <v>0</v>
      </c>
      <c r="Y11" s="4">
        <v>0</v>
      </c>
      <c r="Z11" s="4">
        <v>0</v>
      </c>
      <c r="AA11" s="4">
        <v>0</v>
      </c>
      <c r="AB11" s="4">
        <v>0</v>
      </c>
      <c r="AC11" s="4"/>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c r="V12" s="4">
        <v>0</v>
      </c>
      <c r="W12" s="4">
        <v>0</v>
      </c>
      <c r="X12" s="4">
        <v>0</v>
      </c>
      <c r="Y12" s="4">
        <v>0</v>
      </c>
      <c r="Z12" s="4">
        <v>0</v>
      </c>
      <c r="AA12" s="4">
        <v>0</v>
      </c>
      <c r="AB12" s="4">
        <v>0</v>
      </c>
      <c r="AC12" s="4"/>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24817.05</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3095164.08</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v>24817.05</v>
      </c>
      <c r="R15" s="4">
        <v>0</v>
      </c>
      <c r="S15" s="4">
        <v>4328</v>
      </c>
      <c r="T15" s="4">
        <v>0</v>
      </c>
      <c r="U15" s="4"/>
      <c r="V15" s="4">
        <v>98090.2</v>
      </c>
      <c r="W15" s="4">
        <v>0</v>
      </c>
      <c r="X15" s="4">
        <v>1373.1</v>
      </c>
      <c r="Y15" s="4">
        <v>204037.68</v>
      </c>
      <c r="Z15" s="4">
        <v>300882.89</v>
      </c>
      <c r="AA15" s="4">
        <v>0</v>
      </c>
      <c r="AB15" s="4">
        <v>45835.4</v>
      </c>
      <c r="AC15" s="4"/>
      <c r="AD15" s="4">
        <v>15149.86</v>
      </c>
      <c r="AE15" s="4">
        <v>43103.3</v>
      </c>
      <c r="AF15" s="4">
        <v>128571.95</v>
      </c>
      <c r="AG15" s="80">
        <f t="shared" si="5"/>
        <v>2647337.0699999998</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v>0</v>
      </c>
      <c r="R16" s="4">
        <v>4920.95</v>
      </c>
      <c r="S16" s="4">
        <v>0</v>
      </c>
      <c r="T16" s="4">
        <v>0</v>
      </c>
      <c r="U16" s="4"/>
      <c r="V16" s="4">
        <v>0</v>
      </c>
      <c r="W16" s="4">
        <v>16672.11</v>
      </c>
      <c r="X16" s="4">
        <v>0</v>
      </c>
      <c r="Y16" s="4">
        <v>0</v>
      </c>
      <c r="Z16" s="4">
        <v>0</v>
      </c>
      <c r="AA16" s="4">
        <v>0</v>
      </c>
      <c r="AB16" s="4">
        <v>0</v>
      </c>
      <c r="AC16" s="4"/>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v>0</v>
      </c>
      <c r="R17" s="4">
        <v>0</v>
      </c>
      <c r="S17" s="4">
        <v>0</v>
      </c>
      <c r="T17" s="4">
        <v>0</v>
      </c>
      <c r="U17" s="4"/>
      <c r="V17" s="4">
        <v>0</v>
      </c>
      <c r="W17" s="4">
        <v>0</v>
      </c>
      <c r="X17" s="4">
        <v>0</v>
      </c>
      <c r="Y17" s="4">
        <v>0</v>
      </c>
      <c r="Z17" s="4">
        <v>0</v>
      </c>
      <c r="AA17" s="4">
        <v>0</v>
      </c>
      <c r="AB17" s="4">
        <v>0</v>
      </c>
      <c r="AC17" s="4"/>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c r="V18" s="4">
        <v>0</v>
      </c>
      <c r="W18" s="4">
        <v>0</v>
      </c>
      <c r="X18" s="4">
        <v>0</v>
      </c>
      <c r="Y18" s="4">
        <v>0</v>
      </c>
      <c r="Z18" s="4">
        <v>296428.5</v>
      </c>
      <c r="AA18" s="4">
        <v>0</v>
      </c>
      <c r="AB18" s="4">
        <v>0</v>
      </c>
      <c r="AC18" s="4"/>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c r="V19" s="4">
        <v>0</v>
      </c>
      <c r="W19" s="4">
        <v>0</v>
      </c>
      <c r="X19" s="4">
        <v>0</v>
      </c>
      <c r="Y19" s="4">
        <v>0</v>
      </c>
      <c r="Z19" s="4">
        <v>0</v>
      </c>
      <c r="AA19" s="4">
        <v>0</v>
      </c>
      <c r="AB19" s="4">
        <v>0</v>
      </c>
      <c r="AC19" s="4"/>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v>0</v>
      </c>
      <c r="R20" s="4">
        <v>0</v>
      </c>
      <c r="S20" s="4">
        <v>0</v>
      </c>
      <c r="T20" s="4">
        <v>0</v>
      </c>
      <c r="U20" s="4"/>
      <c r="V20" s="4">
        <v>0</v>
      </c>
      <c r="W20" s="4">
        <v>0</v>
      </c>
      <c r="X20" s="4">
        <v>0</v>
      </c>
      <c r="Y20" s="4">
        <v>0</v>
      </c>
      <c r="Z20" s="4">
        <v>0</v>
      </c>
      <c r="AA20" s="4">
        <v>0</v>
      </c>
      <c r="AB20" s="4">
        <v>0</v>
      </c>
      <c r="AC20" s="4"/>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c r="V21" s="4">
        <v>0</v>
      </c>
      <c r="W21" s="4">
        <v>0</v>
      </c>
      <c r="X21" s="4">
        <v>0</v>
      </c>
      <c r="Y21" s="4">
        <v>0</v>
      </c>
      <c r="Z21" s="4">
        <v>0</v>
      </c>
      <c r="AA21" s="4">
        <v>0</v>
      </c>
      <c r="AB21" s="4">
        <v>0</v>
      </c>
      <c r="AC21" s="4"/>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v>0</v>
      </c>
      <c r="R22" s="4">
        <v>0</v>
      </c>
      <c r="S22" s="4">
        <v>0</v>
      </c>
      <c r="T22" s="4">
        <v>0</v>
      </c>
      <c r="U22" s="4"/>
      <c r="V22" s="4">
        <v>0</v>
      </c>
      <c r="W22" s="4">
        <v>0</v>
      </c>
      <c r="X22" s="4">
        <v>69.2</v>
      </c>
      <c r="Y22" s="4">
        <v>1629.7</v>
      </c>
      <c r="Z22" s="4">
        <v>-52997.5</v>
      </c>
      <c r="AA22" s="4">
        <v>-627.1</v>
      </c>
      <c r="AB22" s="4">
        <v>20454</v>
      </c>
      <c r="AC22" s="4"/>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c r="V25" s="4">
        <v>0</v>
      </c>
      <c r="W25" s="4">
        <v>0</v>
      </c>
      <c r="X25" s="4">
        <v>0</v>
      </c>
      <c r="Y25" s="4">
        <v>0</v>
      </c>
      <c r="Z25" s="4"/>
      <c r="AA25" s="4">
        <v>0</v>
      </c>
      <c r="AB25" s="4">
        <v>0</v>
      </c>
      <c r="AC25" s="4"/>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c r="V26" s="4">
        <v>0</v>
      </c>
      <c r="W26" s="4">
        <v>0</v>
      </c>
      <c r="X26" s="4">
        <v>0</v>
      </c>
      <c r="Y26" s="4">
        <v>0</v>
      </c>
      <c r="Z26" s="4"/>
      <c r="AA26" s="4">
        <v>0</v>
      </c>
      <c r="AB26" s="4">
        <v>0</v>
      </c>
      <c r="AC26" s="4"/>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c r="V27" s="4">
        <v>0</v>
      </c>
      <c r="W27" s="4">
        <v>0</v>
      </c>
      <c r="X27" s="4">
        <v>0</v>
      </c>
      <c r="Y27" s="4">
        <v>0</v>
      </c>
      <c r="Z27" s="4"/>
      <c r="AA27" s="4">
        <v>0</v>
      </c>
      <c r="AB27" s="4">
        <v>0</v>
      </c>
      <c r="AC27" s="4"/>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c r="V28" s="4">
        <v>0</v>
      </c>
      <c r="W28" s="4">
        <v>0</v>
      </c>
      <c r="X28" s="4">
        <v>0</v>
      </c>
      <c r="Y28" s="4">
        <v>0</v>
      </c>
      <c r="Z28" s="4"/>
      <c r="AA28" s="4">
        <v>0</v>
      </c>
      <c r="AB28" s="4">
        <v>0</v>
      </c>
      <c r="AC28" s="4"/>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0</v>
      </c>
      <c r="AD30" s="70">
        <f t="shared" si="7"/>
        <v>1667.7</v>
      </c>
      <c r="AE30" s="70">
        <f t="shared" si="7"/>
        <v>0</v>
      </c>
      <c r="AF30" s="70">
        <f t="shared" si="7"/>
        <v>93325.65</v>
      </c>
      <c r="AG30" s="70">
        <f t="shared" ref="AG30:AG38" si="8">SUM(F30:AF30)</f>
        <v>3223122.2199999997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v>0</v>
      </c>
      <c r="R31" s="4">
        <v>0</v>
      </c>
      <c r="S31" s="4">
        <v>0</v>
      </c>
      <c r="T31" s="4">
        <v>0</v>
      </c>
      <c r="U31" s="4"/>
      <c r="V31" s="4">
        <v>0</v>
      </c>
      <c r="W31" s="4">
        <v>0</v>
      </c>
      <c r="X31" s="4">
        <v>0</v>
      </c>
      <c r="Y31" s="4">
        <v>0</v>
      </c>
      <c r="Z31" s="4">
        <v>0</v>
      </c>
      <c r="AA31" s="4">
        <v>0</v>
      </c>
      <c r="AB31" s="4">
        <v>0</v>
      </c>
      <c r="AC31" s="4"/>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v>0</v>
      </c>
      <c r="R32" s="4">
        <v>0</v>
      </c>
      <c r="S32" s="4">
        <v>0</v>
      </c>
      <c r="T32" s="4">
        <v>0</v>
      </c>
      <c r="U32" s="4"/>
      <c r="V32" s="4">
        <v>0</v>
      </c>
      <c r="W32" s="4">
        <v>0</v>
      </c>
      <c r="X32" s="4">
        <v>0</v>
      </c>
      <c r="Y32" s="4">
        <v>4025.15</v>
      </c>
      <c r="Z32" s="4">
        <v>204085.01</v>
      </c>
      <c r="AA32" s="4">
        <v>100508.35</v>
      </c>
      <c r="AB32" s="4">
        <v>29789.25</v>
      </c>
      <c r="AC32" s="4"/>
      <c r="AD32" s="4">
        <v>1667.7</v>
      </c>
      <c r="AE32" s="4">
        <v>0</v>
      </c>
      <c r="AF32" s="4">
        <v>93325.65</v>
      </c>
      <c r="AG32" s="80">
        <f t="shared" si="8"/>
        <v>2345679.1100000003</v>
      </c>
      <c r="AH32">
        <v>30</v>
      </c>
    </row>
    <row r="33" spans="3:34" x14ac:dyDescent="0.25">
      <c r="D33">
        <v>1042</v>
      </c>
      <c r="E33" t="s">
        <v>331</v>
      </c>
      <c r="F33" s="4">
        <v>0</v>
      </c>
      <c r="G33" s="4">
        <v>0</v>
      </c>
      <c r="H33" s="4">
        <v>0</v>
      </c>
      <c r="I33" s="4">
        <v>0</v>
      </c>
      <c r="J33" s="4">
        <v>0</v>
      </c>
      <c r="K33" s="4">
        <v>0</v>
      </c>
      <c r="L33" s="4">
        <v>0</v>
      </c>
      <c r="M33" s="4">
        <v>0</v>
      </c>
      <c r="N33" s="4">
        <v>0</v>
      </c>
      <c r="O33" s="4">
        <v>0</v>
      </c>
      <c r="P33" s="4">
        <v>0</v>
      </c>
      <c r="Q33" s="4">
        <v>0</v>
      </c>
      <c r="R33" s="4">
        <v>0</v>
      </c>
      <c r="S33" s="4">
        <v>0</v>
      </c>
      <c r="T33" s="4">
        <v>0</v>
      </c>
      <c r="U33" s="4"/>
      <c r="V33" s="4">
        <v>0</v>
      </c>
      <c r="W33" s="4">
        <v>0</v>
      </c>
      <c r="X33" s="4">
        <v>0</v>
      </c>
      <c r="Y33" s="4">
        <v>0</v>
      </c>
      <c r="Z33" s="4">
        <v>0</v>
      </c>
      <c r="AA33" s="4">
        <v>0</v>
      </c>
      <c r="AB33" s="4">
        <v>0</v>
      </c>
      <c r="AC33" s="4"/>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v>0</v>
      </c>
      <c r="R34" s="4">
        <v>0</v>
      </c>
      <c r="S34" s="4">
        <v>0</v>
      </c>
      <c r="T34" s="4">
        <v>0</v>
      </c>
      <c r="U34" s="4"/>
      <c r="V34" s="4">
        <v>0</v>
      </c>
      <c r="W34" s="4">
        <v>0</v>
      </c>
      <c r="X34" s="4">
        <v>0</v>
      </c>
      <c r="Y34" s="4">
        <v>0</v>
      </c>
      <c r="Z34" s="4">
        <v>0</v>
      </c>
      <c r="AA34" s="4">
        <v>0</v>
      </c>
      <c r="AB34" s="4">
        <v>0</v>
      </c>
      <c r="AC34" s="4"/>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v>0</v>
      </c>
      <c r="R35" s="4">
        <v>0</v>
      </c>
      <c r="S35" s="4">
        <v>0</v>
      </c>
      <c r="T35" s="4">
        <v>0</v>
      </c>
      <c r="U35" s="4"/>
      <c r="V35" s="4">
        <v>0</v>
      </c>
      <c r="W35" s="4">
        <v>0</v>
      </c>
      <c r="X35" s="4">
        <v>0</v>
      </c>
      <c r="Y35" s="4">
        <v>0</v>
      </c>
      <c r="Z35" s="4">
        <v>0</v>
      </c>
      <c r="AA35" s="4">
        <v>0</v>
      </c>
      <c r="AB35" s="4">
        <v>0</v>
      </c>
      <c r="AC35" s="4"/>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c r="V36" s="4">
        <v>8600</v>
      </c>
      <c r="W36" s="4">
        <v>0</v>
      </c>
      <c r="X36" s="4">
        <v>0</v>
      </c>
      <c r="Y36" s="4">
        <v>0</v>
      </c>
      <c r="Z36" s="4">
        <v>0</v>
      </c>
      <c r="AA36" s="4">
        <v>0</v>
      </c>
      <c r="AB36" s="4">
        <v>0</v>
      </c>
      <c r="AC36" s="4"/>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v>0</v>
      </c>
      <c r="R37" s="4">
        <v>0</v>
      </c>
      <c r="S37" s="4">
        <v>0</v>
      </c>
      <c r="T37" s="4">
        <v>0</v>
      </c>
      <c r="U37" s="4"/>
      <c r="V37" s="4">
        <v>0</v>
      </c>
      <c r="W37" s="4">
        <v>0</v>
      </c>
      <c r="X37" s="4">
        <v>0</v>
      </c>
      <c r="Y37" s="4">
        <v>0</v>
      </c>
      <c r="Z37" s="4">
        <v>0</v>
      </c>
      <c r="AA37" s="4">
        <v>0</v>
      </c>
      <c r="AB37" s="4">
        <v>57520</v>
      </c>
      <c r="AC37" s="4"/>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v>0</v>
      </c>
      <c r="R38" s="4">
        <v>0</v>
      </c>
      <c r="S38" s="4">
        <v>0</v>
      </c>
      <c r="T38" s="4">
        <v>0</v>
      </c>
      <c r="U38" s="4"/>
      <c r="V38" s="4">
        <v>0</v>
      </c>
      <c r="W38" s="4">
        <v>0</v>
      </c>
      <c r="X38" s="4">
        <v>0</v>
      </c>
      <c r="Y38" s="4">
        <v>0</v>
      </c>
      <c r="Z38" s="4">
        <v>0</v>
      </c>
      <c r="AA38" s="4">
        <v>0</v>
      </c>
      <c r="AB38" s="4">
        <v>0</v>
      </c>
      <c r="AC38" s="4"/>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v>0</v>
      </c>
      <c r="R41" s="4">
        <v>0</v>
      </c>
      <c r="S41" s="4">
        <v>0</v>
      </c>
      <c r="T41" s="4">
        <v>0</v>
      </c>
      <c r="U41" s="4"/>
      <c r="V41" s="4">
        <v>0</v>
      </c>
      <c r="W41" s="4">
        <v>0</v>
      </c>
      <c r="X41" s="4">
        <v>0</v>
      </c>
      <c r="Y41" s="4">
        <v>0</v>
      </c>
      <c r="Z41" s="4">
        <v>0</v>
      </c>
      <c r="AA41" s="4">
        <v>0</v>
      </c>
      <c r="AB41" s="4">
        <v>0</v>
      </c>
      <c r="AC41" s="4"/>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v>0</v>
      </c>
      <c r="R42" s="4">
        <v>0</v>
      </c>
      <c r="S42" s="4">
        <v>0</v>
      </c>
      <c r="T42" s="4">
        <v>0</v>
      </c>
      <c r="U42" s="4"/>
      <c r="V42" s="4">
        <v>0</v>
      </c>
      <c r="W42" s="4">
        <v>0</v>
      </c>
      <c r="X42" s="4">
        <v>0</v>
      </c>
      <c r="Y42" s="4">
        <v>0</v>
      </c>
      <c r="Z42" s="4">
        <v>0</v>
      </c>
      <c r="AA42" s="4">
        <v>0</v>
      </c>
      <c r="AB42" s="4">
        <v>0</v>
      </c>
      <c r="AC42" s="4"/>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c r="V43" s="4">
        <v>0</v>
      </c>
      <c r="W43" s="4">
        <v>0</v>
      </c>
      <c r="X43" s="4">
        <v>0</v>
      </c>
      <c r="Y43" s="4">
        <v>0</v>
      </c>
      <c r="Z43" s="4">
        <v>0</v>
      </c>
      <c r="AA43" s="4">
        <v>0</v>
      </c>
      <c r="AB43" s="4">
        <v>0</v>
      </c>
      <c r="AC43" s="4"/>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v>0</v>
      </c>
      <c r="R44" s="4">
        <v>0</v>
      </c>
      <c r="S44" s="4">
        <v>0</v>
      </c>
      <c r="T44" s="4">
        <v>0</v>
      </c>
      <c r="U44" s="4"/>
      <c r="V44" s="4">
        <v>0</v>
      </c>
      <c r="W44" s="4">
        <v>0</v>
      </c>
      <c r="X44" s="4">
        <v>0</v>
      </c>
      <c r="Y44" s="4">
        <v>0</v>
      </c>
      <c r="Z44" s="4">
        <v>0</v>
      </c>
      <c r="AA44" s="4">
        <v>0</v>
      </c>
      <c r="AB44" s="4">
        <v>0</v>
      </c>
      <c r="AC44" s="4"/>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c r="V45" s="4">
        <v>0</v>
      </c>
      <c r="W45" s="4">
        <v>0</v>
      </c>
      <c r="X45" s="4">
        <v>0</v>
      </c>
      <c r="Y45" s="4">
        <v>0</v>
      </c>
      <c r="Z45" s="4">
        <v>0</v>
      </c>
      <c r="AA45" s="4">
        <v>0</v>
      </c>
      <c r="AB45" s="4">
        <v>0</v>
      </c>
      <c r="AC45" s="4"/>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v>0</v>
      </c>
      <c r="R48" s="4">
        <v>0</v>
      </c>
      <c r="S48" s="4">
        <v>0</v>
      </c>
      <c r="T48" s="4">
        <v>0</v>
      </c>
      <c r="U48" s="4"/>
      <c r="V48" s="4">
        <v>700</v>
      </c>
      <c r="W48" s="4">
        <v>0</v>
      </c>
      <c r="X48" s="4">
        <v>0</v>
      </c>
      <c r="Y48" s="4">
        <v>0</v>
      </c>
      <c r="Z48" s="4">
        <v>200</v>
      </c>
      <c r="AA48" s="4">
        <v>0</v>
      </c>
      <c r="AB48" s="4">
        <v>0</v>
      </c>
      <c r="AC48" s="4"/>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v>0</v>
      </c>
      <c r="R49" s="4">
        <v>0</v>
      </c>
      <c r="S49" s="4">
        <v>0</v>
      </c>
      <c r="T49" s="4">
        <v>0</v>
      </c>
      <c r="U49" s="4"/>
      <c r="V49" s="4">
        <v>0</v>
      </c>
      <c r="W49" s="4">
        <v>0</v>
      </c>
      <c r="X49" s="4">
        <v>0</v>
      </c>
      <c r="Y49" s="4">
        <v>564500</v>
      </c>
      <c r="Z49" s="4">
        <v>0</v>
      </c>
      <c r="AA49" s="4">
        <v>0</v>
      </c>
      <c r="AB49" s="4">
        <v>0</v>
      </c>
      <c r="AC49" s="4"/>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c r="V50" s="4">
        <v>0</v>
      </c>
      <c r="W50" s="4">
        <v>0</v>
      </c>
      <c r="X50" s="4">
        <v>0</v>
      </c>
      <c r="Y50" s="4">
        <v>0</v>
      </c>
      <c r="Z50" s="4">
        <v>0</v>
      </c>
      <c r="AA50" s="4">
        <v>0</v>
      </c>
      <c r="AB50" s="4">
        <v>0</v>
      </c>
      <c r="AC50" s="4"/>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c r="V51" s="4">
        <v>0</v>
      </c>
      <c r="W51" s="4">
        <v>0</v>
      </c>
      <c r="X51" s="4">
        <v>0</v>
      </c>
      <c r="Y51" s="4">
        <v>0</v>
      </c>
      <c r="Z51" s="4">
        <v>0</v>
      </c>
      <c r="AA51" s="4">
        <v>0</v>
      </c>
      <c r="AB51" s="4">
        <v>0</v>
      </c>
      <c r="AC51" s="4"/>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v>0</v>
      </c>
      <c r="R54" s="4">
        <v>0</v>
      </c>
      <c r="S54" s="4">
        <v>0</v>
      </c>
      <c r="T54" s="4">
        <v>0</v>
      </c>
      <c r="U54" s="4"/>
      <c r="V54" s="4">
        <v>0</v>
      </c>
      <c r="W54" s="4">
        <v>0</v>
      </c>
      <c r="X54" s="4">
        <v>0</v>
      </c>
      <c r="Y54" s="4">
        <v>0</v>
      </c>
      <c r="Z54" s="4">
        <v>257410</v>
      </c>
      <c r="AA54" s="4">
        <v>0</v>
      </c>
      <c r="AB54" s="4">
        <v>0</v>
      </c>
      <c r="AC54" s="4"/>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v>0</v>
      </c>
      <c r="R55" s="4">
        <v>0</v>
      </c>
      <c r="S55" s="4">
        <v>0</v>
      </c>
      <c r="T55" s="4">
        <v>0</v>
      </c>
      <c r="U55" s="4"/>
      <c r="V55" s="4">
        <v>0</v>
      </c>
      <c r="W55" s="4">
        <v>0</v>
      </c>
      <c r="X55" s="4">
        <v>0</v>
      </c>
      <c r="Y55" s="4">
        <v>0</v>
      </c>
      <c r="Z55" s="4">
        <v>0</v>
      </c>
      <c r="AA55" s="4">
        <v>0</v>
      </c>
      <c r="AB55" s="4">
        <v>0</v>
      </c>
      <c r="AC55" s="4"/>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c r="V56" s="4">
        <v>0</v>
      </c>
      <c r="W56" s="4">
        <v>0</v>
      </c>
      <c r="X56" s="4">
        <v>0</v>
      </c>
      <c r="Y56" s="4">
        <v>0</v>
      </c>
      <c r="Z56" s="4">
        <v>0</v>
      </c>
      <c r="AA56" s="4">
        <v>0</v>
      </c>
      <c r="AB56" s="4">
        <v>0</v>
      </c>
      <c r="AC56" s="4"/>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v>0</v>
      </c>
      <c r="R57" s="4">
        <v>0</v>
      </c>
      <c r="S57" s="4">
        <v>0</v>
      </c>
      <c r="T57" s="4">
        <v>0</v>
      </c>
      <c r="U57" s="4"/>
      <c r="V57" s="4">
        <v>0</v>
      </c>
      <c r="W57" s="4">
        <v>0</v>
      </c>
      <c r="X57" s="4">
        <v>0</v>
      </c>
      <c r="Y57" s="4">
        <v>0</v>
      </c>
      <c r="Z57" s="4">
        <v>0</v>
      </c>
      <c r="AA57" s="4">
        <v>0</v>
      </c>
      <c r="AB57" s="4">
        <v>0</v>
      </c>
      <c r="AC57" s="4"/>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c r="V58" s="4">
        <v>0</v>
      </c>
      <c r="W58" s="4">
        <v>0</v>
      </c>
      <c r="X58" s="4">
        <v>0</v>
      </c>
      <c r="Y58" s="4">
        <v>0</v>
      </c>
      <c r="Z58" s="4">
        <v>0</v>
      </c>
      <c r="AA58" s="4">
        <v>0</v>
      </c>
      <c r="AB58" s="4">
        <v>0</v>
      </c>
      <c r="AC58" s="4"/>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c r="V59" s="4">
        <v>0</v>
      </c>
      <c r="W59" s="4">
        <v>0</v>
      </c>
      <c r="X59" s="4">
        <v>0</v>
      </c>
      <c r="Y59" s="4">
        <v>0</v>
      </c>
      <c r="Z59" s="4">
        <v>0</v>
      </c>
      <c r="AA59" s="4">
        <v>0</v>
      </c>
      <c r="AB59" s="4">
        <v>0</v>
      </c>
      <c r="AC59" s="4"/>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c r="V62" s="4">
        <v>0</v>
      </c>
      <c r="W62" s="4">
        <v>0</v>
      </c>
      <c r="X62" s="4">
        <v>0</v>
      </c>
      <c r="Y62" s="4">
        <v>0</v>
      </c>
      <c r="Z62" s="4">
        <v>0</v>
      </c>
      <c r="AA62" s="4">
        <v>0</v>
      </c>
      <c r="AB62" s="4">
        <v>0</v>
      </c>
      <c r="AC62" s="4"/>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c r="V63" s="4">
        <v>0</v>
      </c>
      <c r="W63" s="4">
        <v>0</v>
      </c>
      <c r="X63" s="4">
        <v>0</v>
      </c>
      <c r="Y63" s="4">
        <v>0</v>
      </c>
      <c r="Z63" s="4">
        <v>0</v>
      </c>
      <c r="AA63" s="4">
        <v>0</v>
      </c>
      <c r="AB63" s="4">
        <v>0</v>
      </c>
      <c r="AC63" s="4"/>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c r="V64" s="4">
        <v>0</v>
      </c>
      <c r="W64" s="4">
        <v>0</v>
      </c>
      <c r="X64" s="4">
        <v>0</v>
      </c>
      <c r="Y64" s="4">
        <v>0</v>
      </c>
      <c r="Z64" s="4">
        <v>0</v>
      </c>
      <c r="AA64" s="4">
        <v>0</v>
      </c>
      <c r="AB64" s="4">
        <v>0</v>
      </c>
      <c r="AC64" s="4"/>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c r="V65" s="4">
        <v>0</v>
      </c>
      <c r="W65" s="4">
        <v>0</v>
      </c>
      <c r="X65" s="4">
        <v>0</v>
      </c>
      <c r="Y65" s="4">
        <v>0</v>
      </c>
      <c r="Z65" s="4">
        <v>0</v>
      </c>
      <c r="AA65" s="4">
        <v>0</v>
      </c>
      <c r="AB65" s="4">
        <v>0</v>
      </c>
      <c r="AC65" s="4"/>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41297.199999999997</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119916530.30000001</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41297.199999999997</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119440773.80000001</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v>0</v>
      </c>
      <c r="R69" s="4">
        <v>24800</v>
      </c>
      <c r="S69" s="4">
        <v>0</v>
      </c>
      <c r="T69" s="4">
        <v>0</v>
      </c>
      <c r="U69" s="4"/>
      <c r="V69" s="4">
        <v>2003477.5</v>
      </c>
      <c r="W69" s="4">
        <v>0</v>
      </c>
      <c r="X69" s="4">
        <v>0</v>
      </c>
      <c r="Y69" s="4">
        <v>16120</v>
      </c>
      <c r="Z69" s="4">
        <v>0</v>
      </c>
      <c r="AA69" s="4">
        <v>0</v>
      </c>
      <c r="AB69" s="4">
        <v>0</v>
      </c>
      <c r="AC69" s="4"/>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v>0</v>
      </c>
      <c r="R70" s="4">
        <v>0</v>
      </c>
      <c r="S70" s="4">
        <v>0</v>
      </c>
      <c r="T70" s="4">
        <v>0</v>
      </c>
      <c r="U70" s="4"/>
      <c r="V70" s="4">
        <v>0</v>
      </c>
      <c r="W70" s="4">
        <v>0</v>
      </c>
      <c r="X70" s="4">
        <v>0</v>
      </c>
      <c r="Y70" s="4">
        <v>0</v>
      </c>
      <c r="Z70" s="4">
        <v>0</v>
      </c>
      <c r="AA70" s="4">
        <v>0</v>
      </c>
      <c r="AB70" s="4">
        <v>0</v>
      </c>
      <c r="AC70" s="4"/>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v>0</v>
      </c>
      <c r="R71" s="4">
        <v>0</v>
      </c>
      <c r="S71" s="4">
        <v>0</v>
      </c>
      <c r="T71" s="4">
        <v>0</v>
      </c>
      <c r="U71" s="4"/>
      <c r="V71" s="4">
        <v>0</v>
      </c>
      <c r="W71" s="4">
        <v>0</v>
      </c>
      <c r="X71" s="4">
        <v>0</v>
      </c>
      <c r="Y71" s="4">
        <v>0</v>
      </c>
      <c r="Z71" s="4">
        <v>0</v>
      </c>
      <c r="AA71" s="4">
        <v>0</v>
      </c>
      <c r="AB71" s="4">
        <v>0</v>
      </c>
      <c r="AC71" s="4"/>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v>0</v>
      </c>
      <c r="R72" s="4">
        <v>0</v>
      </c>
      <c r="S72" s="4">
        <v>2200</v>
      </c>
      <c r="T72" s="4">
        <v>0</v>
      </c>
      <c r="U72" s="4"/>
      <c r="V72" s="4">
        <v>0</v>
      </c>
      <c r="W72" s="4">
        <v>0</v>
      </c>
      <c r="X72" s="4">
        <v>0</v>
      </c>
      <c r="Y72" s="4">
        <v>167480</v>
      </c>
      <c r="Z72" s="4">
        <v>1131065.97</v>
      </c>
      <c r="AA72" s="4">
        <v>1414816.5</v>
      </c>
      <c r="AB72" s="4">
        <v>162300</v>
      </c>
      <c r="AC72" s="4"/>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v>41297.199999999997</v>
      </c>
      <c r="R73" s="4">
        <v>0</v>
      </c>
      <c r="S73" s="4">
        <v>0</v>
      </c>
      <c r="T73" s="4">
        <v>0</v>
      </c>
      <c r="U73" s="4"/>
      <c r="V73" s="4">
        <v>0</v>
      </c>
      <c r="W73" s="4">
        <v>1388055.59</v>
      </c>
      <c r="X73" s="4">
        <v>0</v>
      </c>
      <c r="Y73" s="4">
        <v>1</v>
      </c>
      <c r="Z73" s="4">
        <v>20436895.98</v>
      </c>
      <c r="AA73" s="4">
        <v>6604.95</v>
      </c>
      <c r="AB73" s="4">
        <v>1162959.45</v>
      </c>
      <c r="AC73" s="4"/>
      <c r="AD73" s="4">
        <v>0</v>
      </c>
      <c r="AE73" s="4">
        <v>8080700</v>
      </c>
      <c r="AF73" s="4">
        <v>0</v>
      </c>
      <c r="AG73" s="80">
        <f t="shared" si="16"/>
        <v>44042892.360000007</v>
      </c>
      <c r="AH73">
        <v>71</v>
      </c>
    </row>
    <row r="74" spans="2:34" x14ac:dyDescent="0.25">
      <c r="D74">
        <v>1405</v>
      </c>
      <c r="E74" t="s">
        <v>362</v>
      </c>
      <c r="F74" s="4">
        <v>0</v>
      </c>
      <c r="G74" s="4">
        <v>0</v>
      </c>
      <c r="H74" s="4">
        <v>0</v>
      </c>
      <c r="I74" s="4">
        <v>0</v>
      </c>
      <c r="J74" s="4">
        <v>0</v>
      </c>
      <c r="K74" s="4">
        <v>0</v>
      </c>
      <c r="L74" s="4">
        <v>0</v>
      </c>
      <c r="M74" s="4">
        <v>0</v>
      </c>
      <c r="N74" s="4">
        <v>0</v>
      </c>
      <c r="O74" s="4">
        <v>0</v>
      </c>
      <c r="P74" s="4">
        <v>0</v>
      </c>
      <c r="Q74" s="4">
        <v>0</v>
      </c>
      <c r="R74" s="4">
        <v>0</v>
      </c>
      <c r="S74" s="4">
        <v>0</v>
      </c>
      <c r="T74" s="4">
        <v>0</v>
      </c>
      <c r="U74" s="4"/>
      <c r="V74" s="4">
        <v>1</v>
      </c>
      <c r="W74" s="4">
        <v>0</v>
      </c>
      <c r="X74" s="4">
        <v>0</v>
      </c>
      <c r="Y74" s="4">
        <v>0</v>
      </c>
      <c r="Z74" s="4">
        <v>0</v>
      </c>
      <c r="AA74" s="4">
        <v>0</v>
      </c>
      <c r="AB74" s="4">
        <v>0</v>
      </c>
      <c r="AC74" s="4"/>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v>0</v>
      </c>
      <c r="R75" s="4">
        <v>0</v>
      </c>
      <c r="S75" s="4">
        <v>0</v>
      </c>
      <c r="T75" s="4">
        <v>0</v>
      </c>
      <c r="U75" s="4"/>
      <c r="V75" s="4">
        <v>0</v>
      </c>
      <c r="W75" s="4">
        <v>0</v>
      </c>
      <c r="X75" s="4">
        <v>0</v>
      </c>
      <c r="Y75" s="4">
        <v>1</v>
      </c>
      <c r="Z75" s="4">
        <v>183187.7</v>
      </c>
      <c r="AA75" s="4">
        <v>100</v>
      </c>
      <c r="AB75" s="4">
        <v>28433.7</v>
      </c>
      <c r="AC75" s="4"/>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v>0</v>
      </c>
      <c r="R76" s="4">
        <v>0</v>
      </c>
      <c r="S76" s="4">
        <v>0</v>
      </c>
      <c r="T76" s="4">
        <v>0</v>
      </c>
      <c r="U76" s="4"/>
      <c r="V76" s="4">
        <v>0</v>
      </c>
      <c r="W76" s="4">
        <v>0</v>
      </c>
      <c r="X76" s="4">
        <v>0</v>
      </c>
      <c r="Y76" s="4">
        <v>0</v>
      </c>
      <c r="Z76" s="4">
        <v>0</v>
      </c>
      <c r="AA76" s="4">
        <v>0</v>
      </c>
      <c r="AB76" s="4">
        <v>165217.51999999999</v>
      </c>
      <c r="AC76" s="4"/>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c r="V77" s="4">
        <v>0</v>
      </c>
      <c r="W77" s="4">
        <v>0</v>
      </c>
      <c r="X77" s="4">
        <v>0</v>
      </c>
      <c r="Y77" s="4">
        <v>0</v>
      </c>
      <c r="Z77" s="4">
        <v>0</v>
      </c>
      <c r="AA77" s="4">
        <v>0</v>
      </c>
      <c r="AB77" s="4">
        <v>0</v>
      </c>
      <c r="AC77" s="4"/>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v>0</v>
      </c>
      <c r="R80" s="4">
        <v>0</v>
      </c>
      <c r="S80" s="4">
        <v>0</v>
      </c>
      <c r="T80" s="4">
        <v>0</v>
      </c>
      <c r="U80" s="4"/>
      <c r="V80" s="4">
        <v>0</v>
      </c>
      <c r="W80" s="4">
        <v>0</v>
      </c>
      <c r="X80" s="4">
        <v>0</v>
      </c>
      <c r="Y80" s="4">
        <v>0</v>
      </c>
      <c r="Z80" s="4">
        <v>0</v>
      </c>
      <c r="AA80" s="4">
        <v>0</v>
      </c>
      <c r="AB80" s="4">
        <v>0</v>
      </c>
      <c r="AC80" s="4"/>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c r="V81" s="4">
        <v>0</v>
      </c>
      <c r="W81" s="4">
        <v>0</v>
      </c>
      <c r="X81" s="4">
        <v>0</v>
      </c>
      <c r="Y81" s="4">
        <v>0</v>
      </c>
      <c r="Z81" s="4">
        <v>0</v>
      </c>
      <c r="AA81" s="4">
        <v>0</v>
      </c>
      <c r="AB81" s="4">
        <v>0</v>
      </c>
      <c r="AC81" s="4"/>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v>0</v>
      </c>
      <c r="R82" s="4">
        <v>0</v>
      </c>
      <c r="S82" s="4">
        <v>0</v>
      </c>
      <c r="T82" s="4">
        <v>0</v>
      </c>
      <c r="U82" s="4"/>
      <c r="V82" s="4">
        <v>0</v>
      </c>
      <c r="W82" s="4">
        <v>0</v>
      </c>
      <c r="X82" s="4">
        <v>0</v>
      </c>
      <c r="Y82" s="4">
        <v>0</v>
      </c>
      <c r="Z82" s="4">
        <v>0</v>
      </c>
      <c r="AA82" s="4">
        <v>0</v>
      </c>
      <c r="AB82" s="4">
        <v>0</v>
      </c>
      <c r="AC82" s="4"/>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v>0</v>
      </c>
      <c r="R83" s="4">
        <v>0</v>
      </c>
      <c r="S83" s="4">
        <v>0</v>
      </c>
      <c r="T83" s="4">
        <v>0</v>
      </c>
      <c r="U83" s="4"/>
      <c r="V83" s="4">
        <v>0</v>
      </c>
      <c r="W83" s="4">
        <v>0</v>
      </c>
      <c r="X83" s="4">
        <v>0</v>
      </c>
      <c r="Y83" s="4">
        <v>0</v>
      </c>
      <c r="Z83" s="4">
        <v>0</v>
      </c>
      <c r="AA83" s="4">
        <v>46880.6</v>
      </c>
      <c r="AB83" s="4">
        <v>0</v>
      </c>
      <c r="AC83" s="4"/>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c r="V86" s="4">
        <v>0</v>
      </c>
      <c r="W86" s="4">
        <v>0</v>
      </c>
      <c r="X86" s="4">
        <v>0</v>
      </c>
      <c r="Y86" s="4">
        <v>0</v>
      </c>
      <c r="Z86" s="4">
        <v>0</v>
      </c>
      <c r="AA86" s="4">
        <v>0</v>
      </c>
      <c r="AB86" s="4">
        <v>0</v>
      </c>
      <c r="AC86" s="4"/>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c r="V87" s="4">
        <v>0</v>
      </c>
      <c r="W87" s="4">
        <v>0</v>
      </c>
      <c r="X87" s="4">
        <v>0</v>
      </c>
      <c r="Y87" s="4">
        <v>0</v>
      </c>
      <c r="Z87" s="4">
        <v>0</v>
      </c>
      <c r="AA87" s="4">
        <v>0</v>
      </c>
      <c r="AB87" s="4">
        <v>0</v>
      </c>
      <c r="AC87" s="4"/>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v>0</v>
      </c>
      <c r="R88" s="4">
        <v>0</v>
      </c>
      <c r="S88" s="4">
        <v>0</v>
      </c>
      <c r="T88" s="4">
        <v>0</v>
      </c>
      <c r="U88" s="4"/>
      <c r="V88" s="4">
        <v>0</v>
      </c>
      <c r="W88" s="4">
        <v>0</v>
      </c>
      <c r="X88" s="4">
        <v>0</v>
      </c>
      <c r="Y88" s="4">
        <v>0</v>
      </c>
      <c r="Z88" s="4">
        <v>0</v>
      </c>
      <c r="AA88" s="4">
        <v>0</v>
      </c>
      <c r="AB88" s="4">
        <v>0</v>
      </c>
      <c r="AC88" s="4"/>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c r="V89" s="4">
        <v>0</v>
      </c>
      <c r="W89" s="4">
        <v>0</v>
      </c>
      <c r="X89" s="4">
        <v>0</v>
      </c>
      <c r="Y89" s="4">
        <v>0</v>
      </c>
      <c r="Z89" s="4">
        <v>0</v>
      </c>
      <c r="AA89" s="4">
        <v>0</v>
      </c>
      <c r="AB89" s="4">
        <v>0</v>
      </c>
      <c r="AC89" s="4"/>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c r="V90" s="4">
        <v>0</v>
      </c>
      <c r="W90" s="4">
        <v>0</v>
      </c>
      <c r="X90" s="4">
        <v>0</v>
      </c>
      <c r="Y90" s="4">
        <v>0</v>
      </c>
      <c r="Z90" s="4">
        <v>0</v>
      </c>
      <c r="AA90" s="4">
        <v>0</v>
      </c>
      <c r="AB90" s="4">
        <v>0</v>
      </c>
      <c r="AC90" s="4"/>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v>0</v>
      </c>
      <c r="R91" s="4">
        <v>0</v>
      </c>
      <c r="S91" s="4">
        <v>0</v>
      </c>
      <c r="T91" s="4">
        <v>0</v>
      </c>
      <c r="U91" s="4"/>
      <c r="V91" s="4">
        <v>0</v>
      </c>
      <c r="W91" s="4">
        <v>0</v>
      </c>
      <c r="X91" s="4">
        <v>0</v>
      </c>
      <c r="Y91" s="4">
        <v>0</v>
      </c>
      <c r="Z91" s="4">
        <v>0</v>
      </c>
      <c r="AA91" s="4">
        <v>0</v>
      </c>
      <c r="AB91" s="4">
        <v>0</v>
      </c>
      <c r="AC91" s="4"/>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v>0</v>
      </c>
      <c r="R92" s="4">
        <v>0</v>
      </c>
      <c r="S92" s="4">
        <v>0</v>
      </c>
      <c r="T92" s="4">
        <v>0</v>
      </c>
      <c r="U92" s="4"/>
      <c r="V92" s="4">
        <v>0</v>
      </c>
      <c r="W92" s="4">
        <v>0</v>
      </c>
      <c r="X92" s="4">
        <v>0</v>
      </c>
      <c r="Y92" s="4">
        <v>0</v>
      </c>
      <c r="Z92" s="4">
        <v>0</v>
      </c>
      <c r="AA92" s="4">
        <v>0</v>
      </c>
      <c r="AB92" s="4">
        <v>0</v>
      </c>
      <c r="AC92" s="4"/>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c r="V93" s="4">
        <v>0</v>
      </c>
      <c r="W93" s="4">
        <v>0</v>
      </c>
      <c r="X93" s="4">
        <v>0</v>
      </c>
      <c r="Y93" s="4">
        <v>0</v>
      </c>
      <c r="Z93" s="4">
        <v>0</v>
      </c>
      <c r="AA93" s="4">
        <v>0</v>
      </c>
      <c r="AB93" s="4">
        <v>0</v>
      </c>
      <c r="AC93" s="4"/>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c r="V94" s="4">
        <v>0</v>
      </c>
      <c r="W94" s="4">
        <v>0</v>
      </c>
      <c r="X94" s="4">
        <v>0</v>
      </c>
      <c r="Y94" s="4">
        <v>0</v>
      </c>
      <c r="Z94" s="4">
        <v>0</v>
      </c>
      <c r="AA94" s="4">
        <v>0</v>
      </c>
      <c r="AB94" s="4">
        <v>0</v>
      </c>
      <c r="AC94" s="4"/>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c r="V97" s="4">
        <v>0</v>
      </c>
      <c r="W97" s="4">
        <v>0</v>
      </c>
      <c r="X97" s="4">
        <v>0</v>
      </c>
      <c r="Y97" s="4">
        <v>0</v>
      </c>
      <c r="Z97" s="4">
        <v>0</v>
      </c>
      <c r="AA97" s="4">
        <v>0</v>
      </c>
      <c r="AB97" s="4">
        <v>0</v>
      </c>
      <c r="AC97" s="4"/>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c r="V98" s="4">
        <v>0</v>
      </c>
      <c r="W98" s="4">
        <v>0</v>
      </c>
      <c r="X98" s="4">
        <v>0</v>
      </c>
      <c r="Y98" s="4">
        <v>0</v>
      </c>
      <c r="Z98" s="4">
        <v>0</v>
      </c>
      <c r="AA98" s="4">
        <v>0</v>
      </c>
      <c r="AB98" s="4">
        <v>0</v>
      </c>
      <c r="AC98" s="4"/>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v>0</v>
      </c>
      <c r="R99" s="4">
        <v>0</v>
      </c>
      <c r="S99" s="4">
        <v>0</v>
      </c>
      <c r="T99" s="4">
        <v>0</v>
      </c>
      <c r="U99" s="4"/>
      <c r="V99" s="4">
        <v>0</v>
      </c>
      <c r="W99" s="4">
        <v>0</v>
      </c>
      <c r="X99" s="4">
        <v>0</v>
      </c>
      <c r="Y99" s="4">
        <v>0</v>
      </c>
      <c r="Z99" s="4">
        <v>0</v>
      </c>
      <c r="AA99" s="4">
        <v>0</v>
      </c>
      <c r="AB99" s="4">
        <v>0</v>
      </c>
      <c r="AC99" s="4"/>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c r="V100" s="4">
        <v>0</v>
      </c>
      <c r="W100" s="4">
        <v>0</v>
      </c>
      <c r="X100" s="4">
        <v>0</v>
      </c>
      <c r="Y100" s="4">
        <v>0</v>
      </c>
      <c r="Z100" s="4">
        <v>0</v>
      </c>
      <c r="AA100" s="4">
        <v>0</v>
      </c>
      <c r="AB100" s="4">
        <v>0</v>
      </c>
      <c r="AC100" s="4"/>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4">
        <v>0</v>
      </c>
      <c r="T101" s="4">
        <v>0</v>
      </c>
      <c r="U101" s="4"/>
      <c r="V101" s="4">
        <v>0</v>
      </c>
      <c r="W101" s="4">
        <v>0</v>
      </c>
      <c r="X101" s="4">
        <v>0</v>
      </c>
      <c r="Y101" s="4">
        <v>0</v>
      </c>
      <c r="Z101" s="4">
        <v>0</v>
      </c>
      <c r="AA101" s="4">
        <v>0</v>
      </c>
      <c r="AB101" s="4">
        <v>0</v>
      </c>
      <c r="AC101" s="4"/>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v>0</v>
      </c>
      <c r="R102" s="4">
        <v>0</v>
      </c>
      <c r="S102" s="4">
        <v>0</v>
      </c>
      <c r="T102" s="4">
        <v>0</v>
      </c>
      <c r="U102" s="4"/>
      <c r="V102" s="4">
        <v>0</v>
      </c>
      <c r="W102" s="4">
        <v>0</v>
      </c>
      <c r="X102" s="4">
        <v>0</v>
      </c>
      <c r="Y102" s="4">
        <v>0</v>
      </c>
      <c r="Z102" s="4">
        <v>2</v>
      </c>
      <c r="AA102" s="4">
        <v>0</v>
      </c>
      <c r="AB102" s="4">
        <v>0</v>
      </c>
      <c r="AC102" s="4"/>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c r="V103" s="4">
        <v>0</v>
      </c>
      <c r="W103" s="4">
        <v>0</v>
      </c>
      <c r="X103" s="4">
        <v>0</v>
      </c>
      <c r="Y103" s="4">
        <v>0</v>
      </c>
      <c r="Z103" s="4">
        <v>0</v>
      </c>
      <c r="AA103" s="4">
        <v>0</v>
      </c>
      <c r="AB103" s="4">
        <v>0</v>
      </c>
      <c r="AC103" s="4"/>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c r="V104" s="4">
        <v>0</v>
      </c>
      <c r="W104" s="4">
        <v>0</v>
      </c>
      <c r="X104" s="4">
        <v>0</v>
      </c>
      <c r="Y104" s="4">
        <v>0</v>
      </c>
      <c r="Z104" s="4">
        <v>0</v>
      </c>
      <c r="AA104" s="4">
        <v>0</v>
      </c>
      <c r="AB104" s="4">
        <v>0</v>
      </c>
      <c r="AC104" s="4"/>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c r="V105" s="4">
        <v>0</v>
      </c>
      <c r="W105" s="4">
        <v>0</v>
      </c>
      <c r="X105" s="4">
        <v>0</v>
      </c>
      <c r="Y105" s="4">
        <v>0</v>
      </c>
      <c r="Z105" s="4">
        <v>0</v>
      </c>
      <c r="AA105" s="4">
        <v>0</v>
      </c>
      <c r="AB105" s="4">
        <v>0</v>
      </c>
      <c r="AC105" s="4"/>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c r="V108" s="4">
        <v>0</v>
      </c>
      <c r="W108" s="4">
        <v>0</v>
      </c>
      <c r="X108" s="4">
        <v>0</v>
      </c>
      <c r="Y108" s="4">
        <v>0</v>
      </c>
      <c r="Z108" s="4">
        <v>0</v>
      </c>
      <c r="AA108" s="4">
        <v>0</v>
      </c>
      <c r="AB108" s="4">
        <v>0</v>
      </c>
      <c r="AC108" s="4"/>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c r="V109" s="4">
        <v>0</v>
      </c>
      <c r="W109" s="4">
        <v>0</v>
      </c>
      <c r="X109" s="4">
        <v>0</v>
      </c>
      <c r="Y109" s="4">
        <v>0</v>
      </c>
      <c r="Z109" s="4">
        <v>0</v>
      </c>
      <c r="AA109" s="4">
        <v>0</v>
      </c>
      <c r="AB109" s="4">
        <v>0</v>
      </c>
      <c r="AC109" s="4"/>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4">
        <v>0</v>
      </c>
      <c r="T110" s="4">
        <v>0</v>
      </c>
      <c r="U110" s="4"/>
      <c r="V110" s="4">
        <v>0</v>
      </c>
      <c r="W110" s="4">
        <v>0</v>
      </c>
      <c r="X110" s="4">
        <v>0</v>
      </c>
      <c r="Y110" s="4">
        <v>0</v>
      </c>
      <c r="Z110" s="4">
        <v>0</v>
      </c>
      <c r="AA110" s="4">
        <v>0</v>
      </c>
      <c r="AB110" s="4">
        <v>0</v>
      </c>
      <c r="AC110" s="4"/>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c r="V111" s="4">
        <v>0</v>
      </c>
      <c r="W111" s="4">
        <v>0</v>
      </c>
      <c r="X111" s="4">
        <v>0</v>
      </c>
      <c r="Y111" s="4">
        <v>0</v>
      </c>
      <c r="Z111" s="4">
        <v>0</v>
      </c>
      <c r="AA111" s="4">
        <v>0</v>
      </c>
      <c r="AB111" s="4">
        <v>0</v>
      </c>
      <c r="AC111" s="4"/>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c r="V112" s="4">
        <v>0</v>
      </c>
      <c r="W112" s="4">
        <v>0</v>
      </c>
      <c r="X112" s="4">
        <v>0</v>
      </c>
      <c r="Y112" s="4">
        <v>0</v>
      </c>
      <c r="Z112" s="4">
        <v>0</v>
      </c>
      <c r="AA112" s="4">
        <v>0</v>
      </c>
      <c r="AB112" s="4">
        <v>0</v>
      </c>
      <c r="AC112" s="4"/>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4">
        <v>0</v>
      </c>
      <c r="T113" s="4">
        <v>0</v>
      </c>
      <c r="U113" s="4"/>
      <c r="V113" s="4">
        <v>0</v>
      </c>
      <c r="W113" s="4">
        <v>0</v>
      </c>
      <c r="X113" s="4">
        <v>0</v>
      </c>
      <c r="Y113" s="4">
        <v>0</v>
      </c>
      <c r="Z113" s="4">
        <v>0</v>
      </c>
      <c r="AA113" s="4">
        <v>0</v>
      </c>
      <c r="AB113" s="4">
        <v>0</v>
      </c>
      <c r="AC113" s="4"/>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4">
        <v>0</v>
      </c>
      <c r="T114" s="4">
        <v>0</v>
      </c>
      <c r="U114" s="4"/>
      <c r="V114" s="4">
        <v>0</v>
      </c>
      <c r="W114" s="4">
        <v>0</v>
      </c>
      <c r="X114" s="4">
        <v>0</v>
      </c>
      <c r="Y114" s="4">
        <v>0</v>
      </c>
      <c r="Z114" s="4">
        <v>0</v>
      </c>
      <c r="AA114" s="4">
        <v>0</v>
      </c>
      <c r="AB114" s="4">
        <v>0</v>
      </c>
      <c r="AC114" s="4"/>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c r="V115" s="4">
        <v>0</v>
      </c>
      <c r="W115" s="4">
        <v>0</v>
      </c>
      <c r="X115" s="4">
        <v>0</v>
      </c>
      <c r="Y115" s="4">
        <v>0</v>
      </c>
      <c r="Z115" s="4">
        <v>0</v>
      </c>
      <c r="AA115" s="4">
        <v>0</v>
      </c>
      <c r="AB115" s="4">
        <v>0</v>
      </c>
      <c r="AC115" s="4"/>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c r="V116" s="4">
        <v>0</v>
      </c>
      <c r="W116" s="4">
        <v>0</v>
      </c>
      <c r="X116" s="4">
        <v>0</v>
      </c>
      <c r="Y116" s="4">
        <v>0</v>
      </c>
      <c r="Z116" s="4">
        <v>0</v>
      </c>
      <c r="AA116" s="4">
        <v>0</v>
      </c>
      <c r="AB116" s="4">
        <v>0</v>
      </c>
      <c r="AC116" s="4"/>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c r="V117" s="4">
        <v>0</v>
      </c>
      <c r="W117" s="4">
        <v>0</v>
      </c>
      <c r="X117" s="4">
        <v>0</v>
      </c>
      <c r="Y117" s="4">
        <v>0</v>
      </c>
      <c r="Z117" s="4">
        <v>0</v>
      </c>
      <c r="AA117" s="4">
        <v>0</v>
      </c>
      <c r="AB117" s="4">
        <v>0</v>
      </c>
      <c r="AC117" s="4"/>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81750.53</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0</v>
      </c>
      <c r="AD120" s="88">
        <f t="shared" si="26"/>
        <v>150475.9</v>
      </c>
      <c r="AE120" s="88">
        <f t="shared" si="26"/>
        <v>8747101.1699999999</v>
      </c>
      <c r="AF120" s="88">
        <f t="shared" si="26"/>
        <v>755282.5</v>
      </c>
      <c r="AG120" s="82">
        <f t="shared" ref="AG120:AG130" si="27">SUM(F120:AF120)</f>
        <v>153492882.36000001</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112.5</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52576870.600000001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112.5</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5358805.6000000015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v>112.5</v>
      </c>
      <c r="R123" s="4">
        <v>0</v>
      </c>
      <c r="S123" s="4">
        <v>0</v>
      </c>
      <c r="T123" s="4">
        <v>0</v>
      </c>
      <c r="U123" s="4"/>
      <c r="V123" s="4">
        <v>15810.74</v>
      </c>
      <c r="W123" s="4">
        <v>0</v>
      </c>
      <c r="X123" s="4">
        <v>7234.75</v>
      </c>
      <c r="Y123" s="72">
        <v>53322.8</v>
      </c>
      <c r="Z123" s="4">
        <v>1121247.54</v>
      </c>
      <c r="AA123" s="4">
        <v>0</v>
      </c>
      <c r="AB123" s="4">
        <v>118497.67</v>
      </c>
      <c r="AC123" s="4"/>
      <c r="AD123" s="4">
        <v>0</v>
      </c>
      <c r="AE123" s="4">
        <v>168397.24</v>
      </c>
      <c r="AF123" s="4">
        <v>0</v>
      </c>
      <c r="AG123" s="80">
        <f t="shared" si="27"/>
        <v>4225818.67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v>0</v>
      </c>
      <c r="R124" s="4">
        <v>0</v>
      </c>
      <c r="S124" s="4">
        <v>0</v>
      </c>
      <c r="T124" s="4">
        <v>0</v>
      </c>
      <c r="U124" s="4"/>
      <c r="V124" s="4">
        <v>0</v>
      </c>
      <c r="W124" s="4">
        <v>0</v>
      </c>
      <c r="X124" s="4">
        <v>0</v>
      </c>
      <c r="Y124" s="4">
        <v>0</v>
      </c>
      <c r="Z124" s="4">
        <v>39037.15</v>
      </c>
      <c r="AA124" s="4">
        <v>0</v>
      </c>
      <c r="AB124" s="4">
        <v>0</v>
      </c>
      <c r="AC124" s="4"/>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v>0</v>
      </c>
      <c r="R125" s="4">
        <v>0</v>
      </c>
      <c r="S125" s="4">
        <v>0</v>
      </c>
      <c r="T125" s="4">
        <v>0</v>
      </c>
      <c r="U125" s="4"/>
      <c r="V125" s="4">
        <v>0</v>
      </c>
      <c r="W125" s="4">
        <v>0</v>
      </c>
      <c r="X125" s="4">
        <v>0</v>
      </c>
      <c r="Y125" s="4">
        <v>-1480.61</v>
      </c>
      <c r="Z125" s="4">
        <v>0</v>
      </c>
      <c r="AA125" s="4">
        <v>0</v>
      </c>
      <c r="AB125" s="4">
        <v>0</v>
      </c>
      <c r="AC125" s="4"/>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v>0</v>
      </c>
      <c r="R126" s="4">
        <v>0</v>
      </c>
      <c r="S126" s="4">
        <v>0</v>
      </c>
      <c r="T126" s="4">
        <v>0</v>
      </c>
      <c r="U126" s="4"/>
      <c r="V126" s="4">
        <v>0</v>
      </c>
      <c r="W126" s="4">
        <v>0</v>
      </c>
      <c r="X126" s="4">
        <v>0</v>
      </c>
      <c r="Y126" s="4">
        <v>0</v>
      </c>
      <c r="Z126" s="4">
        <v>0</v>
      </c>
      <c r="AA126" s="4">
        <v>0</v>
      </c>
      <c r="AB126" s="4">
        <v>0</v>
      </c>
      <c r="AC126" s="4"/>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v>0</v>
      </c>
      <c r="R127" s="4">
        <v>0</v>
      </c>
      <c r="S127" s="4">
        <v>0</v>
      </c>
      <c r="T127" s="4">
        <v>0</v>
      </c>
      <c r="U127" s="4"/>
      <c r="V127" s="4">
        <v>0</v>
      </c>
      <c r="W127" s="4">
        <v>0</v>
      </c>
      <c r="X127" s="4">
        <v>0</v>
      </c>
      <c r="Y127" s="4">
        <v>0</v>
      </c>
      <c r="Z127" s="4">
        <v>0</v>
      </c>
      <c r="AA127" s="4">
        <v>0</v>
      </c>
      <c r="AB127" s="4">
        <v>0</v>
      </c>
      <c r="AC127" s="4"/>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v>0</v>
      </c>
      <c r="R128" s="4">
        <v>0</v>
      </c>
      <c r="S128" s="4">
        <v>0</v>
      </c>
      <c r="T128" s="4">
        <v>0</v>
      </c>
      <c r="U128" s="4"/>
      <c r="V128" s="4">
        <v>0</v>
      </c>
      <c r="W128" s="4">
        <v>0</v>
      </c>
      <c r="X128" s="4">
        <v>0</v>
      </c>
      <c r="Y128" s="4">
        <v>0</v>
      </c>
      <c r="Z128" s="4">
        <v>0</v>
      </c>
      <c r="AA128" s="4">
        <v>0</v>
      </c>
      <c r="AB128" s="4">
        <v>0</v>
      </c>
      <c r="AC128" s="4"/>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v>0</v>
      </c>
      <c r="R129" s="4">
        <v>0</v>
      </c>
      <c r="S129" s="4">
        <v>0</v>
      </c>
      <c r="T129" s="4">
        <v>0</v>
      </c>
      <c r="U129" s="4"/>
      <c r="V129" s="4">
        <v>0</v>
      </c>
      <c r="W129" s="4">
        <v>0</v>
      </c>
      <c r="X129" s="4">
        <v>0</v>
      </c>
      <c r="Y129" s="4">
        <v>0</v>
      </c>
      <c r="Z129" s="4">
        <v>0</v>
      </c>
      <c r="AA129" s="4">
        <v>0</v>
      </c>
      <c r="AB129" s="4">
        <v>0</v>
      </c>
      <c r="AC129" s="4"/>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4">
        <v>0</v>
      </c>
      <c r="T130" s="4">
        <v>0</v>
      </c>
      <c r="U130" s="4"/>
      <c r="V130" s="4">
        <v>0</v>
      </c>
      <c r="W130" s="4">
        <v>0</v>
      </c>
      <c r="X130" s="4">
        <v>0</v>
      </c>
      <c r="Y130" s="4">
        <v>0</v>
      </c>
      <c r="Z130" s="4">
        <v>0</v>
      </c>
      <c r="AA130" s="4">
        <v>0</v>
      </c>
      <c r="AB130" s="4">
        <v>0</v>
      </c>
      <c r="AC130" s="4"/>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v>0</v>
      </c>
      <c r="R133" s="4">
        <v>0</v>
      </c>
      <c r="S133" s="4">
        <v>0</v>
      </c>
      <c r="T133" s="4">
        <v>0</v>
      </c>
      <c r="U133" s="4"/>
      <c r="V133" s="4">
        <v>0</v>
      </c>
      <c r="W133" s="4">
        <v>889527.95</v>
      </c>
      <c r="X133" s="4">
        <v>0</v>
      </c>
      <c r="Y133" s="4">
        <v>0</v>
      </c>
      <c r="Z133" s="4">
        <v>8113844.4199999999</v>
      </c>
      <c r="AA133" s="4">
        <v>0</v>
      </c>
      <c r="AB133" s="4">
        <v>0</v>
      </c>
      <c r="AC133" s="4"/>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4">
        <v>0</v>
      </c>
      <c r="T134" s="4">
        <v>0</v>
      </c>
      <c r="U134" s="4"/>
      <c r="V134" s="4">
        <v>0</v>
      </c>
      <c r="W134" s="4">
        <v>0</v>
      </c>
      <c r="X134" s="4">
        <v>0</v>
      </c>
      <c r="Y134" s="4">
        <v>0</v>
      </c>
      <c r="Z134" s="4">
        <v>0</v>
      </c>
      <c r="AA134" s="4">
        <v>0</v>
      </c>
      <c r="AB134" s="4">
        <v>0</v>
      </c>
      <c r="AC134" s="4"/>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c r="V135" s="4">
        <v>0</v>
      </c>
      <c r="W135" s="4">
        <v>0</v>
      </c>
      <c r="X135" s="4">
        <v>0</v>
      </c>
      <c r="Y135" s="4">
        <v>0</v>
      </c>
      <c r="Z135" s="4">
        <v>0</v>
      </c>
      <c r="AA135" s="4">
        <v>0</v>
      </c>
      <c r="AB135" s="4">
        <v>0</v>
      </c>
      <c r="AC135" s="4"/>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c r="V136" s="4">
        <v>0</v>
      </c>
      <c r="W136" s="4">
        <v>0</v>
      </c>
      <c r="X136" s="4">
        <v>0</v>
      </c>
      <c r="Y136" s="4">
        <v>0</v>
      </c>
      <c r="Z136" s="4">
        <v>0</v>
      </c>
      <c r="AA136" s="4">
        <v>0</v>
      </c>
      <c r="AB136" s="4">
        <v>0</v>
      </c>
      <c r="AC136" s="4"/>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v>0</v>
      </c>
      <c r="R137" s="4">
        <v>0</v>
      </c>
      <c r="S137" s="4">
        <v>0</v>
      </c>
      <c r="T137" s="4">
        <v>0</v>
      </c>
      <c r="U137" s="4"/>
      <c r="V137" s="4">
        <v>0</v>
      </c>
      <c r="W137" s="4">
        <v>0</v>
      </c>
      <c r="X137" s="4">
        <v>0</v>
      </c>
      <c r="Y137" s="4">
        <v>105040</v>
      </c>
      <c r="Z137" s="4">
        <v>0</v>
      </c>
      <c r="AA137" s="4">
        <v>0</v>
      </c>
      <c r="AB137" s="4">
        <v>132500</v>
      </c>
      <c r="AC137" s="4"/>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c r="V138" s="4">
        <v>0</v>
      </c>
      <c r="W138" s="4">
        <v>0</v>
      </c>
      <c r="X138" s="4">
        <v>0</v>
      </c>
      <c r="Y138" s="4">
        <v>0</v>
      </c>
      <c r="Z138" s="4">
        <v>0</v>
      </c>
      <c r="AA138" s="4">
        <v>0</v>
      </c>
      <c r="AB138" s="4">
        <v>0</v>
      </c>
      <c r="AC138" s="4"/>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c r="V139" s="4">
        <v>0</v>
      </c>
      <c r="W139" s="4">
        <v>0</v>
      </c>
      <c r="X139" s="4">
        <v>0</v>
      </c>
      <c r="Y139" s="4">
        <v>0</v>
      </c>
      <c r="Z139" s="4">
        <v>0</v>
      </c>
      <c r="AA139" s="4">
        <v>0</v>
      </c>
      <c r="AB139" s="4">
        <v>0</v>
      </c>
      <c r="AC139" s="4"/>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c r="V140" s="4">
        <v>0</v>
      </c>
      <c r="W140" s="4">
        <v>0</v>
      </c>
      <c r="X140" s="4">
        <v>0</v>
      </c>
      <c r="Y140" s="4">
        <v>0</v>
      </c>
      <c r="Z140" s="4">
        <v>0</v>
      </c>
      <c r="AA140" s="4">
        <v>0</v>
      </c>
      <c r="AB140" s="4">
        <v>0</v>
      </c>
      <c r="AC140" s="4"/>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v>0</v>
      </c>
      <c r="R143" s="4">
        <v>0</v>
      </c>
      <c r="S143" s="4">
        <v>-527.45000000000005</v>
      </c>
      <c r="T143" s="4">
        <v>0</v>
      </c>
      <c r="U143" s="4"/>
      <c r="V143" s="4">
        <v>0</v>
      </c>
      <c r="W143" s="4">
        <v>0</v>
      </c>
      <c r="X143" s="4">
        <v>0</v>
      </c>
      <c r="Y143" s="4">
        <v>0</v>
      </c>
      <c r="Z143" s="4">
        <v>0</v>
      </c>
      <c r="AA143" s="4">
        <v>0</v>
      </c>
      <c r="AB143" s="4">
        <v>2000</v>
      </c>
      <c r="AC143" s="4"/>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v>0</v>
      </c>
      <c r="R144" s="4">
        <v>4066.6</v>
      </c>
      <c r="S144" s="4">
        <v>0</v>
      </c>
      <c r="T144" s="4">
        <v>0</v>
      </c>
      <c r="U144" s="4"/>
      <c r="V144" s="4">
        <v>0</v>
      </c>
      <c r="W144" s="4">
        <v>0</v>
      </c>
      <c r="X144" s="4">
        <v>0</v>
      </c>
      <c r="Y144" s="4">
        <v>23473.23</v>
      </c>
      <c r="Z144" s="4">
        <v>72721.25</v>
      </c>
      <c r="AA144" s="4">
        <v>13624.8</v>
      </c>
      <c r="AB144" s="4">
        <v>28796.05</v>
      </c>
      <c r="AC144" s="4"/>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v>0</v>
      </c>
      <c r="R145" s="4">
        <v>0</v>
      </c>
      <c r="S145" s="4">
        <v>0</v>
      </c>
      <c r="T145" s="4">
        <v>0</v>
      </c>
      <c r="U145" s="4"/>
      <c r="V145" s="4">
        <v>0</v>
      </c>
      <c r="W145" s="4">
        <v>0</v>
      </c>
      <c r="X145" s="4">
        <v>0</v>
      </c>
      <c r="Y145" s="4">
        <v>0</v>
      </c>
      <c r="Z145" s="4">
        <v>0</v>
      </c>
      <c r="AA145" s="4">
        <v>0</v>
      </c>
      <c r="AB145" s="4">
        <v>0</v>
      </c>
      <c r="AC145" s="4"/>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4">
        <v>0</v>
      </c>
      <c r="T146" s="4">
        <v>0</v>
      </c>
      <c r="U146" s="4"/>
      <c r="V146" s="4">
        <v>0</v>
      </c>
      <c r="W146" s="4">
        <v>0</v>
      </c>
      <c r="X146" s="4">
        <v>0</v>
      </c>
      <c r="Y146" s="4">
        <v>0</v>
      </c>
      <c r="Z146" s="4">
        <v>91518.3</v>
      </c>
      <c r="AA146" s="4">
        <v>0</v>
      </c>
      <c r="AB146" s="4">
        <v>0</v>
      </c>
      <c r="AC146" s="4"/>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v>0</v>
      </c>
      <c r="R147" s="4">
        <v>0</v>
      </c>
      <c r="S147" s="4">
        <v>0</v>
      </c>
      <c r="T147" s="4">
        <v>0</v>
      </c>
      <c r="U147" s="4"/>
      <c r="V147" s="4">
        <v>0</v>
      </c>
      <c r="W147" s="4">
        <v>0</v>
      </c>
      <c r="X147" s="4">
        <v>0</v>
      </c>
      <c r="Y147" s="4">
        <v>0</v>
      </c>
      <c r="Z147" s="4">
        <v>0</v>
      </c>
      <c r="AA147" s="4">
        <v>0</v>
      </c>
      <c r="AB147" s="4">
        <v>0</v>
      </c>
      <c r="AC147" s="4"/>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v>0</v>
      </c>
      <c r="R148" s="4">
        <v>0</v>
      </c>
      <c r="S148" s="4">
        <v>0</v>
      </c>
      <c r="T148" s="4">
        <v>0</v>
      </c>
      <c r="U148" s="4"/>
      <c r="V148" s="4">
        <v>0</v>
      </c>
      <c r="W148" s="4">
        <v>0</v>
      </c>
      <c r="X148" s="4">
        <v>0</v>
      </c>
      <c r="Y148" s="4">
        <v>0</v>
      </c>
      <c r="Z148" s="4">
        <v>0</v>
      </c>
      <c r="AA148" s="4">
        <v>0</v>
      </c>
      <c r="AB148" s="4">
        <v>0</v>
      </c>
      <c r="AC148" s="4"/>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4">
        <v>0</v>
      </c>
      <c r="T149" s="4">
        <v>0</v>
      </c>
      <c r="U149" s="4"/>
      <c r="V149" s="4">
        <v>0</v>
      </c>
      <c r="W149" s="4">
        <v>0</v>
      </c>
      <c r="X149" s="4">
        <v>0</v>
      </c>
      <c r="Y149" s="4">
        <v>0</v>
      </c>
      <c r="Z149" s="4">
        <v>0</v>
      </c>
      <c r="AA149" s="4">
        <v>0</v>
      </c>
      <c r="AB149" s="4">
        <v>0</v>
      </c>
      <c r="AC149" s="4"/>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v>0</v>
      </c>
      <c r="R150" s="4">
        <v>0</v>
      </c>
      <c r="S150" s="4">
        <v>0</v>
      </c>
      <c r="T150" s="4">
        <v>0</v>
      </c>
      <c r="U150" s="4"/>
      <c r="V150" s="4">
        <v>800</v>
      </c>
      <c r="W150" s="4">
        <v>0</v>
      </c>
      <c r="X150" s="4">
        <v>0</v>
      </c>
      <c r="Y150" s="4">
        <v>0</v>
      </c>
      <c r="Z150" s="4">
        <v>0</v>
      </c>
      <c r="AA150" s="4">
        <v>0</v>
      </c>
      <c r="AB150" s="4">
        <v>0</v>
      </c>
      <c r="AC150" s="4"/>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4">
        <v>0</v>
      </c>
      <c r="T153" s="4">
        <v>0</v>
      </c>
      <c r="U153" s="4"/>
      <c r="V153" s="4">
        <v>0</v>
      </c>
      <c r="W153" s="4">
        <v>0</v>
      </c>
      <c r="X153" s="4">
        <v>0</v>
      </c>
      <c r="Y153" s="4">
        <v>0</v>
      </c>
      <c r="Z153" s="4">
        <v>78041.2</v>
      </c>
      <c r="AA153" s="4">
        <v>0</v>
      </c>
      <c r="AB153" s="4">
        <v>0</v>
      </c>
      <c r="AC153" s="4"/>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c r="V154" s="4">
        <v>0</v>
      </c>
      <c r="W154" s="4">
        <v>0</v>
      </c>
      <c r="X154" s="4">
        <v>0</v>
      </c>
      <c r="Y154" s="4">
        <v>0</v>
      </c>
      <c r="Z154" s="4">
        <v>0</v>
      </c>
      <c r="AA154" s="4">
        <v>0</v>
      </c>
      <c r="AB154" s="4">
        <v>0</v>
      </c>
      <c r="AC154" s="4"/>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c r="V155" s="4">
        <v>0</v>
      </c>
      <c r="W155" s="4">
        <v>0</v>
      </c>
      <c r="X155" s="4">
        <v>0</v>
      </c>
      <c r="Y155" s="4">
        <v>0</v>
      </c>
      <c r="Z155" s="4">
        <v>0</v>
      </c>
      <c r="AA155" s="4">
        <v>0</v>
      </c>
      <c r="AB155" s="4">
        <v>0</v>
      </c>
      <c r="AC155" s="4"/>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c r="V156" s="4">
        <v>0</v>
      </c>
      <c r="W156" s="4">
        <v>0</v>
      </c>
      <c r="X156" s="4">
        <v>0</v>
      </c>
      <c r="Y156" s="4">
        <v>0</v>
      </c>
      <c r="Z156" s="4">
        <v>0</v>
      </c>
      <c r="AA156" s="4">
        <v>0</v>
      </c>
      <c r="AB156" s="4">
        <v>0</v>
      </c>
      <c r="AC156" s="4"/>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4">
        <v>0</v>
      </c>
      <c r="T157" s="4">
        <v>0</v>
      </c>
      <c r="U157" s="4"/>
      <c r="V157" s="4">
        <v>0</v>
      </c>
      <c r="W157" s="4">
        <v>0</v>
      </c>
      <c r="X157" s="4">
        <v>0</v>
      </c>
      <c r="Y157" s="4">
        <v>0</v>
      </c>
      <c r="Z157" s="4">
        <v>0</v>
      </c>
      <c r="AA157" s="4">
        <v>0</v>
      </c>
      <c r="AB157" s="4">
        <v>0</v>
      </c>
      <c r="AC157" s="4"/>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c r="V158" s="4">
        <v>0</v>
      </c>
      <c r="W158" s="4">
        <v>0</v>
      </c>
      <c r="X158" s="4">
        <v>0</v>
      </c>
      <c r="Y158" s="4">
        <v>0</v>
      </c>
      <c r="Z158" s="4">
        <v>0</v>
      </c>
      <c r="AA158" s="4">
        <v>0</v>
      </c>
      <c r="AB158" s="4">
        <v>0</v>
      </c>
      <c r="AC158" s="4"/>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c r="V159" s="4">
        <v>0</v>
      </c>
      <c r="W159" s="4">
        <v>0</v>
      </c>
      <c r="X159" s="4">
        <v>0</v>
      </c>
      <c r="Y159" s="4">
        <v>0</v>
      </c>
      <c r="Z159" s="4">
        <v>0</v>
      </c>
      <c r="AA159" s="4">
        <v>0</v>
      </c>
      <c r="AB159" s="4">
        <v>0</v>
      </c>
      <c r="AC159" s="4"/>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c r="V160" s="4">
        <v>0</v>
      </c>
      <c r="W160" s="4">
        <v>0</v>
      </c>
      <c r="X160" s="4">
        <v>0</v>
      </c>
      <c r="Y160" s="4">
        <v>0</v>
      </c>
      <c r="Z160" s="4">
        <v>0</v>
      </c>
      <c r="AA160" s="4">
        <v>0</v>
      </c>
      <c r="AB160" s="4">
        <v>0</v>
      </c>
      <c r="AC160" s="4"/>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c r="V161" s="4">
        <v>0</v>
      </c>
      <c r="W161" s="4">
        <v>0</v>
      </c>
      <c r="X161" s="4">
        <v>0</v>
      </c>
      <c r="Y161" s="4">
        <v>0</v>
      </c>
      <c r="Z161" s="4">
        <v>0</v>
      </c>
      <c r="AA161" s="4">
        <v>0</v>
      </c>
      <c r="AB161" s="4">
        <v>0</v>
      </c>
      <c r="AC161" s="4"/>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4">
        <v>0</v>
      </c>
      <c r="T162" s="4">
        <v>0</v>
      </c>
      <c r="U162" s="4"/>
      <c r="V162" s="4">
        <v>0</v>
      </c>
      <c r="W162" s="4">
        <v>0</v>
      </c>
      <c r="X162" s="4">
        <v>0</v>
      </c>
      <c r="Y162" s="4">
        <v>0</v>
      </c>
      <c r="Z162" s="4">
        <v>0</v>
      </c>
      <c r="AA162" s="4">
        <v>0</v>
      </c>
      <c r="AB162" s="4">
        <v>0</v>
      </c>
      <c r="AC162" s="4"/>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v>0</v>
      </c>
      <c r="R165" s="4">
        <v>0</v>
      </c>
      <c r="S165" s="4">
        <v>0</v>
      </c>
      <c r="T165" s="4">
        <v>0</v>
      </c>
      <c r="U165" s="4"/>
      <c r="V165" s="4">
        <v>1725000</v>
      </c>
      <c r="W165" s="4">
        <v>500000</v>
      </c>
      <c r="X165" s="4">
        <v>0</v>
      </c>
      <c r="Y165" s="4">
        <v>0</v>
      </c>
      <c r="Z165" s="4">
        <v>0</v>
      </c>
      <c r="AA165" s="4">
        <v>0</v>
      </c>
      <c r="AB165" s="4">
        <v>0</v>
      </c>
      <c r="AC165" s="4"/>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c r="V166" s="4">
        <v>0</v>
      </c>
      <c r="W166" s="4">
        <v>0</v>
      </c>
      <c r="X166" s="4">
        <v>0</v>
      </c>
      <c r="Y166" s="4">
        <v>0</v>
      </c>
      <c r="Z166" s="4">
        <v>0</v>
      </c>
      <c r="AA166" s="4">
        <v>0</v>
      </c>
      <c r="AB166" s="4">
        <v>0</v>
      </c>
      <c r="AC166" s="4"/>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v>0</v>
      </c>
      <c r="R167" s="4">
        <v>24800</v>
      </c>
      <c r="S167" s="4">
        <v>0</v>
      </c>
      <c r="T167" s="4">
        <v>0</v>
      </c>
      <c r="U167" s="4"/>
      <c r="V167" s="4">
        <v>0</v>
      </c>
      <c r="W167" s="4">
        <v>0</v>
      </c>
      <c r="X167" s="4">
        <v>0</v>
      </c>
      <c r="Y167" s="4">
        <v>275799.32</v>
      </c>
      <c r="Z167" s="4">
        <v>13608600</v>
      </c>
      <c r="AA167" s="4">
        <v>1316100</v>
      </c>
      <c r="AB167" s="4">
        <v>0</v>
      </c>
      <c r="AC167" s="4"/>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v>0</v>
      </c>
      <c r="R168" s="4">
        <v>0</v>
      </c>
      <c r="S168" s="4">
        <v>0</v>
      </c>
      <c r="T168" s="4">
        <v>0</v>
      </c>
      <c r="U168" s="4"/>
      <c r="V168" s="4">
        <v>0</v>
      </c>
      <c r="W168" s="4">
        <v>0</v>
      </c>
      <c r="X168" s="4">
        <v>0</v>
      </c>
      <c r="Y168" s="4">
        <v>0</v>
      </c>
      <c r="Z168" s="4">
        <v>0</v>
      </c>
      <c r="AA168" s="4">
        <v>74200</v>
      </c>
      <c r="AB168" s="4">
        <v>1378500</v>
      </c>
      <c r="AC168" s="4"/>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c r="V169" s="4">
        <v>0</v>
      </c>
      <c r="W169" s="4">
        <v>0</v>
      </c>
      <c r="X169" s="4">
        <v>0</v>
      </c>
      <c r="Y169" s="4">
        <v>0</v>
      </c>
      <c r="Z169" s="4">
        <v>0</v>
      </c>
      <c r="AA169" s="4">
        <v>0</v>
      </c>
      <c r="AB169" s="4">
        <v>0</v>
      </c>
      <c r="AC169" s="4"/>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v>0</v>
      </c>
      <c r="R170" s="4">
        <v>0</v>
      </c>
      <c r="S170" s="4">
        <v>0</v>
      </c>
      <c r="T170" s="4">
        <v>0</v>
      </c>
      <c r="U170" s="4"/>
      <c r="V170" s="4">
        <v>0</v>
      </c>
      <c r="W170" s="4">
        <v>0</v>
      </c>
      <c r="X170" s="4">
        <v>0</v>
      </c>
      <c r="Y170" s="4">
        <v>0</v>
      </c>
      <c r="Z170" s="4">
        <v>10000</v>
      </c>
      <c r="AA170" s="4">
        <v>0</v>
      </c>
      <c r="AB170" s="4">
        <v>0</v>
      </c>
      <c r="AC170" s="4"/>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c r="V173" s="4">
        <v>0</v>
      </c>
      <c r="W173" s="4">
        <v>0</v>
      </c>
      <c r="X173" s="4">
        <v>0</v>
      </c>
      <c r="Y173" s="4">
        <v>0</v>
      </c>
      <c r="Z173" s="4">
        <v>0</v>
      </c>
      <c r="AA173" s="4">
        <v>0</v>
      </c>
      <c r="AB173" s="4">
        <v>0</v>
      </c>
      <c r="AC173" s="4"/>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c r="V174" s="4">
        <v>0</v>
      </c>
      <c r="W174" s="4">
        <v>0</v>
      </c>
      <c r="X174" s="4">
        <v>0</v>
      </c>
      <c r="Y174" s="4">
        <v>0</v>
      </c>
      <c r="Z174" s="4">
        <v>0</v>
      </c>
      <c r="AA174" s="4">
        <v>0</v>
      </c>
      <c r="AB174" s="4">
        <v>0</v>
      </c>
      <c r="AC174" s="4"/>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c r="V175" s="4">
        <v>0</v>
      </c>
      <c r="W175" s="4">
        <v>0</v>
      </c>
      <c r="X175" s="4">
        <v>0</v>
      </c>
      <c r="Y175" s="4">
        <v>0</v>
      </c>
      <c r="Z175" s="4">
        <v>0</v>
      </c>
      <c r="AA175" s="4">
        <v>0</v>
      </c>
      <c r="AB175" s="4">
        <v>0</v>
      </c>
      <c r="AC175" s="4"/>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c r="V176" s="4">
        <v>0</v>
      </c>
      <c r="W176" s="4">
        <v>0</v>
      </c>
      <c r="X176" s="4">
        <v>0</v>
      </c>
      <c r="Y176" s="4">
        <v>0</v>
      </c>
      <c r="Z176" s="4">
        <v>0</v>
      </c>
      <c r="AA176" s="4">
        <v>0</v>
      </c>
      <c r="AB176" s="4">
        <v>0</v>
      </c>
      <c r="AC176" s="4"/>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v>0</v>
      </c>
      <c r="R177" s="4">
        <v>0</v>
      </c>
      <c r="S177" s="4">
        <v>0</v>
      </c>
      <c r="T177" s="4">
        <v>0</v>
      </c>
      <c r="U177" s="4"/>
      <c r="V177" s="4">
        <v>0</v>
      </c>
      <c r="W177" s="4">
        <v>0</v>
      </c>
      <c r="X177" s="4">
        <v>0</v>
      </c>
      <c r="Y177" s="4">
        <v>0</v>
      </c>
      <c r="Z177" s="4">
        <v>0</v>
      </c>
      <c r="AA177" s="4">
        <v>131535.79999999999</v>
      </c>
      <c r="AB177" s="4">
        <v>0</v>
      </c>
      <c r="AC177" s="4"/>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c r="V178" s="4">
        <v>0</v>
      </c>
      <c r="W178" s="4">
        <v>0</v>
      </c>
      <c r="X178" s="4">
        <v>0</v>
      </c>
      <c r="Y178" s="4">
        <v>0</v>
      </c>
      <c r="Z178" s="4">
        <v>0</v>
      </c>
      <c r="AA178" s="4">
        <v>0</v>
      </c>
      <c r="AB178" s="4">
        <v>0</v>
      </c>
      <c r="AC178" s="4"/>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c r="V179" s="4">
        <v>0</v>
      </c>
      <c r="W179" s="4">
        <v>0</v>
      </c>
      <c r="X179" s="4">
        <v>0</v>
      </c>
      <c r="Y179" s="4">
        <v>0</v>
      </c>
      <c r="Z179" s="4">
        <v>0</v>
      </c>
      <c r="AA179" s="4">
        <v>0</v>
      </c>
      <c r="AB179" s="4">
        <v>0</v>
      </c>
      <c r="AC179" s="4"/>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c r="V180" s="4">
        <v>0</v>
      </c>
      <c r="W180" s="4">
        <v>0</v>
      </c>
      <c r="X180" s="4">
        <v>0</v>
      </c>
      <c r="Y180" s="4">
        <v>0</v>
      </c>
      <c r="Z180" s="4">
        <v>0</v>
      </c>
      <c r="AA180" s="4">
        <v>0</v>
      </c>
      <c r="AB180" s="4">
        <v>0</v>
      </c>
      <c r="AC180" s="4"/>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v>0</v>
      </c>
      <c r="R181" s="4">
        <v>0</v>
      </c>
      <c r="S181" s="4">
        <v>0</v>
      </c>
      <c r="T181" s="4">
        <v>0</v>
      </c>
      <c r="U181" s="4"/>
      <c r="V181" s="4">
        <v>0</v>
      </c>
      <c r="W181" s="4">
        <v>0</v>
      </c>
      <c r="X181" s="4">
        <v>0</v>
      </c>
      <c r="Y181" s="4">
        <v>0</v>
      </c>
      <c r="Z181" s="4">
        <v>0</v>
      </c>
      <c r="AA181" s="4">
        <v>0</v>
      </c>
      <c r="AB181" s="4">
        <v>0</v>
      </c>
      <c r="AC181" s="4"/>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v>0</v>
      </c>
      <c r="R184" s="4">
        <v>0</v>
      </c>
      <c r="S184" s="4">
        <v>0</v>
      </c>
      <c r="T184" s="4">
        <v>0</v>
      </c>
      <c r="U184" s="4"/>
      <c r="V184" s="4">
        <v>0</v>
      </c>
      <c r="W184" s="4">
        <v>0</v>
      </c>
      <c r="X184" s="4">
        <v>0</v>
      </c>
      <c r="Y184" s="4">
        <v>0</v>
      </c>
      <c r="Z184" s="4">
        <v>0</v>
      </c>
      <c r="AA184" s="4">
        <v>0</v>
      </c>
      <c r="AB184" s="4">
        <v>0</v>
      </c>
      <c r="AC184" s="4"/>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4">
        <v>0</v>
      </c>
      <c r="T185" s="4">
        <v>0</v>
      </c>
      <c r="U185" s="4"/>
      <c r="V185" s="4">
        <v>0</v>
      </c>
      <c r="W185" s="4">
        <v>0</v>
      </c>
      <c r="X185" s="4">
        <v>0</v>
      </c>
      <c r="Y185" s="4">
        <v>0</v>
      </c>
      <c r="Z185" s="4">
        <v>0</v>
      </c>
      <c r="AA185" s="4">
        <v>0</v>
      </c>
      <c r="AB185" s="4">
        <v>0</v>
      </c>
      <c r="AC185" s="4"/>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4">
        <v>0</v>
      </c>
      <c r="T186" s="4">
        <v>0</v>
      </c>
      <c r="U186" s="4"/>
      <c r="V186" s="4">
        <v>0</v>
      </c>
      <c r="W186" s="4">
        <v>0</v>
      </c>
      <c r="X186" s="4">
        <v>0</v>
      </c>
      <c r="Y186" s="4">
        <v>0</v>
      </c>
      <c r="Z186" s="4">
        <v>0</v>
      </c>
      <c r="AA186" s="4">
        <v>0</v>
      </c>
      <c r="AB186" s="4">
        <v>0</v>
      </c>
      <c r="AC186" s="4"/>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c r="V187" s="4">
        <v>0</v>
      </c>
      <c r="W187" s="4">
        <v>0</v>
      </c>
      <c r="X187" s="4">
        <v>0</v>
      </c>
      <c r="Y187" s="4">
        <v>0</v>
      </c>
      <c r="Z187" s="4">
        <v>0</v>
      </c>
      <c r="AA187" s="4">
        <v>0</v>
      </c>
      <c r="AB187" s="4">
        <v>0</v>
      </c>
      <c r="AC187" s="4"/>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81638.03</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0</v>
      </c>
      <c r="AD189" s="86">
        <f t="shared" si="41"/>
        <v>0</v>
      </c>
      <c r="AE189" s="86">
        <f t="shared" si="41"/>
        <v>464376.68</v>
      </c>
      <c r="AF189" s="86">
        <f t="shared" si="41"/>
        <v>465489.7</v>
      </c>
      <c r="AG189" s="86">
        <f t="shared" si="41"/>
        <v>100916011.76000001</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v>0</v>
      </c>
      <c r="R191" s="4">
        <v>0</v>
      </c>
      <c r="S191" s="4">
        <v>6813.1</v>
      </c>
      <c r="T191" s="4">
        <v>0</v>
      </c>
      <c r="U191" s="4"/>
      <c r="V191" s="4">
        <v>135995.63</v>
      </c>
      <c r="W191" s="4">
        <v>0</v>
      </c>
      <c r="X191" s="4">
        <v>0</v>
      </c>
      <c r="Y191" s="4">
        <v>0</v>
      </c>
      <c r="Z191" s="4">
        <v>368221.47</v>
      </c>
      <c r="AA191" s="4">
        <v>0</v>
      </c>
      <c r="AB191" s="4">
        <v>460418.79</v>
      </c>
      <c r="AC191" s="4"/>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4">
        <v>0</v>
      </c>
      <c r="T194" s="4">
        <v>0</v>
      </c>
      <c r="U194" s="4"/>
      <c r="V194" s="4">
        <v>0</v>
      </c>
      <c r="W194" s="4">
        <v>0</v>
      </c>
      <c r="X194" s="4">
        <v>0</v>
      </c>
      <c r="Y194" s="4">
        <v>0</v>
      </c>
      <c r="Z194" s="4">
        <v>0</v>
      </c>
      <c r="AA194" s="4">
        <v>0</v>
      </c>
      <c r="AB194" s="4">
        <v>0</v>
      </c>
      <c r="AC194" s="4"/>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4">
        <v>0</v>
      </c>
      <c r="T195" s="4">
        <v>0</v>
      </c>
      <c r="U195" s="4"/>
      <c r="V195" s="4">
        <v>0</v>
      </c>
      <c r="W195" s="4">
        <v>0</v>
      </c>
      <c r="X195" s="4">
        <v>0</v>
      </c>
      <c r="Y195" s="4">
        <v>0</v>
      </c>
      <c r="Z195" s="4">
        <v>0</v>
      </c>
      <c r="AA195" s="4">
        <v>0</v>
      </c>
      <c r="AB195" s="4">
        <v>0</v>
      </c>
      <c r="AC195" s="4"/>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c r="V198" s="4">
        <v>0</v>
      </c>
      <c r="W198" s="4">
        <v>15199.75</v>
      </c>
      <c r="X198" s="4">
        <v>0</v>
      </c>
      <c r="Y198" s="4">
        <v>0</v>
      </c>
      <c r="Z198" s="4">
        <v>0</v>
      </c>
      <c r="AA198" s="4">
        <v>0</v>
      </c>
      <c r="AB198" s="4">
        <v>0</v>
      </c>
      <c r="AC198" s="4"/>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v>0</v>
      </c>
      <c r="R201" s="4">
        <v>0</v>
      </c>
      <c r="S201" s="4">
        <v>0</v>
      </c>
      <c r="T201" s="4">
        <v>0</v>
      </c>
      <c r="U201" s="4"/>
      <c r="V201" s="4">
        <v>0</v>
      </c>
      <c r="W201" s="4">
        <v>0</v>
      </c>
      <c r="X201" s="4">
        <v>0</v>
      </c>
      <c r="Y201" s="4">
        <v>1805586.78</v>
      </c>
      <c r="Z201" s="4">
        <v>0</v>
      </c>
      <c r="AA201" s="4">
        <v>0</v>
      </c>
      <c r="AB201" s="4">
        <v>1110173.9099999999</v>
      </c>
      <c r="AC201" s="4"/>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11638.03</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520837.37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v>11638.03</v>
      </c>
      <c r="R204" s="4">
        <v>0</v>
      </c>
      <c r="S204" s="4">
        <v>0</v>
      </c>
      <c r="T204" s="4">
        <v>0</v>
      </c>
      <c r="U204" s="4"/>
      <c r="V204" s="4">
        <v>18546.03</v>
      </c>
      <c r="W204" s="4">
        <v>0</v>
      </c>
      <c r="X204" s="4">
        <v>0</v>
      </c>
      <c r="Y204" s="4">
        <v>0</v>
      </c>
      <c r="Z204" s="4">
        <v>0</v>
      </c>
      <c r="AA204" s="4">
        <v>0</v>
      </c>
      <c r="AB204" s="4">
        <v>79539.45</v>
      </c>
      <c r="AC204" s="4"/>
      <c r="AD204" s="4">
        <v>0</v>
      </c>
      <c r="AE204" s="4">
        <v>270000</v>
      </c>
      <c r="AF204" s="4">
        <v>0</v>
      </c>
      <c r="AG204" s="80">
        <f>SUM(F204:AF204)</f>
        <v>520837.37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v>0</v>
      </c>
      <c r="R207" s="4">
        <v>0</v>
      </c>
      <c r="S207" s="4">
        <v>0</v>
      </c>
      <c r="T207" s="4">
        <v>0</v>
      </c>
      <c r="U207" s="4"/>
      <c r="V207" s="4">
        <v>0</v>
      </c>
      <c r="W207" s="4">
        <v>0</v>
      </c>
      <c r="X207" s="4">
        <v>0</v>
      </c>
      <c r="Y207" s="4">
        <v>0</v>
      </c>
      <c r="Z207" s="4">
        <v>0</v>
      </c>
      <c r="AA207" s="4">
        <v>0</v>
      </c>
      <c r="AB207" s="4">
        <v>0</v>
      </c>
      <c r="AC207" s="4"/>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v>0</v>
      </c>
      <c r="R210" s="4">
        <v>0</v>
      </c>
      <c r="S210" s="4">
        <v>0</v>
      </c>
      <c r="T210" s="4">
        <v>0</v>
      </c>
      <c r="U210" s="4"/>
      <c r="V210" s="4">
        <v>0</v>
      </c>
      <c r="W210" s="4">
        <v>0</v>
      </c>
      <c r="X210" s="4">
        <v>0</v>
      </c>
      <c r="Y210" s="4">
        <v>0</v>
      </c>
      <c r="Z210" s="4">
        <v>0</v>
      </c>
      <c r="AA210" s="4">
        <v>0</v>
      </c>
      <c r="AB210" s="4">
        <v>0</v>
      </c>
      <c r="AC210" s="4"/>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c r="V213" s="4">
        <v>0</v>
      </c>
      <c r="W213" s="4">
        <v>0</v>
      </c>
      <c r="X213" s="4">
        <v>0</v>
      </c>
      <c r="Y213" s="4">
        <v>0</v>
      </c>
      <c r="Z213" s="4">
        <v>0</v>
      </c>
      <c r="AA213" s="4">
        <v>0</v>
      </c>
      <c r="AB213" s="4">
        <v>0</v>
      </c>
      <c r="AC213" s="4"/>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70000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0</v>
      </c>
      <c r="AD215" s="84">
        <f t="shared" si="50"/>
        <v>0</v>
      </c>
      <c r="AE215" s="84">
        <f t="shared" si="50"/>
        <v>194376.68</v>
      </c>
      <c r="AF215" s="84">
        <f t="shared" si="50"/>
        <v>-30153.85</v>
      </c>
      <c r="AG215" s="84">
        <f>SUM(F215:AF215)</f>
        <v>6854292.2300000004</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v>0</v>
      </c>
      <c r="R216" s="4">
        <v>0</v>
      </c>
      <c r="S216" s="4">
        <v>1602.7</v>
      </c>
      <c r="T216" s="4">
        <v>1464.7</v>
      </c>
      <c r="U216" s="4"/>
      <c r="V216" s="4">
        <v>34359.129999999997</v>
      </c>
      <c r="W216" s="4">
        <v>0</v>
      </c>
      <c r="X216" s="4">
        <v>3124.35</v>
      </c>
      <c r="Y216" s="4">
        <v>10069.08</v>
      </c>
      <c r="Z216" s="4">
        <v>-7161.02</v>
      </c>
      <c r="AA216" s="4">
        <v>-73122.55</v>
      </c>
      <c r="AB216" s="4">
        <v>0</v>
      </c>
      <c r="AC216" s="4"/>
      <c r="AD216" s="4">
        <v>0</v>
      </c>
      <c r="AE216" s="4">
        <v>36333.32</v>
      </c>
      <c r="AF216" s="4">
        <v>-30153.85</v>
      </c>
      <c r="AG216" s="80">
        <f>SUM(F216:AF216)</f>
        <v>227474.81999999998</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v>70000</v>
      </c>
      <c r="R217" s="4">
        <v>2570.59</v>
      </c>
      <c r="S217" s="4">
        <v>37929.199999999997</v>
      </c>
      <c r="T217" s="4">
        <v>4205.05</v>
      </c>
      <c r="U217" s="4"/>
      <c r="V217" s="4">
        <v>337310.53</v>
      </c>
      <c r="W217" s="4">
        <v>0</v>
      </c>
      <c r="X217" s="4">
        <v>23540.55</v>
      </c>
      <c r="Y217" s="4">
        <v>770652.67</v>
      </c>
      <c r="Z217" s="4">
        <v>965633.11</v>
      </c>
      <c r="AA217" s="4">
        <v>342193.13</v>
      </c>
      <c r="AB217" s="4">
        <v>0</v>
      </c>
      <c r="AC217" s="4"/>
      <c r="AD217" s="4">
        <v>0</v>
      </c>
      <c r="AE217" s="4">
        <v>158043.35999999999</v>
      </c>
      <c r="AF217" s="4">
        <v>0</v>
      </c>
      <c r="AG217" s="80">
        <f>SUM(F217:AF217)</f>
        <v>6626817.4100000001</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'9.1 Syndicats comptes 2021'!E155</f>
        <v>0</v>
      </c>
      <c r="G220" s="4">
        <f>'9.1 Syndicats comptes 2021'!F155</f>
        <v>0</v>
      </c>
      <c r="H220" s="4">
        <f>'9.1 Syndicats comptes 2021'!G155</f>
        <v>0</v>
      </c>
      <c r="I220" s="4">
        <f>'9.1 Syndicats comptes 2021'!H155</f>
        <v>0</v>
      </c>
      <c r="J220" s="4">
        <f>'9.1 Syndicats comptes 2021'!I155</f>
        <v>0</v>
      </c>
      <c r="K220" s="4">
        <f>'9.1 Syndicats comptes 2021'!J155</f>
        <v>0</v>
      </c>
      <c r="L220" s="4">
        <f>'9.1 Syndicats comptes 2021'!K155</f>
        <v>0</v>
      </c>
      <c r="M220" s="4">
        <f>'9.1 Syndicats comptes 2021'!L155</f>
        <v>0</v>
      </c>
      <c r="N220" s="4">
        <f>'9.1 Syndicats comptes 2021'!M155</f>
        <v>0</v>
      </c>
      <c r="O220" s="4">
        <f>'9.1 Syndicats comptes 2021'!N155</f>
        <v>0</v>
      </c>
      <c r="P220" s="4">
        <f>'9.1 Syndicats comptes 2021'!O155</f>
        <v>144824.95999999999</v>
      </c>
      <c r="Q220" s="4">
        <f>'9.1 Syndicats comptes 2021'!P155</f>
        <v>0</v>
      </c>
      <c r="R220" s="4">
        <f>'9.1 Syndicats comptes 2021'!Q155</f>
        <v>0</v>
      </c>
      <c r="S220" s="4">
        <f>'9.1 Syndicats comptes 2021'!R155</f>
        <v>0</v>
      </c>
      <c r="T220" s="4">
        <f>'9.1 Syndicats comptes 2021'!S155</f>
        <v>0</v>
      </c>
      <c r="U220" s="4">
        <f>'9.1 Syndicats comptes 2021'!T155</f>
        <v>0</v>
      </c>
      <c r="V220" s="4">
        <f>'9.1 Syndicats comptes 2021'!U155</f>
        <v>0</v>
      </c>
      <c r="W220" s="4">
        <f>'9.1 Syndicats comptes 2021'!V155</f>
        <v>0</v>
      </c>
      <c r="X220" s="4">
        <f>'9.1 Syndicats comptes 2021'!W155</f>
        <v>0</v>
      </c>
      <c r="Y220" s="4">
        <f>'9.1 Syndicats comptes 2021'!X155</f>
        <v>0</v>
      </c>
      <c r="Z220" s="4">
        <f>'9.1 Syndicats comptes 2021'!Y155</f>
        <v>-61179.19</v>
      </c>
      <c r="AA220" s="4">
        <f>'9.1 Syndicats comptes 2021'!Z155</f>
        <v>0</v>
      </c>
      <c r="AB220" s="4">
        <f>'9.1 Syndicats comptes 2021'!AA155</f>
        <v>0</v>
      </c>
      <c r="AC220" s="4">
        <f>'9.1 Syndicats comptes 2021'!AB155</f>
        <v>0</v>
      </c>
      <c r="AD220" s="4">
        <f>'9.1 Syndicats comptes 2021'!AC155</f>
        <v>0</v>
      </c>
      <c r="AE220" s="4">
        <f>'9.1 Syndicats comptes 2021'!AD155</f>
        <v>0</v>
      </c>
      <c r="AF220" s="4">
        <f>'9.1 Syndicats comptes 2021'!AE155</f>
        <v>0</v>
      </c>
      <c r="AG220" s="4">
        <f>'9.1 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0</v>
      </c>
      <c r="AD221" s="4">
        <f t="shared" si="51"/>
        <v>0</v>
      </c>
      <c r="AE221" s="4">
        <f t="shared" si="51"/>
        <v>36333.32</v>
      </c>
      <c r="AF221" s="4">
        <f t="shared" si="51"/>
        <v>-30153.85</v>
      </c>
      <c r="AG221" s="4">
        <f t="shared" si="51"/>
        <v>227474.81999999998</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0</v>
      </c>
      <c r="AD223" s="41">
        <f t="shared" si="52"/>
        <v>0</v>
      </c>
      <c r="AE223" s="41">
        <f>AE220+AE221</f>
        <v>36333.32</v>
      </c>
      <c r="AF223" s="41">
        <f t="shared" si="52"/>
        <v>-30153.85</v>
      </c>
      <c r="AG223" s="41">
        <f t="shared" si="52"/>
        <v>311120.58999999997</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HLOOKUP($E$4,'9.7 Syndicats Bilan'!$F$3:$AG$226,2,0)</f>
        <v>14283261.68</v>
      </c>
    </row>
    <row r="8" spans="1:6" x14ac:dyDescent="0.25">
      <c r="A8" s="78"/>
      <c r="B8" s="74">
        <v>10</v>
      </c>
      <c r="C8" s="74"/>
      <c r="D8" s="74"/>
      <c r="E8" s="74" t="s">
        <v>240</v>
      </c>
      <c r="F8" s="75">
        <f>HLOOKUP($E$4,'9.7 Syndicats Bilan'!$F$3:$AG$226,3,0)</f>
        <v>8995733.7799999993</v>
      </c>
    </row>
    <row r="9" spans="1:6" x14ac:dyDescent="0.25">
      <c r="A9" s="79"/>
      <c r="B9" s="79"/>
      <c r="C9" s="69">
        <v>100</v>
      </c>
      <c r="D9" s="69"/>
      <c r="E9" s="69" t="s">
        <v>241</v>
      </c>
      <c r="F9" s="70">
        <f>HLOOKUP($E$4,'9.7 Syndicats Bilan'!$F$3:$AG$226,4,0)</f>
        <v>2627525.2799999998</v>
      </c>
    </row>
    <row r="10" spans="1:6" x14ac:dyDescent="0.25">
      <c r="D10">
        <v>1000</v>
      </c>
      <c r="E10" t="s">
        <v>313</v>
      </c>
      <c r="F10" s="4">
        <f>HLOOKUP($E$4,'9.7 Syndicats Bilan'!$F$3:$AG$226,5,0)</f>
        <v>1056.6500000000001</v>
      </c>
    </row>
    <row r="11" spans="1:6" x14ac:dyDescent="0.25">
      <c r="D11">
        <v>1001</v>
      </c>
      <c r="E11" t="s">
        <v>314</v>
      </c>
      <c r="F11" s="4">
        <f>HLOOKUP($E$4,'9.7 Syndicats Bilan'!$F$3:$AG$226,6,0)</f>
        <v>291455.71999999997</v>
      </c>
    </row>
    <row r="12" spans="1:6" x14ac:dyDescent="0.25">
      <c r="D12">
        <v>1002</v>
      </c>
      <c r="E12" t="s">
        <v>322</v>
      </c>
      <c r="F12" s="4">
        <f>HLOOKUP($E$4,'9.7 Syndicats Bilan'!$F$3:$AG$226,7,0)</f>
        <v>238.65</v>
      </c>
    </row>
    <row r="13" spans="1:6" x14ac:dyDescent="0.25">
      <c r="D13">
        <v>1003</v>
      </c>
      <c r="E13" t="s">
        <v>315</v>
      </c>
      <c r="F13" s="4">
        <f>HLOOKUP($E$4,'9.7 Syndicats Bilan'!$F$3:$AG$226,8,0)</f>
        <v>2334774.2599999998</v>
      </c>
    </row>
    <row r="14" spans="1:6" x14ac:dyDescent="0.25">
      <c r="D14">
        <v>1004</v>
      </c>
      <c r="E14" t="s">
        <v>316</v>
      </c>
      <c r="F14" s="4">
        <f>HLOOKUP($E$4,'9.7 Syndicats Bilan'!$F$3:$AG$226,9,0)</f>
        <v>0</v>
      </c>
    </row>
    <row r="15" spans="1:6" x14ac:dyDescent="0.25">
      <c r="D15">
        <v>1009</v>
      </c>
      <c r="E15" t="s">
        <v>317</v>
      </c>
      <c r="F15" s="4">
        <f>HLOOKUP($E$4,'9.7 Syndicats Bilan'!$F$3:$AG$226,10,0)</f>
        <v>0</v>
      </c>
    </row>
    <row r="16" spans="1:6" x14ac:dyDescent="0.25">
      <c r="F16" s="4"/>
    </row>
    <row r="17" spans="1:6" x14ac:dyDescent="0.25">
      <c r="A17" s="79"/>
      <c r="B17" s="79"/>
      <c r="C17" s="69">
        <v>101</v>
      </c>
      <c r="D17" s="69"/>
      <c r="E17" s="69" t="s">
        <v>242</v>
      </c>
      <c r="F17" s="70">
        <f>HLOOKUP($E$4,'9.7 Syndicats Bilan'!$F$3:$AG$226,12,0)</f>
        <v>326842.75</v>
      </c>
    </row>
    <row r="18" spans="1:6" x14ac:dyDescent="0.25">
      <c r="D18">
        <v>1010</v>
      </c>
      <c r="E18" t="s">
        <v>318</v>
      </c>
      <c r="F18" s="4">
        <f>HLOOKUP($E$4,'9.7 Syndicats Bilan'!$F$3:$AG$226,13,0)</f>
        <v>316963.7</v>
      </c>
    </row>
    <row r="19" spans="1:6" x14ac:dyDescent="0.25">
      <c r="D19">
        <v>1011</v>
      </c>
      <c r="E19" t="s">
        <v>399</v>
      </c>
      <c r="F19" s="4">
        <f>HLOOKUP($E$4,'9.7 Syndicats Bilan'!$F$3:$AG$226,14,0)</f>
        <v>0</v>
      </c>
    </row>
    <row r="20" spans="1:6" x14ac:dyDescent="0.25">
      <c r="D20">
        <v>1012</v>
      </c>
      <c r="E20" t="s">
        <v>319</v>
      </c>
      <c r="F20" s="4">
        <f>HLOOKUP($E$4,'9.7 Syndicats Bilan'!$F$3:$AG$226,15,0)</f>
        <v>0</v>
      </c>
    </row>
    <row r="21" spans="1:6" x14ac:dyDescent="0.25">
      <c r="D21">
        <v>1013</v>
      </c>
      <c r="E21" t="s">
        <v>320</v>
      </c>
      <c r="F21" s="4">
        <f>HLOOKUP($E$4,'9.7 Syndicats Bilan'!$F$3:$AG$226,16,0)</f>
        <v>0</v>
      </c>
    </row>
    <row r="22" spans="1:6" x14ac:dyDescent="0.25">
      <c r="D22">
        <v>1014</v>
      </c>
      <c r="E22" t="s">
        <v>321</v>
      </c>
      <c r="F22" s="4">
        <f>HLOOKUP($E$4,'9.7 Syndicats Bilan'!$F$3:$AG$226,17,0)</f>
        <v>0</v>
      </c>
    </row>
    <row r="23" spans="1:6" x14ac:dyDescent="0.25">
      <c r="D23">
        <v>1015</v>
      </c>
      <c r="E23" t="s">
        <v>323</v>
      </c>
      <c r="F23" s="4">
        <f>HLOOKUP($E$4,'9.7 Syndicats Bilan'!$F$3:$AG$226,18,0)</f>
        <v>0</v>
      </c>
    </row>
    <row r="24" spans="1:6" x14ac:dyDescent="0.25">
      <c r="D24">
        <v>1016</v>
      </c>
      <c r="E24" t="s">
        <v>324</v>
      </c>
      <c r="F24" s="4">
        <f>HLOOKUP($E$4,'9.7 Syndicats Bilan'!$F$3:$AG$226,19,0)</f>
        <v>0</v>
      </c>
    </row>
    <row r="25" spans="1:6" x14ac:dyDescent="0.25">
      <c r="D25">
        <v>1019</v>
      </c>
      <c r="E25" t="s">
        <v>325</v>
      </c>
      <c r="F25" s="4">
        <f>HLOOKUP($E$4,'9.7 Syndicats Bilan'!$F$3:$AG$226,20,0)</f>
        <v>9879.0499999999993</v>
      </c>
    </row>
    <row r="26" spans="1:6" x14ac:dyDescent="0.25">
      <c r="F26" s="4"/>
    </row>
    <row r="27" spans="1:6" x14ac:dyDescent="0.25">
      <c r="C27" s="69">
        <v>102</v>
      </c>
      <c r="D27" s="69"/>
      <c r="E27" s="69" t="s">
        <v>243</v>
      </c>
      <c r="F27" s="70">
        <f>HLOOKUP($E$4,'9.7 Syndicats Bilan'!$F$3:$AG$226,22,0)</f>
        <v>0</v>
      </c>
    </row>
    <row r="28" spans="1:6" x14ac:dyDescent="0.25">
      <c r="D28">
        <v>1020</v>
      </c>
      <c r="E28" t="s">
        <v>326</v>
      </c>
      <c r="F28" s="4">
        <f>HLOOKUP($E$4,'9.7 Syndicats Bilan'!$F$3:$AG$226,23,0)</f>
        <v>0</v>
      </c>
    </row>
    <row r="29" spans="1:6" x14ac:dyDescent="0.25">
      <c r="D29">
        <v>1022</v>
      </c>
      <c r="E29" t="s">
        <v>327</v>
      </c>
      <c r="F29" s="4">
        <f>HLOOKUP($E$4,'9.7 Syndicats Bilan'!$F$3:$AG$226,24,0)</f>
        <v>0</v>
      </c>
    </row>
    <row r="30" spans="1:6" x14ac:dyDescent="0.25">
      <c r="D30">
        <v>1023</v>
      </c>
      <c r="E30" t="s">
        <v>328</v>
      </c>
      <c r="F30" s="4">
        <f>HLOOKUP($E$4,'9.7 Syndicats Bilan'!$F$3:$AG$226,25,0)</f>
        <v>0</v>
      </c>
    </row>
    <row r="31" spans="1:6" x14ac:dyDescent="0.25">
      <c r="D31">
        <v>1029</v>
      </c>
      <c r="E31" t="s">
        <v>329</v>
      </c>
      <c r="F31" s="4">
        <f>HLOOKUP($E$4,'9.7 Syndicats Bilan'!$F$3:$AG$226,26,0)</f>
        <v>0</v>
      </c>
    </row>
    <row r="32" spans="1:6" x14ac:dyDescent="0.25">
      <c r="F32" s="4"/>
    </row>
    <row r="33" spans="3:6" x14ac:dyDescent="0.25">
      <c r="C33" s="69">
        <v>104</v>
      </c>
      <c r="D33" s="69"/>
      <c r="E33" s="69" t="s">
        <v>244</v>
      </c>
      <c r="F33" s="70">
        <f>HLOOKUP($E$4,'9.7 Syndicats Bilan'!$F$3:$AG$226,28,0)</f>
        <v>41103.25</v>
      </c>
    </row>
    <row r="34" spans="3:6" x14ac:dyDescent="0.25">
      <c r="D34">
        <v>1040</v>
      </c>
      <c r="E34" t="s">
        <v>61</v>
      </c>
      <c r="F34" s="4">
        <f>HLOOKUP($E$4,'9.7 Syndicats Bilan'!$F$3:$AG$226,29,0)</f>
        <v>21103.25</v>
      </c>
    </row>
    <row r="35" spans="3:6" x14ac:dyDescent="0.25">
      <c r="D35">
        <v>1041</v>
      </c>
      <c r="E35" t="s">
        <v>330</v>
      </c>
      <c r="F35" s="4">
        <f>HLOOKUP($E$4,'9.7 Syndicats Bilan'!$F$3:$AG$226,30,0)</f>
        <v>20000</v>
      </c>
    </row>
    <row r="36" spans="3:6" x14ac:dyDescent="0.25">
      <c r="D36">
        <v>1042</v>
      </c>
      <c r="E36" t="s">
        <v>331</v>
      </c>
      <c r="F36" s="4">
        <f>HLOOKUP($E$4,'9.7 Syndicats Bilan'!$F$3:$AG$226,31,0)</f>
        <v>0</v>
      </c>
    </row>
    <row r="37" spans="3:6" x14ac:dyDescent="0.25">
      <c r="D37">
        <v>1043</v>
      </c>
      <c r="E37" t="s">
        <v>332</v>
      </c>
      <c r="F37" s="4">
        <f>HLOOKUP($E$4,'9.7 Syndicats Bilan'!$F$3:$AG$226,32,0)</f>
        <v>0</v>
      </c>
    </row>
    <row r="38" spans="3:6" x14ac:dyDescent="0.25">
      <c r="D38">
        <v>1044</v>
      </c>
      <c r="E38" t="s">
        <v>333</v>
      </c>
      <c r="F38" s="4">
        <f>HLOOKUP($E$4,'9.7 Syndicats Bilan'!$F$3:$AG$226,33,0)</f>
        <v>0</v>
      </c>
    </row>
    <row r="39" spans="3:6" x14ac:dyDescent="0.25">
      <c r="D39">
        <v>1045</v>
      </c>
      <c r="E39" t="s">
        <v>334</v>
      </c>
      <c r="F39" s="4">
        <f>HLOOKUP($E$4,'9.7 Syndicats Bilan'!$F$3:$AG$226,34,0)</f>
        <v>0</v>
      </c>
    </row>
    <row r="40" spans="3:6" x14ac:dyDescent="0.25">
      <c r="D40">
        <v>1046</v>
      </c>
      <c r="E40" t="s">
        <v>335</v>
      </c>
      <c r="F40" s="4">
        <f>HLOOKUP($E$4,'9.7 Syndicats Bilan'!$F$3:$AG$226,35,0)</f>
        <v>0</v>
      </c>
    </row>
    <row r="41" spans="3:6" x14ac:dyDescent="0.25">
      <c r="D41">
        <v>1049</v>
      </c>
      <c r="E41" t="s">
        <v>336</v>
      </c>
      <c r="F41" s="4">
        <f>HLOOKUP($E$4,'9.7 Syndicats Bilan'!$F$3:$AG$226,36,0)</f>
        <v>0</v>
      </c>
    </row>
    <row r="42" spans="3:6" x14ac:dyDescent="0.25">
      <c r="F42" s="4"/>
    </row>
    <row r="43" spans="3:6" x14ac:dyDescent="0.25">
      <c r="C43" s="69">
        <v>106</v>
      </c>
      <c r="D43" s="69"/>
      <c r="E43" s="69" t="s">
        <v>245</v>
      </c>
      <c r="F43" s="70">
        <f>HLOOKUP($E$4,'9.7 Syndicats Bilan'!$F$3:$AG$226,38,0)</f>
        <v>0</v>
      </c>
    </row>
    <row r="44" spans="3:6" x14ac:dyDescent="0.25">
      <c r="D44">
        <v>1060</v>
      </c>
      <c r="E44" t="s">
        <v>337</v>
      </c>
      <c r="F44" s="4">
        <f>HLOOKUP($E$4,'9.7 Syndicats Bilan'!$F$3:$AG$226,39,0)</f>
        <v>0</v>
      </c>
    </row>
    <row r="45" spans="3:6" x14ac:dyDescent="0.25">
      <c r="D45">
        <v>1061</v>
      </c>
      <c r="E45" t="s">
        <v>338</v>
      </c>
      <c r="F45" s="4">
        <f>HLOOKUP($E$4,'9.7 Syndicats Bilan'!$F$3:$AG$226,40,0)</f>
        <v>0</v>
      </c>
    </row>
    <row r="46" spans="3:6" x14ac:dyDescent="0.25">
      <c r="D46">
        <v>1062</v>
      </c>
      <c r="E46" t="s">
        <v>339</v>
      </c>
      <c r="F46" s="4">
        <f>HLOOKUP($E$4,'9.7 Syndicats Bilan'!$F$3:$AG$226,41,0)</f>
        <v>0</v>
      </c>
    </row>
    <row r="47" spans="3:6" x14ac:dyDescent="0.25">
      <c r="D47">
        <v>1063</v>
      </c>
      <c r="E47" t="s">
        <v>340</v>
      </c>
      <c r="F47" s="4">
        <f>HLOOKUP($E$4,'9.7 Syndicats Bilan'!$F$3:$AG$226,42,0)</f>
        <v>0</v>
      </c>
    </row>
    <row r="48" spans="3:6" x14ac:dyDescent="0.25">
      <c r="D48">
        <v>1068</v>
      </c>
      <c r="E48" t="s">
        <v>341</v>
      </c>
      <c r="F48" s="4">
        <f>HLOOKUP($E$4,'9.7 Syndicats Bilan'!$F$3:$AG$226,43,0)</f>
        <v>0</v>
      </c>
    </row>
    <row r="49" spans="3:6" x14ac:dyDescent="0.25">
      <c r="F49" s="4"/>
    </row>
    <row r="50" spans="3:6" x14ac:dyDescent="0.25">
      <c r="C50" s="69">
        <v>107</v>
      </c>
      <c r="D50" s="69"/>
      <c r="E50" s="69" t="s">
        <v>346</v>
      </c>
      <c r="F50" s="70">
        <f>HLOOKUP($E$4,'9.7 Syndicats Bilan'!$F$3:$AG$226,45,0)</f>
        <v>6000262.5</v>
      </c>
    </row>
    <row r="51" spans="3:6" x14ac:dyDescent="0.25">
      <c r="D51">
        <v>1070</v>
      </c>
      <c r="E51" t="s">
        <v>342</v>
      </c>
      <c r="F51" s="4">
        <f>HLOOKUP($E$4,'9.7 Syndicats Bilan'!$F$3:$AG$226,46,0)</f>
        <v>262.5</v>
      </c>
    </row>
    <row r="52" spans="3:6" x14ac:dyDescent="0.25">
      <c r="D52">
        <v>1071</v>
      </c>
      <c r="E52" t="s">
        <v>343</v>
      </c>
      <c r="F52" s="4">
        <f>HLOOKUP($E$4,'9.7 Syndicats Bilan'!$F$3:$AG$226,47,0)</f>
        <v>6000000</v>
      </c>
    </row>
    <row r="53" spans="3:6" x14ac:dyDescent="0.25">
      <c r="D53">
        <v>1072</v>
      </c>
      <c r="E53" t="s">
        <v>344</v>
      </c>
      <c r="F53" s="4">
        <f>HLOOKUP($E$4,'9.7 Syndicats Bilan'!$F$3:$AG$226,48,0)</f>
        <v>0</v>
      </c>
    </row>
    <row r="54" spans="3:6" x14ac:dyDescent="0.25">
      <c r="D54">
        <v>1079</v>
      </c>
      <c r="E54" t="s">
        <v>345</v>
      </c>
      <c r="F54" s="4">
        <f>HLOOKUP($E$4,'9.7 Syndicats Bilan'!$F$3:$AG$226,49,0)</f>
        <v>0</v>
      </c>
    </row>
    <row r="55" spans="3:6" x14ac:dyDescent="0.25">
      <c r="F55" s="4"/>
    </row>
    <row r="56" spans="3:6" x14ac:dyDescent="0.25">
      <c r="C56" s="69">
        <v>108</v>
      </c>
      <c r="D56" s="69"/>
      <c r="E56" s="69" t="s">
        <v>246</v>
      </c>
      <c r="F56" s="70">
        <f>HLOOKUP($E$4,'9.7 Syndicats Bilan'!$F$3:$AG$226,51,0)</f>
        <v>0</v>
      </c>
    </row>
    <row r="57" spans="3:6" x14ac:dyDescent="0.25">
      <c r="D57">
        <v>1080</v>
      </c>
      <c r="E57" t="s">
        <v>347</v>
      </c>
      <c r="F57" s="4">
        <f>HLOOKUP($E$4,'9.7 Syndicats Bilan'!$F$3:$AG$226,52,0)</f>
        <v>0</v>
      </c>
    </row>
    <row r="58" spans="3:6" x14ac:dyDescent="0.25">
      <c r="D58">
        <v>1084</v>
      </c>
      <c r="E58" t="s">
        <v>348</v>
      </c>
      <c r="F58" s="4">
        <f>HLOOKUP($E$4,'9.7 Syndicats Bilan'!$F$3:$AG$226,53,0)</f>
        <v>0</v>
      </c>
    </row>
    <row r="59" spans="3:6" x14ac:dyDescent="0.25">
      <c r="D59">
        <v>1086</v>
      </c>
      <c r="E59" t="s">
        <v>349</v>
      </c>
      <c r="F59" s="4">
        <f>HLOOKUP($E$4,'9.7 Syndicats Bilan'!$F$3:$AG$226,54,0)</f>
        <v>0</v>
      </c>
    </row>
    <row r="60" spans="3:6" x14ac:dyDescent="0.25">
      <c r="D60">
        <v>1087</v>
      </c>
      <c r="E60" t="s">
        <v>350</v>
      </c>
      <c r="F60" s="4">
        <f>HLOOKUP($E$4,'9.7 Syndicats Bilan'!$F$3:$AG$226,55,0)</f>
        <v>0</v>
      </c>
    </row>
    <row r="61" spans="3:6" x14ac:dyDescent="0.25">
      <c r="D61">
        <v>1088</v>
      </c>
      <c r="E61" t="s">
        <v>351</v>
      </c>
      <c r="F61" s="4">
        <f>HLOOKUP($E$4,'9.7 Syndicats Bilan'!$F$3:$AG$226,6,0)</f>
        <v>291455.71999999997</v>
      </c>
    </row>
    <row r="62" spans="3:6" x14ac:dyDescent="0.25">
      <c r="D62">
        <v>1089</v>
      </c>
      <c r="E62" t="s">
        <v>352</v>
      </c>
      <c r="F62" s="4">
        <f>HLOOKUP($E$4,'9.7 Syndicats Bilan'!$F$3:$AG$226,57,0)</f>
        <v>0</v>
      </c>
    </row>
    <row r="63" spans="3:6" x14ac:dyDescent="0.25">
      <c r="F63" s="4"/>
    </row>
    <row r="64" spans="3:6" x14ac:dyDescent="0.25">
      <c r="C64" s="69">
        <v>109</v>
      </c>
      <c r="D64" s="69"/>
      <c r="E64" s="69" t="s">
        <v>353</v>
      </c>
      <c r="F64" s="70">
        <f>HLOOKUP($E$4,'9.7 Syndicats Bilan'!$F$3:$AG$226,59,0)</f>
        <v>0</v>
      </c>
    </row>
    <row r="65" spans="2:6" x14ac:dyDescent="0.25">
      <c r="D65">
        <v>1090</v>
      </c>
      <c r="E65" t="s">
        <v>353</v>
      </c>
      <c r="F65" s="4">
        <f>HLOOKUP($E$4,'9.7 Syndicats Bilan'!$F$3:$AG$226,60,0)</f>
        <v>0</v>
      </c>
    </row>
    <row r="66" spans="2:6" x14ac:dyDescent="0.25">
      <c r="D66">
        <v>1091</v>
      </c>
      <c r="E66" t="s">
        <v>354</v>
      </c>
      <c r="F66" s="4">
        <f>HLOOKUP($E$4,'9.7 Syndicats Bilan'!$F$3:$AG$226,61,0)</f>
        <v>0</v>
      </c>
    </row>
    <row r="67" spans="2:6" x14ac:dyDescent="0.25">
      <c r="D67">
        <v>1092</v>
      </c>
      <c r="E67" t="s">
        <v>355</v>
      </c>
      <c r="F67" s="4">
        <f>HLOOKUP($E$4,'9.7 Syndicats Bilan'!$F$3:$AG$226,62,0)</f>
        <v>0</v>
      </c>
    </row>
    <row r="68" spans="2:6" x14ac:dyDescent="0.25">
      <c r="D68">
        <v>1093</v>
      </c>
      <c r="E68" t="s">
        <v>356</v>
      </c>
      <c r="F68" s="4">
        <f>HLOOKUP($E$4,'9.7 Syndicats Bilan'!$F$3:$AG$226,63,0)</f>
        <v>0</v>
      </c>
    </row>
    <row r="69" spans="2:6" x14ac:dyDescent="0.25">
      <c r="F69" s="4"/>
    </row>
    <row r="70" spans="2:6" x14ac:dyDescent="0.25">
      <c r="B70" s="76">
        <v>14</v>
      </c>
      <c r="C70" s="76"/>
      <c r="D70" s="76"/>
      <c r="E70" s="76" t="s">
        <v>247</v>
      </c>
      <c r="F70" s="77">
        <f>HLOOKUP($E$4,'9.7 Syndicats Bilan'!$F$3:$AG$226,65,0)</f>
        <v>5287527.9000000004</v>
      </c>
    </row>
    <row r="71" spans="2:6" x14ac:dyDescent="0.25">
      <c r="C71" s="69">
        <v>140</v>
      </c>
      <c r="D71" s="69"/>
      <c r="E71" s="69" t="s">
        <v>249</v>
      </c>
      <c r="F71" s="70">
        <f>HLOOKUP($E$4,'9.7 Syndicats Bilan'!$F$3:$AG$226,66,0)</f>
        <v>4937902.5</v>
      </c>
    </row>
    <row r="72" spans="2:6" x14ac:dyDescent="0.25">
      <c r="D72">
        <v>1400</v>
      </c>
      <c r="E72" t="s">
        <v>357</v>
      </c>
      <c r="F72" s="4">
        <f>HLOOKUP($E$4,'9.7 Syndicats Bilan'!$F$3:$AG$226,67,0)</f>
        <v>0</v>
      </c>
    </row>
    <row r="73" spans="2:6" x14ac:dyDescent="0.25">
      <c r="D73">
        <v>1401</v>
      </c>
      <c r="E73" t="s">
        <v>358</v>
      </c>
      <c r="F73" s="4">
        <f>HLOOKUP($E$4,'9.7 Syndicats Bilan'!$F$3:$AG$226,68,0)</f>
        <v>0</v>
      </c>
    </row>
    <row r="74" spans="2:6" x14ac:dyDescent="0.25">
      <c r="D74">
        <v>1402</v>
      </c>
      <c r="E74" t="s">
        <v>359</v>
      </c>
      <c r="F74" s="4">
        <f>HLOOKUP($E$4,'9.7 Syndicats Bilan'!$F$3:$AG$226,69,0)</f>
        <v>0</v>
      </c>
    </row>
    <row r="75" spans="2:6" x14ac:dyDescent="0.25">
      <c r="D75">
        <v>1403</v>
      </c>
      <c r="E75" t="s">
        <v>360</v>
      </c>
      <c r="F75" s="4">
        <f>HLOOKUP($E$4,'9.7 Syndicats Bilan'!$F$3:$AG$226,70,0)</f>
        <v>0</v>
      </c>
    </row>
    <row r="76" spans="2:6" x14ac:dyDescent="0.25">
      <c r="D76">
        <v>1404</v>
      </c>
      <c r="E76" t="s">
        <v>361</v>
      </c>
      <c r="F76" s="4">
        <f>HLOOKUP($E$4,'9.7 Syndicats Bilan'!$F$3:$AG$226,71,0)</f>
        <v>50490</v>
      </c>
    </row>
    <row r="77" spans="2:6" x14ac:dyDescent="0.25">
      <c r="D77">
        <v>1405</v>
      </c>
      <c r="E77" t="s">
        <v>362</v>
      </c>
      <c r="F77" s="4">
        <f>HLOOKUP($E$4,'9.7 Syndicats Bilan'!$F$3:$AG$226,72,0)</f>
        <v>0</v>
      </c>
    </row>
    <row r="78" spans="2:6" x14ac:dyDescent="0.25">
      <c r="D78">
        <v>1406</v>
      </c>
      <c r="E78" t="s">
        <v>363</v>
      </c>
      <c r="F78" s="4">
        <f>HLOOKUP($E$4,'9.7 Syndicats Bilan'!$F$3:$AG$226,73,0)</f>
        <v>0</v>
      </c>
    </row>
    <row r="79" spans="2:6" x14ac:dyDescent="0.25">
      <c r="D79">
        <v>1407</v>
      </c>
      <c r="E79" t="s">
        <v>364</v>
      </c>
      <c r="F79" s="4">
        <f>HLOOKUP($E$4,'9.7 Syndicats Bilan'!$F$3:$AG$226,74,0)</f>
        <v>4887412.5</v>
      </c>
    </row>
    <row r="80" spans="2:6" x14ac:dyDescent="0.25">
      <c r="D80">
        <v>1409</v>
      </c>
      <c r="E80" t="s">
        <v>365</v>
      </c>
      <c r="F80" s="4">
        <f>HLOOKUP($E$4,'9.7 Syndicats Bilan'!$F$3:$AG$226,75,0)</f>
        <v>0</v>
      </c>
    </row>
    <row r="81" spans="3:6" x14ac:dyDescent="0.25">
      <c r="F81" s="4"/>
    </row>
    <row r="82" spans="3:6" x14ac:dyDescent="0.25">
      <c r="C82" s="69">
        <v>142</v>
      </c>
      <c r="D82" s="69"/>
      <c r="E82" s="69" t="s">
        <v>581</v>
      </c>
      <c r="F82" s="70">
        <f>HLOOKUP($E$4,'9.7 Syndicats Bilan'!$F$3:$AG$226,77,0)</f>
        <v>349625.4</v>
      </c>
    </row>
    <row r="83" spans="3:6" x14ac:dyDescent="0.25">
      <c r="D83" s="79">
        <v>1420</v>
      </c>
      <c r="E83" s="79" t="s">
        <v>366</v>
      </c>
      <c r="F83" s="4">
        <f>HLOOKUP($E$4,'9.7 Syndicats Bilan'!$F$3:$AG$226,78,0)</f>
        <v>12150</v>
      </c>
    </row>
    <row r="84" spans="3:6" x14ac:dyDescent="0.25">
      <c r="D84" s="79">
        <v>1421</v>
      </c>
      <c r="E84" s="79" t="s">
        <v>367</v>
      </c>
      <c r="F84" s="4">
        <f>HLOOKUP($E$4,'9.7 Syndicats Bilan'!$F$3:$AG$226,79,0)</f>
        <v>0</v>
      </c>
    </row>
    <row r="85" spans="3:6" x14ac:dyDescent="0.25">
      <c r="D85" s="79">
        <v>1427</v>
      </c>
      <c r="E85" s="79" t="s">
        <v>580</v>
      </c>
      <c r="F85" s="4">
        <f>HLOOKUP($E$4,'9.7 Syndicats Bilan'!$F$3:$AG$226,80,0)</f>
        <v>337475.4</v>
      </c>
    </row>
    <row r="86" spans="3:6" x14ac:dyDescent="0.25">
      <c r="D86" s="79">
        <v>1429</v>
      </c>
      <c r="E86" s="79" t="s">
        <v>465</v>
      </c>
      <c r="F86" s="4">
        <f>HLOOKUP($E$4,'9.7 Syndicats Bilan'!$F$3:$AG$226,81,0)</f>
        <v>0</v>
      </c>
    </row>
    <row r="87" spans="3:6" x14ac:dyDescent="0.25">
      <c r="F87" s="4"/>
    </row>
    <row r="88" spans="3:6" x14ac:dyDescent="0.25">
      <c r="C88" s="69">
        <v>144</v>
      </c>
      <c r="D88" s="69"/>
      <c r="E88" s="69" t="s">
        <v>250</v>
      </c>
      <c r="F88" s="70">
        <f>HLOOKUP($E$4,'9.7 Syndicats Bilan'!$F$3:$AG$226,83,0)</f>
        <v>0</v>
      </c>
    </row>
    <row r="89" spans="3:6" x14ac:dyDescent="0.25">
      <c r="D89">
        <v>1440</v>
      </c>
      <c r="E89" t="s">
        <v>368</v>
      </c>
      <c r="F89" s="4">
        <f>HLOOKUP($E$4,'9.7 Syndicats Bilan'!$F$3:$AG$226,84,0)</f>
        <v>0</v>
      </c>
    </row>
    <row r="90" spans="3:6" x14ac:dyDescent="0.25">
      <c r="D90">
        <v>1441</v>
      </c>
      <c r="E90" t="s">
        <v>370</v>
      </c>
      <c r="F90" s="4">
        <f>HLOOKUP($E$4,'9.7 Syndicats Bilan'!$F$3:$AG$226,85,0)</f>
        <v>0</v>
      </c>
    </row>
    <row r="91" spans="3:6" x14ac:dyDescent="0.25">
      <c r="D91">
        <v>1442</v>
      </c>
      <c r="E91" t="s">
        <v>369</v>
      </c>
      <c r="F91" s="4">
        <f>HLOOKUP($E$4,'9.7 Syndicats Bilan'!$F$3:$AG$226,86,0)</f>
        <v>0</v>
      </c>
    </row>
    <row r="92" spans="3:6" x14ac:dyDescent="0.25">
      <c r="D92">
        <v>1443</v>
      </c>
      <c r="E92" t="s">
        <v>371</v>
      </c>
      <c r="F92" s="4">
        <f>HLOOKUP($E$4,'9.7 Syndicats Bilan'!$F$3:$AG$226,87,0)</f>
        <v>0</v>
      </c>
    </row>
    <row r="93" spans="3:6" x14ac:dyDescent="0.25">
      <c r="D93">
        <v>1444</v>
      </c>
      <c r="E93" t="s">
        <v>372</v>
      </c>
      <c r="F93" s="4">
        <f>HLOOKUP($E$4,'9.7 Syndicats Bilan'!$F$3:$AG$226,88,0)</f>
        <v>0</v>
      </c>
    </row>
    <row r="94" spans="3:6" x14ac:dyDescent="0.25">
      <c r="D94">
        <v>1445</v>
      </c>
      <c r="E94" t="s">
        <v>373</v>
      </c>
      <c r="F94" s="4">
        <f>HLOOKUP($E$4,'9.7 Syndicats Bilan'!$F$3:$AG$226,89,0)</f>
        <v>0</v>
      </c>
    </row>
    <row r="95" spans="3:6" x14ac:dyDescent="0.25">
      <c r="D95">
        <v>1446</v>
      </c>
      <c r="E95" t="s">
        <v>374</v>
      </c>
      <c r="F95" s="4">
        <f>HLOOKUP($E$4,'9.7 Syndicats Bilan'!$F$3:$AG$226,90,0)</f>
        <v>0</v>
      </c>
    </row>
    <row r="96" spans="3:6" x14ac:dyDescent="0.25">
      <c r="D96">
        <v>1447</v>
      </c>
      <c r="E96" t="s">
        <v>375</v>
      </c>
      <c r="F96" s="4">
        <f>HLOOKUP($E$4,'9.7 Syndicats Bilan'!$F$3:$AG$226,91,0)</f>
        <v>0</v>
      </c>
    </row>
    <row r="97" spans="3:6" x14ac:dyDescent="0.25">
      <c r="D97">
        <v>1448</v>
      </c>
      <c r="E97" t="s">
        <v>376</v>
      </c>
      <c r="F97" s="4">
        <f>HLOOKUP($E$4,'9.7 Syndicats Bilan'!$F$3:$AG$226,92,0)</f>
        <v>0</v>
      </c>
    </row>
    <row r="98" spans="3:6" x14ac:dyDescent="0.25">
      <c r="F98" s="4"/>
    </row>
    <row r="99" spans="3:6" x14ac:dyDescent="0.25">
      <c r="C99" s="69">
        <v>145</v>
      </c>
      <c r="D99" s="69"/>
      <c r="E99" s="69" t="s">
        <v>379</v>
      </c>
      <c r="F99" s="70">
        <f>HLOOKUP($E$4,'9.7 Syndicats Bilan'!$F$3:$AG$226,94,0)</f>
        <v>0</v>
      </c>
    </row>
    <row r="100" spans="3:6" x14ac:dyDescent="0.25">
      <c r="D100">
        <v>1450</v>
      </c>
      <c r="E100" t="s">
        <v>378</v>
      </c>
      <c r="F100" s="4">
        <f>HLOOKUP($E$4,'9.7 Syndicats Bilan'!$F$3:$AG$226,95,0)</f>
        <v>0</v>
      </c>
    </row>
    <row r="101" spans="3:6" x14ac:dyDescent="0.25">
      <c r="D101">
        <v>1451</v>
      </c>
      <c r="E101" t="s">
        <v>377</v>
      </c>
      <c r="F101" s="4">
        <f>HLOOKUP($E$4,'9.7 Syndicats Bilan'!$F$3:$AG$226,96,0)</f>
        <v>0</v>
      </c>
    </row>
    <row r="102" spans="3:6" x14ac:dyDescent="0.25">
      <c r="D102">
        <v>1452</v>
      </c>
      <c r="E102" t="s">
        <v>380</v>
      </c>
      <c r="F102" s="4">
        <f>HLOOKUP($E$4,'9.7 Syndicats Bilan'!$F$3:$AG$226,97,0)</f>
        <v>0</v>
      </c>
    </row>
    <row r="103" spans="3:6" x14ac:dyDescent="0.25">
      <c r="D103">
        <v>1453</v>
      </c>
      <c r="E103" t="s">
        <v>381</v>
      </c>
      <c r="F103" s="4">
        <f>HLOOKUP($E$4,'9.7 Syndicats Bilan'!$F$3:$AG$226,98,0)</f>
        <v>0</v>
      </c>
    </row>
    <row r="104" spans="3:6" x14ac:dyDescent="0.25">
      <c r="D104">
        <v>1454</v>
      </c>
      <c r="E104" t="s">
        <v>382</v>
      </c>
      <c r="F104" s="4">
        <f>HLOOKUP($E$4,'9.7 Syndicats Bilan'!$F$3:$AG$226,99,0)</f>
        <v>0</v>
      </c>
    </row>
    <row r="105" spans="3:6" x14ac:dyDescent="0.25">
      <c r="D105">
        <v>1455</v>
      </c>
      <c r="E105" t="s">
        <v>383</v>
      </c>
      <c r="F105" s="4">
        <f>HLOOKUP($E$4,'9.7 Syndicats Bilan'!$F$3:$AG$226,100,0)</f>
        <v>0</v>
      </c>
    </row>
    <row r="106" spans="3:6" x14ac:dyDescent="0.25">
      <c r="D106">
        <v>1456</v>
      </c>
      <c r="E106" t="s">
        <v>384</v>
      </c>
      <c r="F106" s="4">
        <f>HLOOKUP($E$4,'9.7 Syndicats Bilan'!$F$3:$AG$226,101,0)</f>
        <v>0</v>
      </c>
    </row>
    <row r="107" spans="3:6" x14ac:dyDescent="0.25">
      <c r="D107">
        <v>1457</v>
      </c>
      <c r="E107" t="s">
        <v>385</v>
      </c>
      <c r="F107" s="4">
        <f>HLOOKUP($E$4,'9.7 Syndicats Bilan'!$F$3:$AG$226,102,0)</f>
        <v>0</v>
      </c>
    </row>
    <row r="108" spans="3:6" x14ac:dyDescent="0.25">
      <c r="D108">
        <v>1458</v>
      </c>
      <c r="E108" t="s">
        <v>386</v>
      </c>
      <c r="F108" s="4">
        <f>HLOOKUP($E$4,'9.7 Syndicats Bilan'!$F$3:$AG$226,103,0)</f>
        <v>0</v>
      </c>
    </row>
    <row r="109" spans="3:6" x14ac:dyDescent="0.25">
      <c r="F109" s="4"/>
    </row>
    <row r="110" spans="3:6" x14ac:dyDescent="0.25">
      <c r="C110" s="69">
        <v>146</v>
      </c>
      <c r="D110" s="69"/>
      <c r="E110" s="69" t="s">
        <v>397</v>
      </c>
      <c r="F110" s="70">
        <f>HLOOKUP($E$4,'9.7 Syndicats Bilan'!$F$3:$AG$226,105,0)</f>
        <v>0</v>
      </c>
    </row>
    <row r="111" spans="3:6" x14ac:dyDescent="0.25">
      <c r="D111">
        <v>1460</v>
      </c>
      <c r="E111" t="s">
        <v>394</v>
      </c>
      <c r="F111" s="4">
        <f>HLOOKUP($E$4,'9.7 Syndicats Bilan'!$F$3:$AG$226,106,0)</f>
        <v>0</v>
      </c>
    </row>
    <row r="112" spans="3:6" x14ac:dyDescent="0.25">
      <c r="D112">
        <v>1461</v>
      </c>
      <c r="E112" t="s">
        <v>395</v>
      </c>
      <c r="F112" s="4">
        <f>HLOOKUP($E$4,'9.7 Syndicats Bilan'!$F$3:$AG$226,107,0)</f>
        <v>0</v>
      </c>
    </row>
    <row r="113" spans="1:6" x14ac:dyDescent="0.25">
      <c r="D113">
        <v>1462</v>
      </c>
      <c r="E113" t="s">
        <v>387</v>
      </c>
      <c r="F113" s="4">
        <f>HLOOKUP($E$4,'9.7 Syndicats Bilan'!$F$3:$AG$226,108,0)</f>
        <v>0</v>
      </c>
    </row>
    <row r="114" spans="1:6" x14ac:dyDescent="0.25">
      <c r="D114">
        <v>1463</v>
      </c>
      <c r="E114" t="s">
        <v>388</v>
      </c>
      <c r="F114" s="4">
        <f>HLOOKUP($E$4,'9.7 Syndicats Bilan'!$F$3:$AG$226,109,0)</f>
        <v>0</v>
      </c>
    </row>
    <row r="115" spans="1:6" x14ac:dyDescent="0.25">
      <c r="D115">
        <v>1464</v>
      </c>
      <c r="E115" t="s">
        <v>389</v>
      </c>
      <c r="F115" s="4">
        <f>HLOOKUP($E$4,'9.7 Syndicats Bilan'!$F$3:$AG$226,110,0)</f>
        <v>0</v>
      </c>
    </row>
    <row r="116" spans="1:6" x14ac:dyDescent="0.25">
      <c r="D116">
        <v>1465</v>
      </c>
      <c r="E116" t="s">
        <v>390</v>
      </c>
      <c r="F116" s="4">
        <f>HLOOKUP($E$4,'9.7 Syndicats Bilan'!$F$3:$AG$226,111,0)</f>
        <v>0</v>
      </c>
    </row>
    <row r="117" spans="1:6" x14ac:dyDescent="0.25">
      <c r="D117">
        <v>1466</v>
      </c>
      <c r="E117" t="s">
        <v>396</v>
      </c>
      <c r="F117" s="4">
        <f>HLOOKUP($E$4,'9.7 Syndicats Bilan'!$F$3:$AG$226,112,0)</f>
        <v>0</v>
      </c>
    </row>
    <row r="118" spans="1:6" x14ac:dyDescent="0.25">
      <c r="D118">
        <v>1467</v>
      </c>
      <c r="E118" t="s">
        <v>391</v>
      </c>
      <c r="F118" s="4">
        <f>HLOOKUP($E$4,'9.7 Syndicats Bilan'!$F$3:$AG$226,113,0)</f>
        <v>0</v>
      </c>
    </row>
    <row r="119" spans="1:6" x14ac:dyDescent="0.25">
      <c r="D119">
        <v>1468</v>
      </c>
      <c r="E119" t="s">
        <v>392</v>
      </c>
      <c r="F119" s="4">
        <f>HLOOKUP($E$4,'9.7 Syndicats Bilan'!$F$3:$AG$226,114,0)</f>
        <v>0</v>
      </c>
    </row>
    <row r="120" spans="1:6" x14ac:dyDescent="0.25">
      <c r="D120">
        <v>1469</v>
      </c>
      <c r="E120" t="s">
        <v>393</v>
      </c>
      <c r="F120" s="4">
        <f>HLOOKUP($E$4,'9.7 Syndicats Bilan'!$F$3:$AG$226,115,0)</f>
        <v>0</v>
      </c>
    </row>
    <row r="121" spans="1:6" x14ac:dyDescent="0.25">
      <c r="F121" s="4"/>
    </row>
    <row r="122" spans="1:6" x14ac:dyDescent="0.25">
      <c r="F122" s="4"/>
    </row>
    <row r="123" spans="1:6" ht="21" x14ac:dyDescent="0.35">
      <c r="A123" s="81">
        <v>2</v>
      </c>
      <c r="B123" s="81"/>
      <c r="C123" s="81"/>
      <c r="D123" s="81"/>
      <c r="E123" s="81" t="s">
        <v>251</v>
      </c>
      <c r="F123" s="177">
        <f>HLOOKUP($E$4,'9.7 Syndicats Bilan'!$F$3:$AG$226,118,0)</f>
        <v>14283261.68</v>
      </c>
    </row>
    <row r="124" spans="1:6" x14ac:dyDescent="0.25">
      <c r="A124" s="7"/>
      <c r="B124" s="85">
        <v>20</v>
      </c>
      <c r="C124" s="85"/>
      <c r="D124" s="85"/>
      <c r="E124" s="85" t="s">
        <v>252</v>
      </c>
      <c r="F124" s="86">
        <f>HLOOKUP($E$4,'9.7 Syndicats Bilan'!$F$3:$AG$226,119,0)</f>
        <v>243896.25</v>
      </c>
    </row>
    <row r="125" spans="1:6" x14ac:dyDescent="0.25">
      <c r="C125" s="83">
        <v>200</v>
      </c>
      <c r="D125" s="83"/>
      <c r="E125" s="83" t="s">
        <v>253</v>
      </c>
      <c r="F125" s="84">
        <f>HLOOKUP($E$4,'9.7 Syndicats Bilan'!$F$3:$AG$226,120,0)</f>
        <v>240460.95</v>
      </c>
    </row>
    <row r="126" spans="1:6" x14ac:dyDescent="0.25">
      <c r="D126">
        <v>2000</v>
      </c>
      <c r="E126" t="s">
        <v>398</v>
      </c>
      <c r="F126" s="4">
        <f>HLOOKUP($E$4,'9.7 Syndicats Bilan'!$F$3:$AG$226,121,0)</f>
        <v>240460.95</v>
      </c>
    </row>
    <row r="127" spans="1:6" x14ac:dyDescent="0.25">
      <c r="D127">
        <v>2001</v>
      </c>
      <c r="E127" t="s">
        <v>399</v>
      </c>
      <c r="F127" s="4">
        <f>HLOOKUP($E$4,'9.7 Syndicats Bilan'!$F$3:$AG$226,122,0)</f>
        <v>0</v>
      </c>
    </row>
    <row r="128" spans="1:6" x14ac:dyDescent="0.25">
      <c r="D128">
        <v>2002</v>
      </c>
      <c r="E128" t="s">
        <v>400</v>
      </c>
      <c r="F128" s="4">
        <f>HLOOKUP($E$4,'9.7 Syndicats Bilan'!$F$3:$AG$226,123,0)</f>
        <v>0</v>
      </c>
    </row>
    <row r="129" spans="3:6" x14ac:dyDescent="0.25">
      <c r="D129">
        <v>2003</v>
      </c>
      <c r="E129" t="s">
        <v>401</v>
      </c>
      <c r="F129" s="4">
        <f>HLOOKUP($E$4,'9.7 Syndicats Bilan'!$F$3:$AG$226,124,0)</f>
        <v>0</v>
      </c>
    </row>
    <row r="130" spans="3:6" x14ac:dyDescent="0.25">
      <c r="D130">
        <v>2004</v>
      </c>
      <c r="E130" t="s">
        <v>402</v>
      </c>
      <c r="F130" s="4">
        <f>HLOOKUP($E$4,'9.7 Syndicats Bilan'!$F$3:$AG$226,125,0)</f>
        <v>0</v>
      </c>
    </row>
    <row r="131" spans="3:6" x14ac:dyDescent="0.25">
      <c r="D131">
        <v>2005</v>
      </c>
      <c r="E131" t="s">
        <v>323</v>
      </c>
      <c r="F131" s="4">
        <f>HLOOKUP($E$4,'9.7 Syndicats Bilan'!$F$3:$AG$226,126,0)</f>
        <v>0</v>
      </c>
    </row>
    <row r="132" spans="3:6" x14ac:dyDescent="0.25">
      <c r="D132">
        <v>2006</v>
      </c>
      <c r="E132" t="s">
        <v>447</v>
      </c>
      <c r="F132" s="4">
        <f>HLOOKUP($E$4,'9.7 Syndicats Bilan'!$F$3:$AG$226,127,0)</f>
        <v>0</v>
      </c>
    </row>
    <row r="133" spans="3:6" x14ac:dyDescent="0.25">
      <c r="D133">
        <v>2009</v>
      </c>
      <c r="E133" t="s">
        <v>404</v>
      </c>
      <c r="F133" s="4">
        <f>HLOOKUP($E$4,'9.7 Syndicats Bilan'!$F$3:$AG$226,128,0)</f>
        <v>0</v>
      </c>
    </row>
    <row r="134" spans="3:6" x14ac:dyDescent="0.25">
      <c r="F134" s="4"/>
    </row>
    <row r="135" spans="3:6" x14ac:dyDescent="0.25">
      <c r="C135" s="83">
        <v>201</v>
      </c>
      <c r="D135" s="83"/>
      <c r="E135" s="83" t="s">
        <v>254</v>
      </c>
      <c r="F135" s="84">
        <f>HLOOKUP($E$4,'9.7 Syndicats Bilan'!$F$3:$AG$226,130,0)</f>
        <v>0</v>
      </c>
    </row>
    <row r="136" spans="3:6" x14ac:dyDescent="0.25">
      <c r="D136">
        <v>2010</v>
      </c>
      <c r="E136" t="s">
        <v>405</v>
      </c>
      <c r="F136" s="4">
        <f>HLOOKUP($E$4,'9.7 Syndicats Bilan'!$F$3:$AG$226,131,0)</f>
        <v>0</v>
      </c>
    </row>
    <row r="137" spans="3:6" x14ac:dyDescent="0.25">
      <c r="D137">
        <v>2011</v>
      </c>
      <c r="E137" t="s">
        <v>406</v>
      </c>
      <c r="F137" s="4">
        <f>HLOOKUP($E$4,'9.7 Syndicats Bilan'!$F$3:$AG$226,132,0)</f>
        <v>0</v>
      </c>
    </row>
    <row r="138" spans="3:6" x14ac:dyDescent="0.25">
      <c r="D138">
        <v>2012</v>
      </c>
      <c r="E138" t="s">
        <v>407</v>
      </c>
      <c r="F138" s="4">
        <f>HLOOKUP($E$4,'9.7 Syndicats Bilan'!$F$3:$AG$226,133,0)</f>
        <v>0</v>
      </c>
    </row>
    <row r="139" spans="3:6" x14ac:dyDescent="0.25">
      <c r="D139">
        <v>2013</v>
      </c>
      <c r="E139" t="s">
        <v>408</v>
      </c>
      <c r="F139" s="4">
        <f>HLOOKUP($E$4,'9.7 Syndicats Bilan'!$F$3:$AG$226,134,0)</f>
        <v>0</v>
      </c>
    </row>
    <row r="140" spans="3:6" x14ac:dyDescent="0.25">
      <c r="D140">
        <v>2014</v>
      </c>
      <c r="E140" t="s">
        <v>410</v>
      </c>
      <c r="F140" s="4">
        <f>HLOOKUP($E$4,'9.7 Syndicats Bilan'!$F$3:$AG$226,135,0)</f>
        <v>0</v>
      </c>
    </row>
    <row r="141" spans="3:6" x14ac:dyDescent="0.25">
      <c r="D141">
        <v>2015</v>
      </c>
      <c r="E141" t="s">
        <v>409</v>
      </c>
      <c r="F141" s="4">
        <f>HLOOKUP($E$4,'9.7 Syndicats Bilan'!$F$3:$AG$226,136,0)</f>
        <v>0</v>
      </c>
    </row>
    <row r="142" spans="3:6" x14ac:dyDescent="0.25">
      <c r="D142">
        <v>2016</v>
      </c>
      <c r="E142" t="s">
        <v>269</v>
      </c>
      <c r="F142" s="4">
        <f>HLOOKUP($E$4,'9.7 Syndicats Bilan'!$F$3:$AG$226,137,0)</f>
        <v>0</v>
      </c>
    </row>
    <row r="143" spans="3:6" x14ac:dyDescent="0.25">
      <c r="D143">
        <v>2019</v>
      </c>
      <c r="E143" t="s">
        <v>411</v>
      </c>
      <c r="F143" s="4">
        <f>HLOOKUP($E$4,'9.7 Syndicats Bilan'!$F$3:$AG$226,138,0)</f>
        <v>0</v>
      </c>
    </row>
    <row r="144" spans="3:6" x14ac:dyDescent="0.25">
      <c r="F144" s="4"/>
    </row>
    <row r="145" spans="3:6" x14ac:dyDescent="0.25">
      <c r="C145" s="83">
        <v>204</v>
      </c>
      <c r="D145" s="83"/>
      <c r="E145" s="83" t="s">
        <v>255</v>
      </c>
      <c r="F145" s="84">
        <f>HLOOKUP($E$4,'9.7 Syndicats Bilan'!$F$3:$AG$226,140,0)</f>
        <v>3435.3</v>
      </c>
    </row>
    <row r="146" spans="3:6" x14ac:dyDescent="0.25">
      <c r="D146">
        <v>2040</v>
      </c>
      <c r="E146" t="s">
        <v>61</v>
      </c>
      <c r="F146" s="4">
        <f>HLOOKUP($E$4,'9.7 Syndicats Bilan'!$F$3:$AG$226,141,0)</f>
        <v>0</v>
      </c>
    </row>
    <row r="147" spans="3:6" x14ac:dyDescent="0.25">
      <c r="D147">
        <v>2041</v>
      </c>
      <c r="E147" t="s">
        <v>277</v>
      </c>
      <c r="F147" s="4">
        <f>HLOOKUP($E$4,'9.7 Syndicats Bilan'!$F$3:$AG$226,142,0)</f>
        <v>0</v>
      </c>
    </row>
    <row r="148" spans="3:6" x14ac:dyDescent="0.25">
      <c r="D148">
        <v>2042</v>
      </c>
      <c r="E148" t="s">
        <v>331</v>
      </c>
      <c r="F148" s="4">
        <f>HLOOKUP($E$4,'9.7 Syndicats Bilan'!$F$3:$AG$226,143,0)</f>
        <v>0</v>
      </c>
    </row>
    <row r="149" spans="3:6" x14ac:dyDescent="0.25">
      <c r="D149">
        <v>2043</v>
      </c>
      <c r="E149" t="s">
        <v>332</v>
      </c>
      <c r="F149" s="4">
        <f>HLOOKUP($E$4,'9.7 Syndicats Bilan'!$F$3:$AG$226,144,0)</f>
        <v>0</v>
      </c>
    </row>
    <row r="150" spans="3:6" x14ac:dyDescent="0.25">
      <c r="D150">
        <v>2044</v>
      </c>
      <c r="E150" t="s">
        <v>412</v>
      </c>
      <c r="F150" s="4">
        <f>HLOOKUP($E$4,'9.7 Syndicats Bilan'!$F$3:$AG$226,145,0)</f>
        <v>0</v>
      </c>
    </row>
    <row r="151" spans="3:6" x14ac:dyDescent="0.25">
      <c r="D151">
        <v>2045</v>
      </c>
      <c r="E151" t="s">
        <v>334</v>
      </c>
      <c r="F151" s="4">
        <f>HLOOKUP($E$4,'9.7 Syndicats Bilan'!$F$3:$AG$226,146,0)</f>
        <v>3435.3</v>
      </c>
    </row>
    <row r="152" spans="3:6" x14ac:dyDescent="0.25">
      <c r="D152">
        <v>2046</v>
      </c>
      <c r="E152" t="s">
        <v>413</v>
      </c>
      <c r="F152" s="4">
        <f>HLOOKUP($E$4,'9.7 Syndicats Bilan'!$F$3:$AG$226,147,0)</f>
        <v>0</v>
      </c>
    </row>
    <row r="153" spans="3:6" x14ac:dyDescent="0.25">
      <c r="D153">
        <v>2049</v>
      </c>
      <c r="E153" t="s">
        <v>414</v>
      </c>
      <c r="F153" s="4">
        <f>HLOOKUP($E$4,'9.7 Syndicats Bilan'!$F$3:$AG$226,148,0)</f>
        <v>0</v>
      </c>
    </row>
    <row r="154" spans="3:6" x14ac:dyDescent="0.25">
      <c r="F154" s="4"/>
    </row>
    <row r="155" spans="3:6" x14ac:dyDescent="0.25">
      <c r="C155" s="83">
        <v>205</v>
      </c>
      <c r="D155" s="83"/>
      <c r="E155" s="83" t="s">
        <v>256</v>
      </c>
      <c r="F155" s="84">
        <f>HLOOKUP($E$4,'9.7 Syndicats Bilan'!$F$3:$AG$226,150,0)</f>
        <v>0</v>
      </c>
    </row>
    <row r="156" spans="3:6" x14ac:dyDescent="0.25">
      <c r="D156">
        <v>2050</v>
      </c>
      <c r="E156" t="s">
        <v>415</v>
      </c>
      <c r="F156" s="4">
        <f>HLOOKUP($E$4,'9.7 Syndicats Bilan'!$F$3:$AG$226,151,0)</f>
        <v>0</v>
      </c>
    </row>
    <row r="157" spans="3:6" x14ac:dyDescent="0.25">
      <c r="D157">
        <v>2051</v>
      </c>
      <c r="E157" t="s">
        <v>416</v>
      </c>
      <c r="F157" s="4">
        <f>HLOOKUP($E$4,'9.7 Syndicats Bilan'!$F$3:$AG$226,152,0)</f>
        <v>0</v>
      </c>
    </row>
    <row r="158" spans="3:6" x14ac:dyDescent="0.25">
      <c r="D158">
        <v>2052</v>
      </c>
      <c r="E158" t="s">
        <v>417</v>
      </c>
      <c r="F158" s="4">
        <f>HLOOKUP($E$4,'9.7 Syndicats Bilan'!$F$3:$AG$226,153,0)</f>
        <v>0</v>
      </c>
    </row>
    <row r="159" spans="3:6" x14ac:dyDescent="0.25">
      <c r="D159">
        <v>2053</v>
      </c>
      <c r="E159" t="s">
        <v>421</v>
      </c>
      <c r="F159" s="4">
        <f>HLOOKUP($E$4,'9.7 Syndicats Bilan'!$F$3:$AG$226,154,0)</f>
        <v>0</v>
      </c>
    </row>
    <row r="160" spans="3:6" x14ac:dyDescent="0.25">
      <c r="D160">
        <v>2054</v>
      </c>
      <c r="E160" t="s">
        <v>419</v>
      </c>
      <c r="F160" s="4">
        <f>HLOOKUP($E$4,'9.7 Syndicats Bilan'!$F$3:$AG$226,155,0)</f>
        <v>0</v>
      </c>
    </row>
    <row r="161" spans="3:6" x14ac:dyDescent="0.25">
      <c r="D161">
        <v>2055</v>
      </c>
      <c r="E161" t="s">
        <v>418</v>
      </c>
      <c r="F161" s="4">
        <f>HLOOKUP($E$4,'9.7 Syndicats Bilan'!$F$3:$AG$226,156,0)</f>
        <v>0</v>
      </c>
    </row>
    <row r="162" spans="3:6" x14ac:dyDescent="0.25">
      <c r="D162">
        <v>2056</v>
      </c>
      <c r="E162" t="s">
        <v>420</v>
      </c>
      <c r="F162" s="4">
        <f>HLOOKUP($E$4,'9.7 Syndicats Bilan'!$F$3:$AG$226,157,0)</f>
        <v>0</v>
      </c>
    </row>
    <row r="163" spans="3:6" x14ac:dyDescent="0.25">
      <c r="D163">
        <v>2057</v>
      </c>
      <c r="E163" t="s">
        <v>422</v>
      </c>
      <c r="F163" s="4">
        <f>HLOOKUP($E$4,'9.7 Syndicats Bilan'!$F$3:$AG$226,158,0)</f>
        <v>0</v>
      </c>
    </row>
    <row r="164" spans="3:6" x14ac:dyDescent="0.25">
      <c r="D164">
        <v>2058</v>
      </c>
      <c r="E164" t="s">
        <v>423</v>
      </c>
      <c r="F164" s="4">
        <f>HLOOKUP($E$4,'9.7 Syndicats Bilan'!$F$3:$AG$226,159,0)</f>
        <v>0</v>
      </c>
    </row>
    <row r="165" spans="3:6" x14ac:dyDescent="0.25">
      <c r="D165">
        <v>2059</v>
      </c>
      <c r="E165" t="s">
        <v>424</v>
      </c>
      <c r="F165" s="4">
        <f>HLOOKUP($E$4,'9.7 Syndicats Bilan'!$F$3:$AG$226,160,0)</f>
        <v>0</v>
      </c>
    </row>
    <row r="166" spans="3:6" x14ac:dyDescent="0.25">
      <c r="F166" s="4"/>
    </row>
    <row r="167" spans="3:6" x14ac:dyDescent="0.25">
      <c r="C167" s="83">
        <v>206</v>
      </c>
      <c r="D167" s="83"/>
      <c r="E167" s="83" t="s">
        <v>257</v>
      </c>
      <c r="F167" s="84">
        <f>HLOOKUP($E$4,'9.7 Syndicats Bilan'!$F$3:$AG$226,162,0)</f>
        <v>0</v>
      </c>
    </row>
    <row r="168" spans="3:6" x14ac:dyDescent="0.25">
      <c r="D168">
        <v>2060</v>
      </c>
      <c r="E168" t="s">
        <v>425</v>
      </c>
      <c r="F168" s="4">
        <f>HLOOKUP($E$4,'9.7 Syndicats Bilan'!$F$3:$AG$226,163,0)</f>
        <v>0</v>
      </c>
    </row>
    <row r="169" spans="3:6" x14ac:dyDescent="0.25">
      <c r="D169">
        <v>2062</v>
      </c>
      <c r="E169" t="s">
        <v>426</v>
      </c>
      <c r="F169" s="4">
        <f>HLOOKUP($E$4,'9.7 Syndicats Bilan'!$F$3:$AG$226,164,0)</f>
        <v>0</v>
      </c>
    </row>
    <row r="170" spans="3:6" x14ac:dyDescent="0.25">
      <c r="D170">
        <v>2063</v>
      </c>
      <c r="E170" t="s">
        <v>427</v>
      </c>
      <c r="F170" s="4">
        <f>HLOOKUP($E$4,'9.7 Syndicats Bilan'!$F$3:$AG$226,165,0)</f>
        <v>0</v>
      </c>
    </row>
    <row r="171" spans="3:6" x14ac:dyDescent="0.25">
      <c r="D171">
        <v>2064</v>
      </c>
      <c r="E171" t="s">
        <v>448</v>
      </c>
      <c r="F171" s="4">
        <f>HLOOKUP($E$4,'9.7 Syndicats Bilan'!$F$3:$AG$226,166,0)</f>
        <v>0</v>
      </c>
    </row>
    <row r="172" spans="3:6" x14ac:dyDescent="0.25">
      <c r="D172">
        <v>2067</v>
      </c>
      <c r="E172" t="s">
        <v>429</v>
      </c>
      <c r="F172" s="4">
        <f>HLOOKUP($E$4,'9.7 Syndicats Bilan'!$F$3:$AG$226,167,0)</f>
        <v>0</v>
      </c>
    </row>
    <row r="173" spans="3:6" x14ac:dyDescent="0.25">
      <c r="D173">
        <v>2069</v>
      </c>
      <c r="E173" t="s">
        <v>430</v>
      </c>
      <c r="F173" s="4">
        <f>HLOOKUP($E$4,'9.7 Syndicats Bilan'!$F$3:$AG$226,168,0)</f>
        <v>0</v>
      </c>
    </row>
    <row r="174" spans="3:6" x14ac:dyDescent="0.25">
      <c r="F174" s="4"/>
    </row>
    <row r="175" spans="3:6" x14ac:dyDescent="0.25">
      <c r="C175" s="83">
        <v>208</v>
      </c>
      <c r="D175" s="83"/>
      <c r="E175" s="83" t="s">
        <v>258</v>
      </c>
      <c r="F175" s="84">
        <f>HLOOKUP($E$4,'9.7 Syndicats Bilan'!$F$3:$AG$226,170,0)</f>
        <v>0</v>
      </c>
    </row>
    <row r="176" spans="3:6" x14ac:dyDescent="0.25">
      <c r="D176">
        <v>2081</v>
      </c>
      <c r="E176" t="s">
        <v>431</v>
      </c>
      <c r="F176" s="4">
        <f>HLOOKUP($E$4,'9.7 Syndicats Bilan'!$F$3:$AG$226,171,0)</f>
        <v>0</v>
      </c>
    </row>
    <row r="177" spans="2:6" x14ac:dyDescent="0.25">
      <c r="D177">
        <v>2082</v>
      </c>
      <c r="E177" t="s">
        <v>432</v>
      </c>
      <c r="F177" s="4">
        <f>HLOOKUP($E$4,'9.7 Syndicats Bilan'!$F$3:$AG$226,172,0)</f>
        <v>0</v>
      </c>
    </row>
    <row r="178" spans="2:6" x14ac:dyDescent="0.25">
      <c r="D178">
        <v>2083</v>
      </c>
      <c r="E178" t="s">
        <v>433</v>
      </c>
      <c r="F178" s="4">
        <f>HLOOKUP($E$4,'9.7 Syndicats Bilan'!$F$3:$AG$226,173,0)</f>
        <v>0</v>
      </c>
    </row>
    <row r="179" spans="2:6" x14ac:dyDescent="0.25">
      <c r="D179">
        <v>2084</v>
      </c>
      <c r="E179" t="s">
        <v>434</v>
      </c>
      <c r="F179" s="4">
        <f>HLOOKUP($E$4,'9.7 Syndicats Bilan'!$F$3:$AG$226,174,0)</f>
        <v>0</v>
      </c>
    </row>
    <row r="180" spans="2:6" x14ac:dyDescent="0.25">
      <c r="D180">
        <v>2085</v>
      </c>
      <c r="E180" t="s">
        <v>436</v>
      </c>
      <c r="F180" s="4">
        <f>HLOOKUP($E$4,'9.7 Syndicats Bilan'!$F$3:$AG$226,175,0)</f>
        <v>0</v>
      </c>
    </row>
    <row r="181" spans="2:6" x14ac:dyDescent="0.25">
      <c r="D181">
        <v>2086</v>
      </c>
      <c r="E181" t="s">
        <v>435</v>
      </c>
      <c r="F181" s="4">
        <f>HLOOKUP($E$4,'9.7 Syndicats Bilan'!$F$3:$AG$226,176,0)</f>
        <v>0</v>
      </c>
    </row>
    <row r="182" spans="2:6" x14ac:dyDescent="0.25">
      <c r="D182">
        <v>2087</v>
      </c>
      <c r="E182" t="s">
        <v>437</v>
      </c>
      <c r="F182" s="4">
        <f>HLOOKUP($E$4,'9.7 Syndicats Bilan'!$F$3:$AG$226,177,0)</f>
        <v>0</v>
      </c>
    </row>
    <row r="183" spans="2:6" x14ac:dyDescent="0.25">
      <c r="D183">
        <v>2088</v>
      </c>
      <c r="E183" t="s">
        <v>438</v>
      </c>
      <c r="F183" s="4">
        <f>HLOOKUP($E$4,'9.7 Syndicats Bilan'!$F$3:$AG$226,178,0)</f>
        <v>0</v>
      </c>
    </row>
    <row r="184" spans="2:6" x14ac:dyDescent="0.25">
      <c r="D184">
        <v>2089</v>
      </c>
      <c r="E184" t="s">
        <v>439</v>
      </c>
      <c r="F184" s="4">
        <f>HLOOKUP($E$4,'9.7 Syndicats Bilan'!$F$3:$AG$226,179,0)</f>
        <v>0</v>
      </c>
    </row>
    <row r="185" spans="2:6" x14ac:dyDescent="0.25">
      <c r="F185" s="4"/>
    </row>
    <row r="186" spans="2:6" x14ac:dyDescent="0.25">
      <c r="C186" s="83">
        <v>209</v>
      </c>
      <c r="D186" s="83"/>
      <c r="E186" s="83" t="s">
        <v>259</v>
      </c>
      <c r="F186" s="84">
        <f>HLOOKUP($E$4,'9.7 Syndicats Bilan'!$F$3:$AG$226,181,0)</f>
        <v>0</v>
      </c>
    </row>
    <row r="187" spans="2:6" x14ac:dyDescent="0.25">
      <c r="D187">
        <v>2090</v>
      </c>
      <c r="E187" t="s">
        <v>259</v>
      </c>
      <c r="F187" s="4">
        <f>HLOOKUP($E$4,'9.7 Syndicats Bilan'!$F$3:$AG$226,182,0)</f>
        <v>0</v>
      </c>
    </row>
    <row r="188" spans="2:6" x14ac:dyDescent="0.25">
      <c r="D188">
        <v>2091</v>
      </c>
      <c r="E188" t="s">
        <v>440</v>
      </c>
      <c r="F188" s="4">
        <f>HLOOKUP($E$4,'9.7 Syndicats Bilan'!$F$3:$AG$226,183,0)</f>
        <v>0</v>
      </c>
    </row>
    <row r="189" spans="2:6" x14ac:dyDescent="0.25">
      <c r="D189">
        <v>2092</v>
      </c>
      <c r="E189" t="s">
        <v>441</v>
      </c>
      <c r="F189" s="4">
        <f>HLOOKUP($E$4,'9.7 Syndicats Bilan'!$F$3:$AG$226,184,0)</f>
        <v>0</v>
      </c>
    </row>
    <row r="190" spans="2:6" x14ac:dyDescent="0.25">
      <c r="D190">
        <v>2093</v>
      </c>
      <c r="E190" t="s">
        <v>442</v>
      </c>
      <c r="F190" s="4">
        <f>HLOOKUP($E$4,'9.7 Syndicats Bilan'!$F$3:$AG$226,185,0)</f>
        <v>0</v>
      </c>
    </row>
    <row r="191" spans="2:6" x14ac:dyDescent="0.25">
      <c r="F191" s="4"/>
    </row>
    <row r="192" spans="2:6" x14ac:dyDescent="0.25">
      <c r="B192" s="85">
        <v>29</v>
      </c>
      <c r="C192" s="85"/>
      <c r="D192" s="85"/>
      <c r="E192" s="85" t="s">
        <v>260</v>
      </c>
      <c r="F192" s="86">
        <f>HLOOKUP($E$4,'9.7 Syndicats Bilan'!$F$3:$AG$226,187,0)</f>
        <v>14039365.43</v>
      </c>
    </row>
    <row r="193" spans="3:6" x14ac:dyDescent="0.25">
      <c r="C193" s="83">
        <v>290</v>
      </c>
      <c r="D193" s="83"/>
      <c r="E193" s="83" t="s">
        <v>261</v>
      </c>
      <c r="F193" s="84">
        <f>HLOOKUP($E$4,'9.7 Syndicats Bilan'!$F$3:$AG$226,188,0)</f>
        <v>0</v>
      </c>
    </row>
    <row r="194" spans="3:6" x14ac:dyDescent="0.25">
      <c r="D194">
        <v>2900</v>
      </c>
      <c r="E194" t="s">
        <v>261</v>
      </c>
      <c r="F194" s="4">
        <f>HLOOKUP($E$4,'9.7 Syndicats Bilan'!$F$3:$AG$226,189,0)</f>
        <v>0</v>
      </c>
    </row>
    <row r="195" spans="3:6" x14ac:dyDescent="0.25">
      <c r="F195" s="4"/>
    </row>
    <row r="196" spans="3:6" x14ac:dyDescent="0.25">
      <c r="C196" s="83">
        <v>291</v>
      </c>
      <c r="D196" s="83"/>
      <c r="E196" s="83" t="s">
        <v>262</v>
      </c>
      <c r="F196" s="84">
        <f>HLOOKUP($E$4,'9.7 Syndicats Bilan'!$F$3:$AG$226,191,0)</f>
        <v>0</v>
      </c>
    </row>
    <row r="197" spans="3:6" x14ac:dyDescent="0.25">
      <c r="D197">
        <v>2910</v>
      </c>
      <c r="E197" t="s">
        <v>262</v>
      </c>
      <c r="F197" s="4">
        <f>HLOOKUP($E$4,'9.7 Syndicats Bilan'!$F$3:$AG$226,192,0)</f>
        <v>0</v>
      </c>
    </row>
    <row r="198" spans="3:6" x14ac:dyDescent="0.25">
      <c r="D198">
        <v>2911</v>
      </c>
      <c r="E198" t="s">
        <v>443</v>
      </c>
      <c r="F198" s="4">
        <f>HLOOKUP($E$4,'9.7 Syndicats Bilan'!$F$3:$AG$226,193,0)</f>
        <v>0</v>
      </c>
    </row>
    <row r="199" spans="3:6" x14ac:dyDescent="0.25">
      <c r="F199" s="4"/>
    </row>
    <row r="200" spans="3:6" x14ac:dyDescent="0.25">
      <c r="C200" s="83">
        <v>292</v>
      </c>
      <c r="D200" s="83"/>
      <c r="E200" s="83" t="s">
        <v>263</v>
      </c>
      <c r="F200" s="84">
        <f>HLOOKUP($E$4,'9.7 Syndicats Bilan'!$F$3:$AG$226,195,0)</f>
        <v>0</v>
      </c>
    </row>
    <row r="201" spans="3:6" x14ac:dyDescent="0.25">
      <c r="D201">
        <v>2920</v>
      </c>
      <c r="E201" t="s">
        <v>263</v>
      </c>
      <c r="F201" s="4">
        <f>HLOOKUP($E$4,'9.7 Syndicats Bilan'!$F$3:$AG$226,196,0)</f>
        <v>0</v>
      </c>
    </row>
    <row r="202" spans="3:6" x14ac:dyDescent="0.25">
      <c r="F202" s="4"/>
    </row>
    <row r="203" spans="3:6" x14ac:dyDescent="0.25">
      <c r="C203" s="83">
        <v>293</v>
      </c>
      <c r="D203" s="83"/>
      <c r="E203" s="83" t="s">
        <v>264</v>
      </c>
      <c r="F203" s="84">
        <f>HLOOKUP($E$4,'9.7 Syndicats Bilan'!$F$3:$AG$226,198,0)</f>
        <v>13048948.65</v>
      </c>
    </row>
    <row r="204" spans="3:6" x14ac:dyDescent="0.25">
      <c r="D204">
        <v>2930</v>
      </c>
      <c r="E204" t="s">
        <v>264</v>
      </c>
      <c r="F204" s="4">
        <f>HLOOKUP($E$4,'9.7 Syndicats Bilan'!$F$3:$AG$226,199,0)</f>
        <v>13048948.65</v>
      </c>
    </row>
    <row r="205" spans="3:6" x14ac:dyDescent="0.25">
      <c r="F205" s="4"/>
    </row>
    <row r="206" spans="3:6" x14ac:dyDescent="0.25">
      <c r="C206" s="83">
        <v>294</v>
      </c>
      <c r="D206" s="83"/>
      <c r="E206" s="83" t="s">
        <v>265</v>
      </c>
      <c r="F206" s="84">
        <f>HLOOKUP($E$4,'9.7 Syndicats Bilan'!$F$3:$AG$226,201,0)</f>
        <v>141113.85999999999</v>
      </c>
    </row>
    <row r="207" spans="3:6" x14ac:dyDescent="0.25">
      <c r="D207">
        <v>2940</v>
      </c>
      <c r="E207" t="s">
        <v>265</v>
      </c>
      <c r="F207" s="4">
        <f>HLOOKUP($E$4,'9.7 Syndicats Bilan'!$F$3:$AG$226,202,0)</f>
        <v>141113.85999999999</v>
      </c>
    </row>
    <row r="208" spans="3:6" x14ac:dyDescent="0.25">
      <c r="F208" s="4"/>
    </row>
    <row r="209" spans="3:6" x14ac:dyDescent="0.25">
      <c r="C209" s="83">
        <v>295</v>
      </c>
      <c r="D209" s="83"/>
      <c r="E209" s="83" t="s">
        <v>266</v>
      </c>
      <c r="F209" s="84">
        <f>HLOOKUP($E$4,'9.7 Syndicats Bilan'!$F$3:$AG$226,204,0)</f>
        <v>0</v>
      </c>
    </row>
    <row r="210" spans="3:6" x14ac:dyDescent="0.25">
      <c r="D210">
        <v>2950</v>
      </c>
      <c r="E210" t="s">
        <v>266</v>
      </c>
      <c r="F210" s="4">
        <f>HLOOKUP($E$4,'9.7 Syndicats Bilan'!$F$3:$AG$226,205,0)</f>
        <v>0</v>
      </c>
    </row>
    <row r="211" spans="3:6" x14ac:dyDescent="0.25">
      <c r="F211" s="4"/>
    </row>
    <row r="212" spans="3:6" x14ac:dyDescent="0.25">
      <c r="C212" s="83">
        <v>296</v>
      </c>
      <c r="D212" s="83"/>
      <c r="E212" s="83" t="s">
        <v>267</v>
      </c>
      <c r="F212" s="84">
        <f>HLOOKUP($E$4,'9.7 Syndicats Bilan'!$F$3:$AG$226,207,0)</f>
        <v>0</v>
      </c>
    </row>
    <row r="213" spans="3:6" x14ac:dyDescent="0.25">
      <c r="D213">
        <v>2960</v>
      </c>
      <c r="E213" t="s">
        <v>267</v>
      </c>
      <c r="F213" s="4">
        <f>HLOOKUP($E$4,'9.7 Syndicats Bilan'!$F$3:$AG$226,208,0)</f>
        <v>0</v>
      </c>
    </row>
    <row r="214" spans="3:6" x14ac:dyDescent="0.25">
      <c r="F214" s="4"/>
    </row>
    <row r="215" spans="3:6" x14ac:dyDescent="0.25">
      <c r="C215" s="83">
        <v>298</v>
      </c>
      <c r="D215" s="83"/>
      <c r="E215" s="83" t="s">
        <v>268</v>
      </c>
      <c r="F215" s="84">
        <f>HLOOKUP($E$4,'9.7 Syndicats Bilan'!$F$3:$AG$226,210,0)</f>
        <v>0</v>
      </c>
    </row>
    <row r="216" spans="3:6" x14ac:dyDescent="0.25">
      <c r="D216">
        <v>2980</v>
      </c>
      <c r="E216" t="s">
        <v>268</v>
      </c>
      <c r="F216" s="4">
        <f>HLOOKUP($E$4,'9.7 Syndicats Bilan'!$F$3:$AG$226,211,0)</f>
        <v>0</v>
      </c>
    </row>
    <row r="217" spans="3:6" x14ac:dyDescent="0.25">
      <c r="F217" s="4"/>
    </row>
    <row r="218" spans="3:6" x14ac:dyDescent="0.25">
      <c r="C218" s="83">
        <v>299</v>
      </c>
      <c r="D218" s="83"/>
      <c r="E218" s="83" t="s">
        <v>444</v>
      </c>
      <c r="F218" s="84">
        <f>HLOOKUP($E$4,'9.7 Syndicats Bilan'!$F$3:$AG$226,213,0)</f>
        <v>849302.91999999993</v>
      </c>
    </row>
    <row r="219" spans="3:6" x14ac:dyDescent="0.25">
      <c r="D219">
        <v>2990</v>
      </c>
      <c r="E219" t="s">
        <v>444</v>
      </c>
      <c r="F219" s="4">
        <f>HLOOKUP($E$4,'9.7 Syndicats Bilan'!$F$3:$AG$226,214,0)</f>
        <v>144824.95999999999</v>
      </c>
    </row>
    <row r="220" spans="3:6" x14ac:dyDescent="0.25">
      <c r="D220">
        <v>2999</v>
      </c>
      <c r="E220" t="s">
        <v>582</v>
      </c>
      <c r="F220" s="4">
        <f>HLOOKUP($E$4,'9.7 Syndicats Bilan'!$F$3:$AG$226,215,0)</f>
        <v>704477.96</v>
      </c>
    </row>
    <row r="221" spans="3:6" x14ac:dyDescent="0.25">
      <c r="F221" s="4"/>
    </row>
    <row r="222" spans="3:6" x14ac:dyDescent="0.25">
      <c r="C222" s="160"/>
      <c r="D222" s="160"/>
      <c r="E222" s="160" t="s">
        <v>587</v>
      </c>
      <c r="F222" s="178">
        <f>HLOOKUP($E$4,'9.7 Syndicats Bilan'!$F$3:$AG$226,217,0)</f>
        <v>0</v>
      </c>
    </row>
    <row r="223" spans="3:6" x14ac:dyDescent="0.25">
      <c r="D223">
        <v>290</v>
      </c>
      <c r="E223" t="s">
        <v>586</v>
      </c>
      <c r="F223" s="4">
        <f>HLOOKUP($E$4,'9.7 Syndicats Bilan'!$F$3:$AG$226,218,0)</f>
        <v>144824.95999999999</v>
      </c>
    </row>
    <row r="224" spans="3:6" x14ac:dyDescent="0.25">
      <c r="D224">
        <v>2990</v>
      </c>
      <c r="E224" t="s">
        <v>590</v>
      </c>
      <c r="F224" s="4">
        <f>HLOOKUP($E$4,'9.7 Syndicats Bilan'!$F$3:$AG$226,219,0)</f>
        <v>144824.95999999999</v>
      </c>
    </row>
    <row r="225" spans="5:6" x14ac:dyDescent="0.25">
      <c r="F225" s="4"/>
    </row>
    <row r="226" spans="5:6" x14ac:dyDescent="0.25">
      <c r="E226" s="7" t="s">
        <v>589</v>
      </c>
      <c r="F226" s="4">
        <f>HLOOKUP($E$4,'9.7 Syndicats Bilan'!$F$3:$AG$226,221,0)</f>
        <v>289649.91999999998</v>
      </c>
    </row>
    <row r="227" spans="5:6" x14ac:dyDescent="0.25">
      <c r="F227" s="4"/>
    </row>
    <row r="228" spans="5:6" x14ac:dyDescent="0.25">
      <c r="E228" s="60" t="s">
        <v>588</v>
      </c>
      <c r="F228" s="4">
        <f>HLOOKUP($E$4,'9.7 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7" workbookViewId="0">
      <selection activeCell="D47" sqref="D47"/>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A2" sqref="A2"/>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'9.7 Syndicats Bilan'!F5</f>
        <v>198502.62000000002</v>
      </c>
      <c r="D7" s="101">
        <f>'9.7 Syndicats Bilan'!G5</f>
        <v>3568204.0599999996</v>
      </c>
      <c r="E7" s="101">
        <f>'9.7 Syndicats Bilan'!H5</f>
        <v>218365.75</v>
      </c>
      <c r="F7" s="101">
        <f>'9.7 Syndicats Bilan'!I5</f>
        <v>7706245.8399999999</v>
      </c>
      <c r="G7" s="101">
        <f>'9.7 Syndicats Bilan'!J5</f>
        <v>933919.45000000007</v>
      </c>
      <c r="H7" s="101">
        <f>'9.7 Syndicats Bilan'!K5</f>
        <v>286341.36</v>
      </c>
      <c r="I7" s="101">
        <f>'9.7 Syndicats Bilan'!L5</f>
        <v>429594.01</v>
      </c>
      <c r="J7" s="101">
        <f>'9.7 Syndicats Bilan'!M5</f>
        <v>1390414.1199999999</v>
      </c>
      <c r="K7" s="101">
        <f>'9.7 Syndicats Bilan'!N5</f>
        <v>98110.300000000017</v>
      </c>
      <c r="L7" s="101">
        <f>'9.7 Syndicats Bilan'!O5</f>
        <v>149290.84</v>
      </c>
      <c r="M7" s="101">
        <f>'9.7 Syndicats Bilan'!P5</f>
        <v>8995733.7799999993</v>
      </c>
      <c r="N7" s="101">
        <f>'9.7 Syndicats Bilan'!Q5</f>
        <v>40453.33</v>
      </c>
      <c r="O7" s="101">
        <f>'9.7 Syndicats Bilan'!R5</f>
        <v>6637.19</v>
      </c>
      <c r="P7" s="101">
        <f>'9.7 Syndicats Bilan'!S5</f>
        <v>43617.55</v>
      </c>
      <c r="Q7" s="101">
        <f>'9.7 Syndicats Bilan'!T5</f>
        <v>5669.75</v>
      </c>
      <c r="R7" s="101">
        <f>'9.7 Syndicats Bilan'!U5</f>
        <v>0</v>
      </c>
      <c r="S7" s="101">
        <f>'9.7 Syndicats Bilan'!V5</f>
        <v>264343.56</v>
      </c>
      <c r="T7" s="101">
        <f>'9.7 Syndicats Bilan'!W5</f>
        <v>16672.11</v>
      </c>
      <c r="U7" s="101">
        <f>'9.7 Syndicats Bilan'!X5</f>
        <v>33899.65</v>
      </c>
      <c r="V7" s="101">
        <f>'9.7 Syndicats Bilan'!Y5</f>
        <v>2858861.27</v>
      </c>
      <c r="W7" s="101">
        <f>'9.7 Syndicats Bilan'!Z5</f>
        <v>2710551.7699999996</v>
      </c>
      <c r="X7" s="101">
        <f>'9.7 Syndicats Bilan'!AA5</f>
        <v>336129.13</v>
      </c>
      <c r="Y7" s="101">
        <f>'9.7 Syndicats Bilan'!AB5</f>
        <v>1791515.2</v>
      </c>
      <c r="Z7" s="101">
        <f>'9.7 Syndicats Bilan'!AC5</f>
        <v>0</v>
      </c>
      <c r="AA7" s="101">
        <f>'9.7 Syndicats Bilan'!AD5</f>
        <v>150475.90000000002</v>
      </c>
      <c r="AB7" s="101">
        <f>'9.7 Syndicats Bilan'!AE5</f>
        <v>590901.02</v>
      </c>
      <c r="AC7" s="101">
        <f>'9.7 Syndicats Bilan'!AF5</f>
        <v>751902.5</v>
      </c>
      <c r="AD7" s="101">
        <f>SUM(C7:AC7)</f>
        <v>33576352.059999987</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'9.7 Syndicats Bilan'!F121</f>
        <v>1462265.3599999999</v>
      </c>
      <c r="D9" s="101">
        <f>'9.7 Syndicats Bilan'!G121</f>
        <v>741238.91999999993</v>
      </c>
      <c r="E9" s="101">
        <f>'9.7 Syndicats Bilan'!H121</f>
        <v>23955.599999999999</v>
      </c>
      <c r="F9" s="101">
        <f>'9.7 Syndicats Bilan'!I121</f>
        <v>2167339.5</v>
      </c>
      <c r="G9" s="101">
        <f>'9.7 Syndicats Bilan'!J121</f>
        <v>933919.45</v>
      </c>
      <c r="H9" s="101">
        <f>'9.7 Syndicats Bilan'!K121</f>
        <v>2645497.8600000003</v>
      </c>
      <c r="I9" s="101">
        <f>'9.7 Syndicats Bilan'!L121</f>
        <v>925444.01</v>
      </c>
      <c r="J9" s="101">
        <f>'9.7 Syndicats Bilan'!M121</f>
        <v>4636516.55</v>
      </c>
      <c r="K9" s="101">
        <f>'9.7 Syndicats Bilan'!N121</f>
        <v>98110.3</v>
      </c>
      <c r="L9" s="101">
        <f>'9.7 Syndicats Bilan'!O121</f>
        <v>21949.600000000002</v>
      </c>
      <c r="M9" s="101">
        <f>'9.7 Syndicats Bilan'!P121</f>
        <v>243896.25</v>
      </c>
      <c r="N9" s="101">
        <f>'9.7 Syndicats Bilan'!Q121</f>
        <v>112.5</v>
      </c>
      <c r="O9" s="101">
        <f>'9.7 Syndicats Bilan'!R121</f>
        <v>28866.6</v>
      </c>
      <c r="P9" s="101">
        <f>'9.7 Syndicats Bilan'!S121</f>
        <v>-527.45000000000005</v>
      </c>
      <c r="Q9" s="101">
        <f>'9.7 Syndicats Bilan'!T121</f>
        <v>0</v>
      </c>
      <c r="R9" s="101">
        <f>'9.7 Syndicats Bilan'!U121</f>
        <v>0</v>
      </c>
      <c r="S9" s="101">
        <f>'9.7 Syndicats Bilan'!V121</f>
        <v>1741610.74</v>
      </c>
      <c r="T9" s="101">
        <f>'9.7 Syndicats Bilan'!W121</f>
        <v>1389527.95</v>
      </c>
      <c r="U9" s="101">
        <f>'9.7 Syndicats Bilan'!X121</f>
        <v>7234.75</v>
      </c>
      <c r="V9" s="101">
        <f>'9.7 Syndicats Bilan'!Y121</f>
        <v>456154.74</v>
      </c>
      <c r="W9" s="101">
        <f>'9.7 Syndicats Bilan'!Z121</f>
        <v>23135009.859999999</v>
      </c>
      <c r="X9" s="101">
        <f>'9.7 Syndicats Bilan'!AA121</f>
        <v>1535460.6</v>
      </c>
      <c r="Y9" s="101">
        <f>'9.7 Syndicats Bilan'!AB121</f>
        <v>1660293.72</v>
      </c>
      <c r="Z9" s="101">
        <f>'9.7 Syndicats Bilan'!AC121</f>
        <v>0</v>
      </c>
      <c r="AA9" s="101">
        <f>'9.7 Syndicats Bilan'!AD121</f>
        <v>150475.9</v>
      </c>
      <c r="AB9" s="101">
        <f>'9.7 Syndicats Bilan'!AE121</f>
        <v>8282724.4900000002</v>
      </c>
      <c r="AC9" s="101">
        <f>'9.7 Syndicats Bilan'!AF121</f>
        <v>289792.8</v>
      </c>
      <c r="AD9" s="101">
        <f>SUM(C9:AC9)</f>
        <v>52576870.600000001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'9.7 Syndicats Bilan'!F122</f>
        <v>81088.509999999995</v>
      </c>
      <c r="D11" s="101">
        <f>'9.7 Syndicats Bilan'!G122</f>
        <v>643656.85</v>
      </c>
      <c r="E11" s="101">
        <f>'9.7 Syndicats Bilan'!H122</f>
        <v>0</v>
      </c>
      <c r="F11" s="101">
        <f>'9.7 Syndicats Bilan'!I122</f>
        <v>2167339.5</v>
      </c>
      <c r="G11" s="101">
        <f>'9.7 Syndicats Bilan'!J122</f>
        <v>11119.45</v>
      </c>
      <c r="H11" s="101">
        <f>'9.7 Syndicats Bilan'!K122</f>
        <v>128850.46</v>
      </c>
      <c r="I11" s="101">
        <f>'9.7 Syndicats Bilan'!L122</f>
        <v>409825.01</v>
      </c>
      <c r="J11" s="101">
        <f>'9.7 Syndicats Bilan'!M122</f>
        <v>78717.89</v>
      </c>
      <c r="K11" s="101">
        <f>'9.7 Syndicats Bilan'!N122</f>
        <v>13878.95</v>
      </c>
      <c r="L11" s="101">
        <f>'9.7 Syndicats Bilan'!O122</f>
        <v>0</v>
      </c>
      <c r="M11" s="101">
        <f>'9.7 Syndicats Bilan'!P122</f>
        <v>240460.95</v>
      </c>
      <c r="N11" s="101">
        <f>'9.7 Syndicats Bilan'!Q122</f>
        <v>112.5</v>
      </c>
      <c r="O11" s="101">
        <f>'9.7 Syndicats Bilan'!R122</f>
        <v>0</v>
      </c>
      <c r="P11" s="101">
        <f>'9.7 Syndicats Bilan'!S122</f>
        <v>0</v>
      </c>
      <c r="Q11" s="101">
        <f>'9.7 Syndicats Bilan'!T122</f>
        <v>0</v>
      </c>
      <c r="R11" s="101">
        <f>'9.7 Syndicats Bilan'!U122</f>
        <v>0</v>
      </c>
      <c r="S11" s="101">
        <f>'9.7 Syndicats Bilan'!V122</f>
        <v>15810.74</v>
      </c>
      <c r="T11" s="101">
        <f>'9.7 Syndicats Bilan'!W122</f>
        <v>0</v>
      </c>
      <c r="U11" s="101">
        <f>'9.7 Syndicats Bilan'!X122</f>
        <v>7234.75</v>
      </c>
      <c r="V11" s="101">
        <f>'9.7 Syndicats Bilan'!Y122</f>
        <v>51842.19</v>
      </c>
      <c r="W11" s="101">
        <f>'9.7 Syndicats Bilan'!Z122</f>
        <v>1160284.69</v>
      </c>
      <c r="X11" s="101">
        <f>'9.7 Syndicats Bilan'!AA122</f>
        <v>0</v>
      </c>
      <c r="Y11" s="101">
        <f>'9.7 Syndicats Bilan'!AB122</f>
        <v>118497.67</v>
      </c>
      <c r="Z11" s="101">
        <f>'9.7 Syndicats Bilan'!AC122</f>
        <v>0</v>
      </c>
      <c r="AA11" s="101">
        <f>'9.7 Syndicats Bilan'!AD122</f>
        <v>0</v>
      </c>
      <c r="AB11" s="101">
        <f>'9.7 Syndicats Bilan'!AE122</f>
        <v>230085.49</v>
      </c>
      <c r="AC11" s="101">
        <f>'9.7 Syndicats Bilan'!AF122</f>
        <v>0</v>
      </c>
      <c r="AD11" s="101">
        <f>SUM(C11:AC11)</f>
        <v>5358805.6000000015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'9.7 Syndicats Bilan'!F132</f>
        <v>0</v>
      </c>
      <c r="D13" s="101">
        <f>'9.7 Syndicats Bilan'!G132</f>
        <v>0</v>
      </c>
      <c r="E13" s="101">
        <f>'9.7 Syndicats Bilan'!H132</f>
        <v>0</v>
      </c>
      <c r="F13" s="101">
        <f>'9.7 Syndicats Bilan'!I132</f>
        <v>0</v>
      </c>
      <c r="G13" s="101">
        <f>'9.7 Syndicats Bilan'!J132</f>
        <v>0</v>
      </c>
      <c r="H13" s="101">
        <f>'9.7 Syndicats Bilan'!K132</f>
        <v>317920</v>
      </c>
      <c r="I13" s="101">
        <f>'9.7 Syndicats Bilan'!L132</f>
        <v>0</v>
      </c>
      <c r="J13" s="101">
        <f>'9.7 Syndicats Bilan'!M132</f>
        <v>923798.66</v>
      </c>
      <c r="K13" s="101">
        <f>'9.7 Syndicats Bilan'!N132</f>
        <v>0</v>
      </c>
      <c r="L13" s="101">
        <f>'9.7 Syndicats Bilan'!O132</f>
        <v>0</v>
      </c>
      <c r="M13" s="101">
        <f>'9.7 Syndicats Bilan'!P132</f>
        <v>0</v>
      </c>
      <c r="N13" s="101">
        <f>'9.7 Syndicats Bilan'!Q132</f>
        <v>0</v>
      </c>
      <c r="O13" s="101">
        <f>'9.7 Syndicats Bilan'!R132</f>
        <v>0</v>
      </c>
      <c r="P13" s="101">
        <f>'9.7 Syndicats Bilan'!S132</f>
        <v>0</v>
      </c>
      <c r="Q13" s="101">
        <f>'9.7 Syndicats Bilan'!T132</f>
        <v>0</v>
      </c>
      <c r="R13" s="101">
        <f>'9.7 Syndicats Bilan'!U132</f>
        <v>0</v>
      </c>
      <c r="S13" s="101">
        <f>'9.7 Syndicats Bilan'!V132</f>
        <v>0</v>
      </c>
      <c r="T13" s="101">
        <f>'9.7 Syndicats Bilan'!W132</f>
        <v>889527.95</v>
      </c>
      <c r="U13" s="101">
        <f>'9.7 Syndicats Bilan'!X132</f>
        <v>0</v>
      </c>
      <c r="V13" s="101">
        <f>'9.7 Syndicats Bilan'!Y132</f>
        <v>105040</v>
      </c>
      <c r="W13" s="101">
        <f>'9.7 Syndicats Bilan'!Z132</f>
        <v>8113844.4199999999</v>
      </c>
      <c r="X13" s="101">
        <f>'9.7 Syndicats Bilan'!AA132</f>
        <v>0</v>
      </c>
      <c r="Y13" s="101">
        <f>'9.7 Syndicats Bilan'!AB132</f>
        <v>132500</v>
      </c>
      <c r="Z13" s="101">
        <f>'9.7 Syndicats Bilan'!AC132</f>
        <v>0</v>
      </c>
      <c r="AA13" s="101">
        <f>'9.7 Syndicats Bilan'!AD132</f>
        <v>0</v>
      </c>
      <c r="AB13" s="101">
        <f>'9.7 Syndicats Bilan'!AE132</f>
        <v>450000</v>
      </c>
      <c r="AC13" s="101">
        <f>'9.7 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'9.7 Syndicats Bilan'!F164</f>
        <v>1306100</v>
      </c>
      <c r="D15" s="101">
        <f>'9.7 Syndicats Bilan'!G164</f>
        <v>0</v>
      </c>
      <c r="E15" s="101">
        <f>'9.7 Syndicats Bilan'!H164</f>
        <v>20300</v>
      </c>
      <c r="F15" s="101">
        <f>'9.7 Syndicats Bilan'!I164</f>
        <v>0</v>
      </c>
      <c r="G15" s="101">
        <f>'9.7 Syndicats Bilan'!J164</f>
        <v>922800</v>
      </c>
      <c r="H15" s="101">
        <f>'9.7 Syndicats Bilan'!K164</f>
        <v>2171450.2000000002</v>
      </c>
      <c r="I15" s="101">
        <f>'9.7 Syndicats Bilan'!L164</f>
        <v>500000</v>
      </c>
      <c r="J15" s="101">
        <f>'9.7 Syndicats Bilan'!M164</f>
        <v>3634000</v>
      </c>
      <c r="K15" s="101">
        <f>'9.7 Syndicats Bilan'!N164</f>
        <v>0</v>
      </c>
      <c r="L15" s="101">
        <f>'9.7 Syndicats Bilan'!O164</f>
        <v>0</v>
      </c>
      <c r="M15" s="101">
        <f>'9.7 Syndicats Bilan'!P164</f>
        <v>0</v>
      </c>
      <c r="N15" s="101">
        <f>'9.7 Syndicats Bilan'!Q164</f>
        <v>0</v>
      </c>
      <c r="O15" s="101">
        <f>'9.7 Syndicats Bilan'!R164</f>
        <v>24800</v>
      </c>
      <c r="P15" s="101">
        <f>'9.7 Syndicats Bilan'!S164</f>
        <v>0</v>
      </c>
      <c r="Q15" s="101">
        <f>'9.7 Syndicats Bilan'!T164</f>
        <v>0</v>
      </c>
      <c r="R15" s="101">
        <f>'9.7 Syndicats Bilan'!U164</f>
        <v>0</v>
      </c>
      <c r="S15" s="101">
        <f>'9.7 Syndicats Bilan'!V164</f>
        <v>1725000</v>
      </c>
      <c r="T15" s="101">
        <f>'9.7 Syndicats Bilan'!W164</f>
        <v>500000</v>
      </c>
      <c r="U15" s="101">
        <f>'9.7 Syndicats Bilan'!X164</f>
        <v>0</v>
      </c>
      <c r="V15" s="101">
        <f>'9.7 Syndicats Bilan'!Y164</f>
        <v>275799.32</v>
      </c>
      <c r="W15" s="101">
        <f>'9.7 Syndicats Bilan'!Z164</f>
        <v>13618600</v>
      </c>
      <c r="X15" s="101">
        <f>'9.7 Syndicats Bilan'!AA164</f>
        <v>1390300</v>
      </c>
      <c r="Y15" s="101">
        <f>'9.7 Syndicats Bilan'!AB164</f>
        <v>1378500</v>
      </c>
      <c r="Z15" s="101">
        <f>'9.7 Syndicats Bilan'!AC164</f>
        <v>0</v>
      </c>
      <c r="AA15" s="101">
        <f>'9.7 Syndicats Bilan'!AD164</f>
        <v>0</v>
      </c>
      <c r="AB15" s="101">
        <f>'9.7 Syndicats Bilan'!AE164</f>
        <v>7600000</v>
      </c>
      <c r="AC15" s="101">
        <f>'9.7 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'9.7 Syndicats Bilan'!F139</f>
        <v>0</v>
      </c>
      <c r="D17" s="101">
        <f>'9.7 Syndicats Bilan'!G139</f>
        <v>0</v>
      </c>
      <c r="E17" s="101">
        <f>'9.7 Syndicats Bilan'!H139</f>
        <v>0</v>
      </c>
      <c r="F17" s="101">
        <f>'9.7 Syndicats Bilan'!I139</f>
        <v>0</v>
      </c>
      <c r="G17" s="101">
        <f>'9.7 Syndicats Bilan'!J139</f>
        <v>0</v>
      </c>
      <c r="H17" s="101">
        <f>'9.7 Syndicats Bilan'!K139</f>
        <v>0</v>
      </c>
      <c r="I17" s="101">
        <f>'9.7 Syndicats Bilan'!L139</f>
        <v>0</v>
      </c>
      <c r="J17" s="101">
        <f>'9.7 Syndicats Bilan'!M139</f>
        <v>0</v>
      </c>
      <c r="K17" s="101">
        <f>'9.7 Syndicats Bilan'!N139</f>
        <v>0</v>
      </c>
      <c r="L17" s="101">
        <f>'9.7 Syndicats Bilan'!O139</f>
        <v>0</v>
      </c>
      <c r="M17" s="101">
        <f>'9.7 Syndicats Bilan'!P139</f>
        <v>0</v>
      </c>
      <c r="N17" s="101">
        <f>'9.7 Syndicats Bilan'!Q139</f>
        <v>0</v>
      </c>
      <c r="O17" s="101">
        <f>'9.7 Syndicats Bilan'!R139</f>
        <v>0</v>
      </c>
      <c r="P17" s="101">
        <f>'9.7 Syndicats Bilan'!S139</f>
        <v>0</v>
      </c>
      <c r="Q17" s="101">
        <f>'9.7 Syndicats Bilan'!T139</f>
        <v>0</v>
      </c>
      <c r="R17" s="101">
        <f>'9.7 Syndicats Bilan'!U139</f>
        <v>0</v>
      </c>
      <c r="S17" s="101">
        <f>'9.7 Syndicats Bilan'!V139</f>
        <v>0</v>
      </c>
      <c r="T17" s="101">
        <f>'9.7 Syndicats Bilan'!W139</f>
        <v>0</v>
      </c>
      <c r="U17" s="101">
        <f>'9.7 Syndicats Bilan'!X139</f>
        <v>0</v>
      </c>
      <c r="V17" s="101">
        <f>'9.7 Syndicats Bilan'!Y139</f>
        <v>0</v>
      </c>
      <c r="W17" s="101">
        <f>'9.7 Syndicats Bilan'!Z139</f>
        <v>0</v>
      </c>
      <c r="X17" s="101">
        <f>'9.7 Syndicats Bilan'!AA139</f>
        <v>0</v>
      </c>
      <c r="Y17" s="101">
        <f>'9.7 Syndicats Bilan'!AB139</f>
        <v>0</v>
      </c>
      <c r="Z17" s="101">
        <f>'9.7 Syndicats Bilan'!AC139</f>
        <v>0</v>
      </c>
      <c r="AA17" s="101">
        <f>'9.7 Syndicats Bilan'!AD139</f>
        <v>0</v>
      </c>
      <c r="AB17" s="101">
        <f>'9.7 Syndicats Bilan'!AE139</f>
        <v>0</v>
      </c>
      <c r="AC17" s="101">
        <f>'9.7 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112.5</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51359086.149999999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B9" sqref="B9"/>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s="60" t="s">
        <v>828</v>
      </c>
    </row>
    <row r="4" spans="1:3" ht="15" customHeight="1" thickBot="1" x14ac:dyDescent="0.45">
      <c r="A4" s="42"/>
      <c r="B4" s="179" t="s">
        <v>811</v>
      </c>
    </row>
    <row r="5" spans="1:3" ht="15" customHeight="1" x14ac:dyDescent="0.25">
      <c r="C5" s="65"/>
    </row>
    <row r="6" spans="1:3" ht="15" customHeight="1" x14ac:dyDescent="0.25">
      <c r="C6" s="182" t="s">
        <v>202</v>
      </c>
    </row>
    <row r="7" spans="1:3" x14ac:dyDescent="0.25">
      <c r="A7" s="67">
        <v>10</v>
      </c>
      <c r="B7" s="67" t="s">
        <v>240</v>
      </c>
      <c r="C7" s="4">
        <f>HLOOKUP($B$4,'9.9 Syndicats endettement'!C6:AD23,2,0)</f>
        <v>40453.33</v>
      </c>
    </row>
    <row r="8" spans="1:3" x14ac:dyDescent="0.25">
      <c r="A8" s="67"/>
      <c r="B8" s="67"/>
      <c r="C8" s="4"/>
    </row>
    <row r="9" spans="1:3" x14ac:dyDescent="0.25">
      <c r="A9" s="67">
        <v>20</v>
      </c>
      <c r="B9" s="67" t="s">
        <v>252</v>
      </c>
      <c r="C9" s="4">
        <f>HLOOKUP($B$4,'9.9 Syndicats endettement'!$C$6:$AD$20,4,0)</f>
        <v>112.5</v>
      </c>
    </row>
    <row r="10" spans="1:3" x14ac:dyDescent="0.25">
      <c r="A10" s="67"/>
      <c r="B10" s="67"/>
      <c r="C10" s="4"/>
    </row>
    <row r="11" spans="1:3" x14ac:dyDescent="0.25">
      <c r="A11" s="67">
        <v>200</v>
      </c>
      <c r="B11" s="67" t="s">
        <v>451</v>
      </c>
      <c r="C11" s="4">
        <f>HLOOKUP($B$4,'9.9 Syndicats endettement'!$C$6:$AD$20,6,0)</f>
        <v>112.5</v>
      </c>
    </row>
    <row r="12" spans="1:3" x14ac:dyDescent="0.25">
      <c r="A12" s="67"/>
      <c r="B12" s="67"/>
      <c r="C12" s="4"/>
    </row>
    <row r="13" spans="1:3" x14ac:dyDescent="0.25">
      <c r="A13" s="67">
        <v>201</v>
      </c>
      <c r="B13" s="67" t="s">
        <v>254</v>
      </c>
      <c r="C13" s="4">
        <f>HLOOKUP($B$4,'9.9 Syndicats endettement'!$C$6:$AD$20,8,0)</f>
        <v>0</v>
      </c>
    </row>
    <row r="14" spans="1:3" x14ac:dyDescent="0.25">
      <c r="A14" s="67"/>
      <c r="B14" s="67"/>
      <c r="C14" s="4"/>
    </row>
    <row r="15" spans="1:3" x14ac:dyDescent="0.25">
      <c r="A15" s="67">
        <v>206</v>
      </c>
      <c r="B15" s="67" t="s">
        <v>257</v>
      </c>
      <c r="C15" s="4">
        <f>HLOOKUP($B$4,'9.9 Syndicats endettement'!$C$6:$AD$20,10,0)</f>
        <v>0</v>
      </c>
    </row>
    <row r="16" spans="1:3" x14ac:dyDescent="0.25">
      <c r="A16" s="67"/>
      <c r="B16" s="67"/>
      <c r="C16" s="4"/>
    </row>
    <row r="17" spans="1:3" x14ac:dyDescent="0.25">
      <c r="A17" s="67">
        <v>2016</v>
      </c>
      <c r="B17" s="67" t="s">
        <v>269</v>
      </c>
      <c r="C17" s="4">
        <f>HLOOKUP($B$4,'9.9 Syndicats endettement'!$C$6:$AD$20,12,0)</f>
        <v>0</v>
      </c>
    </row>
    <row r="18" spans="1:3" x14ac:dyDescent="0.25">
      <c r="A18" s="67"/>
      <c r="B18" s="67"/>
      <c r="C18" s="4"/>
    </row>
    <row r="19" spans="1:3" x14ac:dyDescent="0.25">
      <c r="A19" s="67"/>
      <c r="B19" s="67"/>
      <c r="C19" s="4"/>
    </row>
    <row r="20" spans="1:3" x14ac:dyDescent="0.25">
      <c r="A20" s="67"/>
      <c r="B20" s="99" t="s">
        <v>567</v>
      </c>
      <c r="C20" s="100">
        <f>HLOOKUP($B$4,'9.9 Syndicats endettement'!$C$6:$AD$20,15,0)</f>
        <v>112.5</v>
      </c>
    </row>
    <row r="21" spans="1:3" x14ac:dyDescent="0.25">
      <c r="B21" s="99" t="s">
        <v>498</v>
      </c>
      <c r="C21" s="100">
        <f>C20-C7</f>
        <v>-40340.83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25</v>
      </c>
    </row>
    <row r="7" spans="1:5" x14ac:dyDescent="0.25">
      <c r="E7" s="65" t="s">
        <v>202</v>
      </c>
    </row>
    <row r="8" spans="1:5" ht="21" x14ac:dyDescent="0.35">
      <c r="A8" s="92">
        <v>3</v>
      </c>
      <c r="B8" s="92"/>
      <c r="C8" s="92"/>
      <c r="D8" s="92" t="s">
        <v>60</v>
      </c>
      <c r="E8" s="171">
        <f>HLOOKUP(D5,'4.1 Comptes 2021 natures'!$E$3:$BE$158,2,0)</f>
        <v>2420550.6100000003</v>
      </c>
    </row>
    <row r="9" spans="1:5" x14ac:dyDescent="0.25">
      <c r="A9" s="94"/>
      <c r="B9" s="94">
        <v>30</v>
      </c>
      <c r="C9" s="94"/>
      <c r="D9" s="94" t="s">
        <v>61</v>
      </c>
      <c r="E9" s="95">
        <f>HLOOKUP($D$5,'4.1 Comptes 2021 natures'!$E$3:$BE$158,3,0)</f>
        <v>314902.15000000002</v>
      </c>
    </row>
    <row r="10" spans="1:5" x14ac:dyDescent="0.25">
      <c r="C10">
        <v>300</v>
      </c>
      <c r="D10" t="s">
        <v>80</v>
      </c>
      <c r="E10" s="89">
        <f>HLOOKUP($D$5,'4.1 Comptes 2021 natures'!$E$3:$BE$158,4,0)</f>
        <v>27030.9</v>
      </c>
    </row>
    <row r="11" spans="1:5" x14ac:dyDescent="0.25">
      <c r="C11">
        <v>301</v>
      </c>
      <c r="D11" t="s">
        <v>81</v>
      </c>
      <c r="E11" s="89">
        <f>HLOOKUP($D$5,'4.1 Comptes 2021 natures'!$E$3:$BE$158,5,0)</f>
        <v>239400.55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48051.45</v>
      </c>
    </row>
    <row r="16" spans="1:5" x14ac:dyDescent="0.25">
      <c r="C16">
        <v>306</v>
      </c>
      <c r="D16" t="s">
        <v>85</v>
      </c>
      <c r="E16" s="89">
        <f>HLOOKUP($D$5,'4.1 Comptes 2021 natures'!$E$3:$BE$158,10,0)</f>
        <v>0</v>
      </c>
    </row>
    <row r="17" spans="2:5" x14ac:dyDescent="0.25">
      <c r="C17">
        <v>309</v>
      </c>
      <c r="D17" t="s">
        <v>86</v>
      </c>
      <c r="E17" s="89">
        <f>HLOOKUP($D$5,'4.1 Comptes 2021 natures'!$E$3:$BE$158,11,0)</f>
        <v>419.25</v>
      </c>
    </row>
    <row r="18" spans="2:5" x14ac:dyDescent="0.25">
      <c r="E18" s="4"/>
    </row>
    <row r="19" spans="2:5" x14ac:dyDescent="0.25">
      <c r="B19" s="94">
        <v>31</v>
      </c>
      <c r="C19" s="94"/>
      <c r="D19" s="94" t="s">
        <v>87</v>
      </c>
      <c r="E19" s="95">
        <f>SUM(E20:E29)</f>
        <v>409134.82</v>
      </c>
    </row>
    <row r="20" spans="2:5" x14ac:dyDescent="0.25">
      <c r="C20">
        <v>310</v>
      </c>
      <c r="D20" t="s">
        <v>88</v>
      </c>
      <c r="E20" s="89">
        <f>HLOOKUP($D$5,'4.1 Comptes 2021 natures'!$E$3:$BE$158,14,0)</f>
        <v>71492.899999999994</v>
      </c>
    </row>
    <row r="21" spans="2:5" x14ac:dyDescent="0.25">
      <c r="C21">
        <v>311</v>
      </c>
      <c r="D21" t="s">
        <v>452</v>
      </c>
      <c r="E21" s="89">
        <f>HLOOKUP($D$5,'4.1 Comptes 2021 natures'!$E$3:$BE$158,15,0)</f>
        <v>15891.1</v>
      </c>
    </row>
    <row r="22" spans="2:5" x14ac:dyDescent="0.25">
      <c r="C22">
        <v>312</v>
      </c>
      <c r="D22" t="s">
        <v>90</v>
      </c>
      <c r="E22" s="89">
        <f>HLOOKUP($D$5,'4.1 Comptes 2021 natures'!$E$3:$BE$158,16,0)</f>
        <v>27528.1</v>
      </c>
    </row>
    <row r="23" spans="2:5" x14ac:dyDescent="0.25">
      <c r="C23">
        <v>313</v>
      </c>
      <c r="D23" t="s">
        <v>91</v>
      </c>
      <c r="E23" s="89">
        <f>HLOOKUP($D$5,'4.1 Comptes 2021 natures'!$E$3:$BE$158,17,0)</f>
        <v>148225.19</v>
      </c>
    </row>
    <row r="24" spans="2:5" x14ac:dyDescent="0.25">
      <c r="C24">
        <v>314</v>
      </c>
      <c r="D24" t="s">
        <v>92</v>
      </c>
      <c r="E24" s="89">
        <f>HLOOKUP($D$5,'4.1 Comptes 2021 natures'!$E$3:$BE$158,18,0)</f>
        <v>57146.35</v>
      </c>
    </row>
    <row r="25" spans="2:5" x14ac:dyDescent="0.25">
      <c r="C25">
        <v>315</v>
      </c>
      <c r="D25" t="s">
        <v>93</v>
      </c>
      <c r="E25" s="89">
        <f>HLOOKUP($D$5,'4.1 Comptes 2021 natures'!$E$3:$BE$158,19,0)</f>
        <v>41709.5</v>
      </c>
    </row>
    <row r="26" spans="2:5" x14ac:dyDescent="0.25">
      <c r="C26">
        <v>316</v>
      </c>
      <c r="D26" t="s">
        <v>94</v>
      </c>
      <c r="E26" s="89">
        <f>HLOOKUP($D$5,'4.1 Comptes 2021 natures'!$E$3:$BE$158,20,0)</f>
        <v>600</v>
      </c>
    </row>
    <row r="27" spans="2:5" x14ac:dyDescent="0.25">
      <c r="C27">
        <v>317</v>
      </c>
      <c r="D27" t="s">
        <v>95</v>
      </c>
      <c r="E27" s="89">
        <f>HLOOKUP($D$5,'4.1 Comptes 2021 natures'!$E$3:$BE$158,21,0)</f>
        <v>3546.8</v>
      </c>
    </row>
    <row r="28" spans="2:5" x14ac:dyDescent="0.25">
      <c r="C28">
        <v>318</v>
      </c>
      <c r="D28" t="s">
        <v>96</v>
      </c>
      <c r="E28" s="89">
        <f>HLOOKUP($D$5,'4.1 Comptes 2021 natures'!$E$3:$BE$158,22,0)</f>
        <v>39212.879999999997</v>
      </c>
    </row>
    <row r="29" spans="2:5" x14ac:dyDescent="0.25">
      <c r="C29">
        <v>319</v>
      </c>
      <c r="D29" t="s">
        <v>97</v>
      </c>
      <c r="E29" s="89">
        <f>HLOOKUP($D$5,'4.1 Comptes 2021 natures'!$E$3:$BE$158,23,0)</f>
        <v>3782</v>
      </c>
    </row>
    <row r="30" spans="2:5" x14ac:dyDescent="0.25">
      <c r="E30" s="4"/>
    </row>
    <row r="31" spans="2:5" x14ac:dyDescent="0.25">
      <c r="B31" s="94">
        <v>33</v>
      </c>
      <c r="C31" s="94"/>
      <c r="D31" s="94" t="s">
        <v>98</v>
      </c>
      <c r="E31" s="95">
        <f>SUM(E32:E33)</f>
        <v>101119</v>
      </c>
    </row>
    <row r="32" spans="2:5" x14ac:dyDescent="0.25">
      <c r="C32">
        <v>330</v>
      </c>
      <c r="D32" t="s">
        <v>100</v>
      </c>
      <c r="E32" s="89">
        <f>HLOOKUP($D$5,'4.1 Comptes 2021 natures'!$E$3:$BE$158,26,0)</f>
        <v>101119</v>
      </c>
    </row>
    <row r="33" spans="2:5" x14ac:dyDescent="0.25">
      <c r="C33">
        <v>332</v>
      </c>
      <c r="D33" t="s">
        <v>99</v>
      </c>
      <c r="E33" s="89">
        <f>HLOOKUP($D$5,'4.1 Comptes 2021 natures'!$E$3:$BE$158,27,0)</f>
        <v>0</v>
      </c>
    </row>
    <row r="34" spans="2:5" x14ac:dyDescent="0.25">
      <c r="E34" s="4"/>
    </row>
    <row r="35" spans="2:5" x14ac:dyDescent="0.25">
      <c r="B35" s="94">
        <v>34</v>
      </c>
      <c r="C35" s="94"/>
      <c r="D35" s="94" t="s">
        <v>101</v>
      </c>
      <c r="E35" s="95">
        <f>SUM(E36:E41)</f>
        <v>57204</v>
      </c>
    </row>
    <row r="36" spans="2:5" x14ac:dyDescent="0.25">
      <c r="C36">
        <v>340</v>
      </c>
      <c r="D36" t="s">
        <v>102</v>
      </c>
      <c r="E36" s="89">
        <f>HLOOKUP($D$5,'4.1 Comptes 2021 natures'!$E$3:$BE$158,30,0)</f>
        <v>39123.85</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16172.75</v>
      </c>
    </row>
    <row r="40" spans="2:5" x14ac:dyDescent="0.25">
      <c r="C40">
        <v>344</v>
      </c>
      <c r="D40" t="s">
        <v>106</v>
      </c>
      <c r="E40" s="89">
        <f>HLOOKUP($D$5,'4.1 Comptes 2021 natures'!$E$3:$BE$158,34,0)</f>
        <v>0</v>
      </c>
    </row>
    <row r="41" spans="2:5" x14ac:dyDescent="0.25">
      <c r="C41">
        <v>349</v>
      </c>
      <c r="D41" t="s">
        <v>107</v>
      </c>
      <c r="E41" s="89">
        <f>HLOOKUP($D$5,'4.1 Comptes 2021 natures'!$E$3:$BE$158,35,0)</f>
        <v>1907.4</v>
      </c>
    </row>
    <row r="42" spans="2:5" x14ac:dyDescent="0.25">
      <c r="E42" s="4"/>
    </row>
    <row r="43" spans="2:5" x14ac:dyDescent="0.25">
      <c r="B43" s="94">
        <v>35</v>
      </c>
      <c r="C43" s="94"/>
      <c r="D43" s="94" t="s">
        <v>109</v>
      </c>
      <c r="E43" s="95">
        <f>SUM(E44:E45)</f>
        <v>19316.63</v>
      </c>
    </row>
    <row r="44" spans="2:5" x14ac:dyDescent="0.25">
      <c r="C44">
        <v>350</v>
      </c>
      <c r="D44" t="s">
        <v>109</v>
      </c>
      <c r="E44" s="89">
        <f>HLOOKUP($D$5,'4.1 Comptes 2021 natures'!$E$3:$BE$158,38,0)</f>
        <v>0</v>
      </c>
    </row>
    <row r="45" spans="2:5" x14ac:dyDescent="0.25">
      <c r="C45">
        <v>351</v>
      </c>
      <c r="D45" t="s">
        <v>108</v>
      </c>
      <c r="E45" s="89">
        <f>HLOOKUP($D$5,'4.1 Comptes 2021 natures'!$E$3:$BE$158,39,0)</f>
        <v>19316.63</v>
      </c>
    </row>
    <row r="46" spans="2:5" x14ac:dyDescent="0.25">
      <c r="E46" s="4"/>
    </row>
    <row r="47" spans="2:5" x14ac:dyDescent="0.25">
      <c r="B47" s="94">
        <v>36</v>
      </c>
      <c r="C47" s="94"/>
      <c r="D47" s="94" t="s">
        <v>110</v>
      </c>
      <c r="E47" s="95">
        <f>SUM(E48:E55)</f>
        <v>1443374.0100000002</v>
      </c>
    </row>
    <row r="48" spans="2:5" x14ac:dyDescent="0.25">
      <c r="C48">
        <v>360</v>
      </c>
      <c r="D48" t="s">
        <v>111</v>
      </c>
      <c r="E48" s="89">
        <f>HLOOKUP($D$5,'4.1 Comptes 2021 natures'!$E$3:$BE$158,42,0)</f>
        <v>2220</v>
      </c>
    </row>
    <row r="49" spans="2:5" x14ac:dyDescent="0.25">
      <c r="C49">
        <v>361</v>
      </c>
      <c r="D49" t="s">
        <v>112</v>
      </c>
      <c r="E49" s="89">
        <f>HLOOKUP($D$5,'4.1 Comptes 2021 natures'!$E$3:$BE$158,43,0)</f>
        <v>1048753.6100000001</v>
      </c>
    </row>
    <row r="50" spans="2:5" x14ac:dyDescent="0.25">
      <c r="C50">
        <v>362</v>
      </c>
      <c r="D50" t="s">
        <v>113</v>
      </c>
      <c r="E50" s="89">
        <f>HLOOKUP($D$5,'4.1 Comptes 2021 natures'!$E$3:$BE$158,44,0)</f>
        <v>0</v>
      </c>
    </row>
    <row r="51" spans="2:5" x14ac:dyDescent="0.25">
      <c r="C51">
        <v>363</v>
      </c>
      <c r="D51" t="s">
        <v>114</v>
      </c>
      <c r="E51" s="89">
        <f>HLOOKUP($D$5,'4.1 Comptes 2021 natures'!$E$3:$BE$158,45,0)</f>
        <v>387396.4</v>
      </c>
    </row>
    <row r="52" spans="2:5" x14ac:dyDescent="0.25">
      <c r="C52">
        <v>364</v>
      </c>
      <c r="D52" t="s">
        <v>115</v>
      </c>
      <c r="E52" s="89">
        <f>HLOOKUP($D$5,'4.1 Comptes 2021 natures'!$E$3:$BE$158,46,0)</f>
        <v>0</v>
      </c>
    </row>
    <row r="53" spans="2:5" x14ac:dyDescent="0.25">
      <c r="C53">
        <v>365</v>
      </c>
      <c r="D53" t="s">
        <v>116</v>
      </c>
      <c r="E53" s="89">
        <f>HLOOKUP($D$5,'4.1 Comptes 2021 natures'!$E$3:$BE$158,47,0)</f>
        <v>0</v>
      </c>
    </row>
    <row r="54" spans="2:5" x14ac:dyDescent="0.25">
      <c r="C54">
        <v>366</v>
      </c>
      <c r="D54" t="s">
        <v>117</v>
      </c>
      <c r="E54" s="89">
        <f>HLOOKUP($D$5,'4.1 Comptes 2021 natures'!$E$3:$BE$158,48,0)</f>
        <v>0</v>
      </c>
    </row>
    <row r="55" spans="2:5" x14ac:dyDescent="0.25">
      <c r="C55">
        <v>369</v>
      </c>
      <c r="D55" t="s">
        <v>118</v>
      </c>
      <c r="E55" s="89">
        <f>HLOOKUP($D$5,'4.1 Comptes 2021 natures'!$E$3:$BE$158,49,0)</f>
        <v>5004</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60000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60000</v>
      </c>
    </row>
    <row r="67" spans="1:5" x14ac:dyDescent="0.25">
      <c r="E67" s="4"/>
    </row>
    <row r="68" spans="1:5" x14ac:dyDescent="0.25">
      <c r="B68" s="94">
        <v>39</v>
      </c>
      <c r="C68" s="94"/>
      <c r="D68" s="94" t="s">
        <v>128</v>
      </c>
      <c r="E68" s="95">
        <f>SUM(E69:E76)</f>
        <v>15500</v>
      </c>
    </row>
    <row r="69" spans="1:5" x14ac:dyDescent="0.25">
      <c r="C69">
        <v>390</v>
      </c>
      <c r="D69" t="s">
        <v>129</v>
      </c>
      <c r="E69" s="89">
        <f>HLOOKUP($D$5,'4.1 Comptes 2021 natures'!$E$3:$BE$158,63,0)</f>
        <v>0</v>
      </c>
    </row>
    <row r="70" spans="1:5" x14ac:dyDescent="0.25">
      <c r="C70">
        <v>391</v>
      </c>
      <c r="D70" t="s">
        <v>130</v>
      </c>
      <c r="E70" s="89">
        <f>HLOOKUP($D$5,'4.1 Comptes 2021 natures'!$E$3:$BE$158,64,0)</f>
        <v>15500</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0</v>
      </c>
    </row>
    <row r="77" spans="1:5" x14ac:dyDescent="0.25">
      <c r="E77" s="4"/>
    </row>
    <row r="78" spans="1:5" x14ac:dyDescent="0.25">
      <c r="E78" s="4"/>
    </row>
    <row r="79" spans="1:5" ht="21" x14ac:dyDescent="0.35">
      <c r="A79" s="98">
        <v>4</v>
      </c>
      <c r="B79" s="98"/>
      <c r="C79" s="98"/>
      <c r="D79" s="98" t="s">
        <v>137</v>
      </c>
      <c r="E79" s="172">
        <f>HLOOKUP($D$5,'4.1 Comptes 2021 natures'!$E$3:$BE$158,73,0)</f>
        <v>2536564.2199999997</v>
      </c>
    </row>
    <row r="80" spans="1:5" x14ac:dyDescent="0.25">
      <c r="A80" s="7"/>
      <c r="B80" s="96">
        <v>40</v>
      </c>
      <c r="C80" s="96"/>
      <c r="D80" s="96" t="s">
        <v>79</v>
      </c>
      <c r="E80" s="91">
        <f>SUM(E81:E84)</f>
        <v>1475042.4700000002</v>
      </c>
    </row>
    <row r="81" spans="2:5" x14ac:dyDescent="0.25">
      <c r="C81">
        <v>400</v>
      </c>
      <c r="D81" t="s">
        <v>138</v>
      </c>
      <c r="E81" s="89">
        <f>HLOOKUP($D$5,'4.1 Comptes 2021 natures'!$E$3:$BE$158,75,0)</f>
        <v>1229515.01</v>
      </c>
    </row>
    <row r="82" spans="2:5" x14ac:dyDescent="0.25">
      <c r="C82">
        <v>401</v>
      </c>
      <c r="D82" t="s">
        <v>139</v>
      </c>
      <c r="E82" s="89">
        <f>HLOOKUP($D$5,'4.1 Comptes 2021 natures'!$E$3:$BE$158,76,0)</f>
        <v>33491.089999999997</v>
      </c>
    </row>
    <row r="83" spans="2:5" x14ac:dyDescent="0.25">
      <c r="C83">
        <v>402</v>
      </c>
      <c r="D83" t="s">
        <v>140</v>
      </c>
      <c r="E83" s="89">
        <f>HLOOKUP($D$5,'4.1 Comptes 2021 natures'!$E$3:$BE$158,77,0)</f>
        <v>205660.37</v>
      </c>
    </row>
    <row r="84" spans="2:5" x14ac:dyDescent="0.25">
      <c r="C84">
        <v>403</v>
      </c>
      <c r="D84" t="s">
        <v>141</v>
      </c>
      <c r="E84" s="89">
        <f>HLOOKUP($D$5,'4.1 Comptes 2021 natures'!$E$3:$BE$158,78,0)</f>
        <v>6376</v>
      </c>
    </row>
    <row r="85" spans="2:5" x14ac:dyDescent="0.25">
      <c r="E85" s="4"/>
    </row>
    <row r="86" spans="2:5" x14ac:dyDescent="0.25">
      <c r="B86" s="96">
        <v>41</v>
      </c>
      <c r="C86" s="96"/>
      <c r="D86" s="96" t="s">
        <v>142</v>
      </c>
      <c r="E86" s="91">
        <f>SUM(E87:E90)</f>
        <v>0</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0</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398744.61</v>
      </c>
    </row>
    <row r="93" spans="2:5" x14ac:dyDescent="0.25">
      <c r="C93">
        <v>420</v>
      </c>
      <c r="D93" t="s">
        <v>148</v>
      </c>
      <c r="E93" s="89">
        <f>HLOOKUP($D$5,'4.1 Comptes 2021 natures'!$E$3:$BE$158,87,0)</f>
        <v>12725.75</v>
      </c>
    </row>
    <row r="94" spans="2:5" x14ac:dyDescent="0.25">
      <c r="C94">
        <v>421</v>
      </c>
      <c r="D94" t="s">
        <v>149</v>
      </c>
      <c r="E94" s="89">
        <f>HLOOKUP($D$5,'4.1 Comptes 2021 natures'!$E$3:$BE$158,88,0)</f>
        <v>8598.75</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252789.8</v>
      </c>
    </row>
    <row r="98" spans="2:5" x14ac:dyDescent="0.25">
      <c r="C98">
        <v>425</v>
      </c>
      <c r="D98" t="s">
        <v>153</v>
      </c>
      <c r="E98" s="89">
        <f>HLOOKUP($D$5,'4.1 Comptes 2021 natures'!$E$3:$BE$158,92,0)</f>
        <v>105430.51</v>
      </c>
    </row>
    <row r="99" spans="2:5" x14ac:dyDescent="0.25">
      <c r="C99">
        <v>426</v>
      </c>
      <c r="D99" t="s">
        <v>154</v>
      </c>
      <c r="E99" s="89">
        <f>HLOOKUP($D$5,'4.1 Comptes 2021 natures'!$E$3:$BE$158,93,0)</f>
        <v>18542.8</v>
      </c>
    </row>
    <row r="100" spans="2:5" x14ac:dyDescent="0.25">
      <c r="C100">
        <v>427</v>
      </c>
      <c r="D100" t="s">
        <v>155</v>
      </c>
      <c r="E100" s="89">
        <f>HLOOKUP($D$5,'4.1 Comptes 2021 natures'!$E$3:$BE$158,94,0)</f>
        <v>657</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94108.489999999991</v>
      </c>
    </row>
    <row r="110" spans="2:5" x14ac:dyDescent="0.25">
      <c r="C110">
        <v>440</v>
      </c>
      <c r="D110" t="s">
        <v>163</v>
      </c>
      <c r="E110" s="89">
        <f>HLOOKUP($D$5,'4.1 Comptes 2021 natures'!$E$3:$BE$158,104,0)</f>
        <v>34166.39</v>
      </c>
    </row>
    <row r="111" spans="2:5" x14ac:dyDescent="0.25">
      <c r="C111">
        <v>441</v>
      </c>
      <c r="D111" t="s">
        <v>164</v>
      </c>
      <c r="E111" s="89">
        <f>HLOOKUP($D$5,'4.1 Comptes 2021 natures'!$E$3:$BE$158,105,0)</f>
        <v>0</v>
      </c>
    </row>
    <row r="112" spans="2:5" x14ac:dyDescent="0.25">
      <c r="C112">
        <v>442</v>
      </c>
      <c r="D112" t="s">
        <v>165</v>
      </c>
      <c r="E112" s="89">
        <f>HLOOKUP($D$5,'4.1 Comptes 2021 natures'!$E$3:$BE$158,106,0)</f>
        <v>20</v>
      </c>
    </row>
    <row r="113" spans="2:5" x14ac:dyDescent="0.25">
      <c r="C113">
        <v>443</v>
      </c>
      <c r="D113" t="s">
        <v>166</v>
      </c>
      <c r="E113" s="89">
        <f>HLOOKUP($D$5,'4.1 Comptes 2021 natures'!$E$3:$BE$158,107,0)</f>
        <v>43754.6</v>
      </c>
    </row>
    <row r="114" spans="2:5" x14ac:dyDescent="0.25">
      <c r="C114">
        <v>444</v>
      </c>
      <c r="D114" t="s">
        <v>106</v>
      </c>
      <c r="E114" s="89">
        <f>HLOOKUP($D$5,'4.1 Comptes 2021 natures'!$E$3:$BE$158,108,0)</f>
        <v>16167.5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0</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8868</v>
      </c>
    </row>
    <row r="122" spans="2:5" x14ac:dyDescent="0.25">
      <c r="C122">
        <v>450</v>
      </c>
      <c r="D122" t="s">
        <v>172</v>
      </c>
      <c r="E122" s="89">
        <f>HLOOKUP($D$5,'4.1 Comptes 2021 natures'!$E$3:$BE$158,116,0)</f>
        <v>0</v>
      </c>
    </row>
    <row r="123" spans="2:5" x14ac:dyDescent="0.25">
      <c r="C123">
        <v>451</v>
      </c>
      <c r="D123" t="s">
        <v>173</v>
      </c>
      <c r="E123" s="89">
        <f>HLOOKUP($D$5,'4.1 Comptes 2021 natures'!$E$3:$BE$158,117,0)</f>
        <v>8868</v>
      </c>
    </row>
    <row r="124" spans="2:5" x14ac:dyDescent="0.25">
      <c r="E124" s="4"/>
    </row>
    <row r="125" spans="2:5" x14ac:dyDescent="0.25">
      <c r="B125" s="96">
        <v>46</v>
      </c>
      <c r="C125" s="96"/>
      <c r="D125" s="96" t="s">
        <v>175</v>
      </c>
      <c r="E125" s="91">
        <f>SUM(E126:E130)</f>
        <v>544300.64999999991</v>
      </c>
    </row>
    <row r="126" spans="2:5" x14ac:dyDescent="0.25">
      <c r="C126">
        <v>460</v>
      </c>
      <c r="D126" t="s">
        <v>176</v>
      </c>
      <c r="E126" s="89">
        <f>HLOOKUP($D$5,'4.1 Comptes 2021 natures'!$E$3:$BE$158,120,0)</f>
        <v>0</v>
      </c>
    </row>
    <row r="127" spans="2:5" x14ac:dyDescent="0.25">
      <c r="C127">
        <v>461</v>
      </c>
      <c r="D127" t="s">
        <v>177</v>
      </c>
      <c r="E127" s="89">
        <f>HLOOKUP($D$5,'4.1 Comptes 2021 natures'!$E$3:$BE$158,121,0)</f>
        <v>161219.15</v>
      </c>
    </row>
    <row r="128" spans="2:5" x14ac:dyDescent="0.25">
      <c r="C128">
        <v>462</v>
      </c>
      <c r="D128" t="s">
        <v>113</v>
      </c>
      <c r="E128" s="89">
        <f>HLOOKUP($D$5,'4.1 Comptes 2021 natures'!$E$3:$BE$158,122,0)</f>
        <v>236080</v>
      </c>
    </row>
    <row r="129" spans="2:5" x14ac:dyDescent="0.25">
      <c r="C129">
        <v>463</v>
      </c>
      <c r="D129" t="s">
        <v>178</v>
      </c>
      <c r="E129" s="89">
        <f>HLOOKUP($D$5,'4.1 Comptes 2021 natures'!$E$3:$BE$158,123,0)</f>
        <v>140139.79999999999</v>
      </c>
    </row>
    <row r="130" spans="2:5" x14ac:dyDescent="0.25">
      <c r="C130">
        <v>469</v>
      </c>
      <c r="D130" t="s">
        <v>179</v>
      </c>
      <c r="E130" s="89">
        <f>HLOOKUP($D$5,'4.1 Comptes 2021 natures'!$E$3:$BE$158,124,0)</f>
        <v>6861.7</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15500</v>
      </c>
    </row>
    <row r="145" spans="1:5" x14ac:dyDescent="0.25">
      <c r="C145">
        <v>490</v>
      </c>
      <c r="D145" t="s">
        <v>129</v>
      </c>
      <c r="E145" s="89">
        <f>HLOOKUP($D$5,'4.1 Comptes 2021 natures'!$E$3:$BE$158,139,0)</f>
        <v>0</v>
      </c>
    </row>
    <row r="146" spans="1:5" x14ac:dyDescent="0.25">
      <c r="C146">
        <v>491</v>
      </c>
      <c r="D146" t="s">
        <v>130</v>
      </c>
      <c r="E146" s="89">
        <f>HLOOKUP($D$5,'4.1 Comptes 2021 natures'!$E$3:$BE$158,140,0)</f>
        <v>15500</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116013.61000000002</v>
      </c>
    </row>
    <row r="158" spans="1:5" x14ac:dyDescent="0.25">
      <c r="C158">
        <v>900</v>
      </c>
      <c r="D158" t="s">
        <v>196</v>
      </c>
      <c r="E158" s="89">
        <f>HLOOKUP($D$5,'4.1 Comptes 2021 natures'!$E$3:$BE$158,152,0)</f>
        <v>66157.88</v>
      </c>
    </row>
    <row r="159" spans="1:5" x14ac:dyDescent="0.25">
      <c r="C159">
        <v>901</v>
      </c>
      <c r="D159" t="s">
        <v>197</v>
      </c>
      <c r="E159" s="89">
        <f>HLOOKUP($D$5,'4.1 Comptes 2021 natures'!$E$3:$BE$158,153,0)</f>
        <v>49855.73</v>
      </c>
    </row>
    <row r="160" spans="1:5" x14ac:dyDescent="0.25">
      <c r="E160" s="4"/>
    </row>
    <row r="161" spans="4:5" x14ac:dyDescent="0.25">
      <c r="D161" s="7" t="s">
        <v>198</v>
      </c>
      <c r="E161" s="80">
        <f>HLOOKUP($D$5,'4.1 Comptes 2021 natures'!$E$3:$BE$158,155,0)</f>
        <v>116013.61000000002</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Z4" activePane="bottomRight" state="frozen"/>
      <selection pane="topRight" activeCell="E1" sqref="E1"/>
      <selection pane="bottomLeft" activeCell="A4" sqref="A4"/>
      <selection pane="bottomRight" activeCell="H7" sqref="H7"/>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topLeftCell="A16"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8.1 Bourgeoisies Comptes 2021</vt:lpstr>
      <vt:lpstr>8.2 Comptes par Bourgeoisie</vt:lpstr>
      <vt:lpstr>8.5 Bourgeoisie vue d'ensemble</vt:lpstr>
      <vt:lpstr>8.6 Vue par Bourgeoisie</vt:lpstr>
      <vt:lpstr>8.3 Bourgeoisie 3 niveaux</vt:lpstr>
      <vt:lpstr>8.4 3 niveaux par bourgeoisie</vt:lpstr>
      <vt:lpstr>8.7 Autofinancement</vt:lpstr>
      <vt:lpstr>8.8 par Bourgeoisie</vt:lpstr>
      <vt:lpstr>8.9 Bourgeoisie bilan</vt:lpstr>
      <vt:lpstr>8.10 Bilan par bourgeoisie</vt:lpstr>
      <vt:lpstr>8.11 Bourgeoisie endettement</vt:lpstr>
      <vt:lpstr>8.12Endettement par bourgeoisie</vt:lpstr>
      <vt:lpstr>8.13 Bourgeoisie investissement</vt:lpstr>
      <vt:lpstr>8.14 par bourgeoisie</vt:lpstr>
      <vt:lpstr>9.1 Syndicats comptes 2021</vt:lpstr>
      <vt:lpstr>9.2 Comptes 2021 par Syndicats</vt:lpstr>
      <vt:lpstr>9.5 Syndicats vue d'ensemble</vt:lpstr>
      <vt:lpstr>9.6 Vue d'ensemble par syndicat</vt:lpstr>
      <vt:lpstr>9.3 Syndicats à 3 niveaux</vt:lpstr>
      <vt:lpstr>9.4 3 niveaux par syndicat</vt:lpstr>
      <vt:lpstr>9.7 Syndicats Bilan</vt:lpstr>
      <vt:lpstr>9.8 Bilan par Syndicats</vt:lpstr>
      <vt:lpstr>9.9 Syndicats endettement</vt:lpstr>
      <vt:lpstr>9.10 Endettement par syndicat</vt:lpstr>
      <vt:lpstr>'4.7 Autofinancement'!Zone_d_impression</vt:lpstr>
      <vt:lpstr>'8.8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2023-06-06T07:59:22Z</cp:lastPrinted>
  <dcterms:created xsi:type="dcterms:W3CDTF">2015-10-26T07:38:03Z</dcterms:created>
  <dcterms:modified xsi:type="dcterms:W3CDTF">2023-06-06T08:35:42Z</dcterms:modified>
</cp:coreProperties>
</file>